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defaultThemeVersion="124226"/>
  <mc:AlternateContent xmlns:mc="http://schemas.openxmlformats.org/markup-compatibility/2006">
    <mc:Choice Requires="x15">
      <x15ac:absPath xmlns:x15ac="http://schemas.microsoft.com/office/spreadsheetml/2010/11/ac" url="C:\Users\Diana Downton\AppData\Local\Microsoft\Windows\INetCache\Content.Outlook\T1CY4ZAV\"/>
    </mc:Choice>
  </mc:AlternateContent>
  <xr:revisionPtr revIDLastSave="0" documentId="13_ncr:1_{0E68CF7D-BC5E-4F2D-B91D-F760288501C3}" xr6:coauthVersionLast="47" xr6:coauthVersionMax="47" xr10:uidLastSave="{00000000-0000-0000-0000-000000000000}"/>
  <bookViews>
    <workbookView xWindow="1125" yWindow="165" windowWidth="35940" windowHeight="15600"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7" l="1"/>
  <c r="AD202" i="20"/>
  <c r="C5" i="7" l="1"/>
  <c r="C9" i="7" s="1"/>
  <c r="AA949" i="3"/>
  <c r="AA948" i="3"/>
  <c r="AA947" i="3"/>
  <c r="AA938" i="3"/>
  <c r="AA921" i="3"/>
  <c r="AA920" i="3"/>
  <c r="AC889" i="3"/>
  <c r="Z813" i="3"/>
  <c r="C630" i="3" l="1"/>
  <c r="B200" i="20" s="1"/>
  <c r="C631" i="3"/>
  <c r="B201" i="20" s="1"/>
  <c r="C629" i="3"/>
  <c r="B199" i="20" s="1"/>
  <c r="W627" i="3" l="1"/>
  <c r="T627" i="3"/>
  <c r="Q627" i="3"/>
  <c r="Q556" i="3"/>
  <c r="W555" i="3"/>
  <c r="W554" i="3"/>
  <c r="W562" i="3" s="1"/>
  <c r="W876" i="3"/>
  <c r="W863" i="3"/>
  <c r="W857" i="3"/>
  <c r="W871" i="3"/>
  <c r="W865" i="3"/>
  <c r="W874" i="3"/>
  <c r="W846" i="3"/>
  <c r="W854" i="3"/>
  <c r="W844" i="3"/>
  <c r="AD199" i="20" l="1"/>
  <c r="H30" i="4"/>
  <c r="I29" i="4"/>
  <c r="AD200" i="20"/>
  <c r="AD201" i="20"/>
  <c r="J5" i="4"/>
  <c r="E41" i="7"/>
  <c r="G30" i="4"/>
  <c r="AG448" i="3"/>
  <c r="AG446"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T45" i="21"/>
  <c r="U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B36" i="4"/>
  <c r="E36" i="4" s="1"/>
  <c r="B66" i="4"/>
  <c r="E66" i="4" s="1"/>
  <c r="R66" i="4" s="1"/>
  <c r="B67" i="4"/>
  <c r="E67" i="4" s="1"/>
  <c r="R67" i="4" s="1"/>
  <c r="B68" i="4"/>
  <c r="E68" i="4" s="1"/>
  <c r="R68" i="4" s="1"/>
  <c r="B69" i="4"/>
  <c r="E69" i="4" s="1"/>
  <c r="R69" i="4" s="1"/>
  <c r="S69" i="4" s="1"/>
  <c r="E69"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51" i="13"/>
  <c r="E48" i="13"/>
  <c r="E47" i="13"/>
  <c r="E29" i="13"/>
  <c r="E27" i="13"/>
  <c r="E25" i="13"/>
  <c r="E23" i="13"/>
  <c r="E22" i="13"/>
  <c r="E21" i="13"/>
  <c r="E20" i="13"/>
  <c r="E19" i="13"/>
  <c r="E18" i="13"/>
  <c r="E17" i="13"/>
  <c r="E15" i="13"/>
  <c r="E14"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S10" i="4" s="1"/>
  <c r="E10" i="13" s="1"/>
  <c r="F11" i="4"/>
  <c r="F42" i="4"/>
  <c r="F54" i="4"/>
  <c r="F62" i="4"/>
  <c r="N11" i="4"/>
  <c r="O11" i="4"/>
  <c r="B13" i="4"/>
  <c r="E13" i="4" s="1"/>
  <c r="R13" i="4" s="1"/>
  <c r="S13" i="4" s="1"/>
  <c r="E13" i="13" s="1"/>
  <c r="B14" i="4"/>
  <c r="E14" i="4" s="1"/>
  <c r="R14" i="4" s="1"/>
  <c r="B15" i="4"/>
  <c r="B17" i="4"/>
  <c r="E17" i="4" s="1"/>
  <c r="R17" i="4" s="1"/>
  <c r="B18" i="4"/>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S65" i="4" s="1"/>
  <c r="E65" i="13"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R79" i="4" s="1"/>
  <c r="S79" i="4" s="1"/>
  <c r="B84" i="4"/>
  <c r="E84" i="4" s="1"/>
  <c r="R84" i="4" s="1"/>
  <c r="S84" i="4" s="1"/>
  <c r="E84" i="13"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Q104" i="4"/>
  <c r="G108" i="4"/>
  <c r="H108" i="4"/>
  <c r="I108" i="4"/>
  <c r="J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Z902" i="3"/>
  <c r="S81" i="4" l="1"/>
  <c r="E81" i="13" s="1"/>
  <c r="E11" i="4"/>
  <c r="R9" i="4"/>
  <c r="E70" i="4"/>
  <c r="S96" i="4"/>
  <c r="E96" i="13" s="1"/>
  <c r="E93" i="13"/>
  <c r="AD210" i="20"/>
  <c r="E15" i="4"/>
  <c r="R15" i="4" s="1"/>
  <c r="E42" i="4"/>
  <c r="S70" i="4"/>
  <c r="E70" i="13" s="1"/>
  <c r="E79" i="13"/>
  <c r="D35" i="11"/>
  <c r="E81" i="4"/>
  <c r="R40" i="4"/>
  <c r="S40" i="4" s="1"/>
  <c r="R36" i="4"/>
  <c r="S36" i="4" s="1"/>
  <c r="E36" i="13" s="1"/>
  <c r="BE23" i="3"/>
  <c r="E4" i="4"/>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D52" i="11"/>
  <c r="D44" i="11"/>
  <c r="D18" i="11"/>
  <c r="C12" i="11"/>
  <c r="J63" i="4"/>
  <c r="J97" i="4" s="1"/>
  <c r="J105" i="4" s="1"/>
  <c r="Q63" i="4"/>
  <c r="Q97" i="4" s="1"/>
  <c r="Q105" i="4" s="1"/>
  <c r="B11" i="4"/>
  <c r="C39" i="11"/>
  <c r="J63" i="13"/>
  <c r="J97" i="13" s="1"/>
  <c r="J105" i="13" s="1"/>
  <c r="J107" i="13" s="1"/>
  <c r="D81" i="11"/>
  <c r="D60" i="11"/>
  <c r="M12" i="4"/>
  <c r="D63" i="4"/>
  <c r="D97" i="4" s="1"/>
  <c r="D105" i="4" s="1"/>
  <c r="BE68" i="3" s="1"/>
  <c r="D63" i="13"/>
  <c r="D97" i="13" s="1"/>
  <c r="D105" i="13" s="1"/>
  <c r="D23" i="11"/>
  <c r="D19" i="11"/>
  <c r="D14" i="11"/>
  <c r="D7" i="11"/>
  <c r="G63" i="13"/>
  <c r="G97" i="13" s="1"/>
  <c r="G105" i="13" s="1"/>
  <c r="G107" i="13" s="1"/>
  <c r="R81" i="4"/>
  <c r="M53" i="7"/>
  <c r="K58" i="7"/>
  <c r="N188" i="23"/>
  <c r="C27" i="11"/>
  <c r="B82" i="11"/>
  <c r="I58" i="7"/>
  <c r="C9" i="11"/>
  <c r="T63" i="4"/>
  <c r="B38" i="4"/>
  <c r="CI753" i="3"/>
  <c r="X1048" i="3" s="1"/>
  <c r="BG243" i="3"/>
  <c r="BO245" i="3" s="1"/>
  <c r="T267" i="3" s="1"/>
  <c r="AH721" i="3"/>
  <c r="J7" i="8"/>
  <c r="J40" i="8" s="1"/>
  <c r="Z809" i="3" s="1"/>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C7" i="7"/>
  <c r="G12" i="4"/>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D211" i="20" l="1"/>
  <c r="R42" i="4"/>
  <c r="S42" i="4"/>
  <c r="E42" i="13" s="1"/>
  <c r="E40" i="13"/>
  <c r="E8" i="4"/>
  <c r="E12" i="4" s="1"/>
  <c r="R4" i="4"/>
  <c r="R8" i="4" s="1"/>
  <c r="R12" i="4" s="1"/>
  <c r="D43" i="11"/>
  <c r="D71" i="11"/>
  <c r="B12" i="4"/>
  <c r="N195" i="23"/>
  <c r="D82" i="11"/>
  <c r="D39" i="11"/>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21" i="21" l="1"/>
  <c r="P21" i="21" s="1" a="1"/>
  <c r="P21" i="21" s="1"/>
  <c r="S21" i="21" s="1"/>
  <c r="O30" i="21"/>
  <c r="P30" i="21" s="1" a="1"/>
  <c r="P30" i="21" s="1"/>
  <c r="S30" i="21" s="1"/>
  <c r="O26" i="21"/>
  <c r="P26" i="21" s="1" a="1"/>
  <c r="P26" i="21" s="1"/>
  <c r="S26" i="21" s="1"/>
  <c r="O23" i="21"/>
  <c r="P23" i="21" s="1" a="1"/>
  <c r="P23" i="21" s="1"/>
  <c r="S23" i="21" s="1"/>
  <c r="O32" i="21"/>
  <c r="P32" i="21" s="1" a="1"/>
  <c r="P32" i="21" s="1"/>
  <c r="S32" i="21" s="1"/>
  <c r="O27" i="21"/>
  <c r="P27" i="21" s="1" a="1"/>
  <c r="P27" i="21" s="1"/>
  <c r="S27" i="21" s="1"/>
  <c r="O29" i="21"/>
  <c r="P29" i="21" s="1" a="1"/>
  <c r="P29" i="21" s="1"/>
  <c r="S29" i="21" s="1"/>
  <c r="O33" i="21"/>
  <c r="P33" i="21" s="1" a="1"/>
  <c r="P33" i="21" s="1"/>
  <c r="S33" i="21" s="1"/>
  <c r="O24" i="21"/>
  <c r="P24" i="21" s="1" a="1"/>
  <c r="P24" i="21" s="1"/>
  <c r="S24" i="21" s="1"/>
  <c r="O31" i="21"/>
  <c r="P31" i="21" s="1" a="1"/>
  <c r="P31" i="21" s="1"/>
  <c r="S31" i="21" s="1"/>
  <c r="O34" i="21"/>
  <c r="P34" i="21" s="1" a="1"/>
  <c r="P34" i="21" s="1"/>
  <c r="S34" i="21" s="1"/>
  <c r="O28" i="21"/>
  <c r="P28" i="21" s="1" a="1"/>
  <c r="P28" i="21" s="1"/>
  <c r="S28" i="21" s="1"/>
  <c r="O22" i="21"/>
  <c r="P22" i="21" s="1" a="1"/>
  <c r="P22" i="21" s="1"/>
  <c r="S22" i="21" s="1"/>
  <c r="O20" i="21"/>
  <c r="P20" i="21" s="1" a="1"/>
  <c r="P20" i="21" s="1"/>
  <c r="S20" i="21" s="1"/>
  <c r="AK84" i="20"/>
  <c r="AK191" i="20" s="1"/>
  <c r="T811" i="20" s="1"/>
  <c r="AF811" i="20" s="1"/>
  <c r="BE76" i="3" s="1"/>
  <c r="D13" i="11"/>
  <c r="O58" i="7"/>
  <c r="Q53" i="7"/>
  <c r="T105" i="4"/>
  <c r="H97" i="13"/>
  <c r="P25" i="21" a="1"/>
  <c r="P25" i="21" s="1"/>
  <c r="S25"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AP705" i="20"/>
  <c r="AP706" i="20"/>
  <c r="I4" i="7"/>
  <c r="I5" i="7" s="1"/>
  <c r="K9" i="7"/>
  <c r="E11" i="7"/>
  <c r="AJ992" i="3"/>
  <c r="AJ994" i="3" s="1"/>
  <c r="E138" i="20"/>
  <c r="E139" i="20" s="1"/>
  <c r="AK143" i="20" s="1"/>
  <c r="T807" i="20" s="1"/>
  <c r="AF807" i="20" s="1"/>
  <c r="BE74" i="3" s="1"/>
  <c r="AB991" i="3"/>
  <c r="DU802" i="3"/>
  <c r="U373" i="20" s="1"/>
  <c r="P421" i="3"/>
  <c r="I6" i="7"/>
  <c r="G7" i="7"/>
  <c r="G11" i="7" s="1"/>
  <c r="M22" i="7"/>
  <c r="O15" i="7"/>
  <c r="M9" i="7"/>
  <c r="O8" i="7"/>
  <c r="G27" i="21"/>
  <c r="F26" i="21"/>
  <c r="AJ1007" i="3" l="1"/>
  <c r="AJ1029" i="3"/>
  <c r="AJ1041" i="3"/>
  <c r="AJ1036" i="3"/>
  <c r="I15" i="21" s="1"/>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AP95" i="20" s="1"/>
  <c r="AK109" i="20" s="1"/>
  <c r="T806" i="20" s="1"/>
  <c r="AF806" i="20" s="1"/>
  <c r="E103" i="20"/>
  <c r="E106" i="20" s="1"/>
  <c r="BE73" i="3" l="1"/>
  <c r="H3" i="21"/>
  <c r="G38" i="4" l="1"/>
  <c r="G63" i="4" s="1"/>
  <c r="G97" i="4" s="1"/>
  <c r="G105" i="4" s="1"/>
  <c r="H38" i="4"/>
  <c r="H63" i="4" s="1"/>
  <c r="H97" i="4" s="1"/>
  <c r="H105" i="4" s="1"/>
  <c r="F26" i="4"/>
  <c r="E18" i="4"/>
  <c r="E26" i="4" s="1"/>
  <c r="K26" i="4"/>
  <c r="R18" i="4" l="1"/>
  <c r="R26" i="4" s="1"/>
  <c r="E40" i="7"/>
  <c r="I40" i="7" s="1"/>
  <c r="G40" i="7"/>
  <c r="G43" i="7" s="1"/>
  <c r="Q40" i="7"/>
  <c r="Q43" i="7" s="1"/>
  <c r="U40" i="7"/>
  <c r="U43" i="7" s="1"/>
  <c r="W40" i="7"/>
  <c r="W43" i="7" s="1"/>
  <c r="AG40" i="7"/>
  <c r="AG43" i="7" s="1"/>
  <c r="I43" i="7"/>
  <c r="BE21" i="3"/>
  <c r="AM566" i="3"/>
  <c r="AO639" i="3"/>
  <c r="AO641" i="3"/>
  <c r="AA918" i="3"/>
  <c r="AA919" i="3"/>
  <c r="AB48" i="15"/>
  <c r="N10" i="23"/>
  <c r="K29" i="4"/>
  <c r="E29" i="4" s="1"/>
  <c r="F30" i="4"/>
  <c r="F38" i="4" s="1"/>
  <c r="F63" i="4" s="1"/>
  <c r="F97" i="4" s="1"/>
  <c r="F105" i="4" s="1"/>
  <c r="K38" i="4"/>
  <c r="K63" i="4"/>
  <c r="K97" i="4" s="1"/>
  <c r="K105" i="4" s="1"/>
  <c r="L99" i="4"/>
  <c r="L104" i="4" s="1"/>
  <c r="L105" i="4" s="1"/>
  <c r="E108" i="4"/>
  <c r="F108" i="4"/>
  <c r="K108" i="4"/>
  <c r="L108" i="4"/>
  <c r="I9" i="21"/>
  <c r="G144" i="21" s="1"/>
  <c r="R29" i="4" l="1"/>
  <c r="G143" i="21"/>
  <c r="E43" i="7"/>
  <c r="S40" i="7"/>
  <c r="S43" i="7" s="1"/>
  <c r="E30" i="4"/>
  <c r="R30" i="4" s="1"/>
  <c r="S30" i="4" s="1"/>
  <c r="AE40" i="7"/>
  <c r="AE43" i="7" s="1"/>
  <c r="O40" i="7"/>
  <c r="O43" i="7" s="1"/>
  <c r="AC40" i="7"/>
  <c r="AC43" i="7" s="1"/>
  <c r="M40" i="7"/>
  <c r="M43" i="7" s="1"/>
  <c r="AA40" i="7"/>
  <c r="AA43" i="7" s="1"/>
  <c r="K40" i="7"/>
  <c r="K43" i="7" s="1"/>
  <c r="Y40" i="7"/>
  <c r="Y43" i="7" s="1"/>
  <c r="R38" i="4" l="1"/>
  <c r="S38" i="4"/>
  <c r="E30" i="13"/>
  <c r="E38" i="4"/>
  <c r="E38" i="13" l="1"/>
  <c r="AE699" i="3"/>
  <c r="AC890" i="3"/>
  <c r="E29" i="7" s="1"/>
  <c r="BE62" i="3"/>
  <c r="B46" i="11"/>
  <c r="C46" i="11"/>
  <c r="D46" i="11"/>
  <c r="B47" i="11"/>
  <c r="C47" i="11"/>
  <c r="B50" i="11"/>
  <c r="C50" i="11"/>
  <c r="D50" i="11" s="1"/>
  <c r="B57" i="11"/>
  <c r="B63" i="11" s="1"/>
  <c r="C57" i="11"/>
  <c r="D57" i="11" s="1"/>
  <c r="C63" i="11"/>
  <c r="B76" i="11"/>
  <c r="C76" i="11"/>
  <c r="B78" i="11"/>
  <c r="B84" i="11"/>
  <c r="B97" i="11" s="1"/>
  <c r="C84" i="11"/>
  <c r="D84" i="11" s="1"/>
  <c r="B100" i="11"/>
  <c r="B105" i="11" s="1"/>
  <c r="C100" i="11"/>
  <c r="D100" i="11" s="1"/>
  <c r="C105" i="11"/>
  <c r="B45" i="13"/>
  <c r="B46" i="13"/>
  <c r="B49" i="13"/>
  <c r="E49" i="13"/>
  <c r="B56" i="13"/>
  <c r="B75" i="13"/>
  <c r="B83" i="13"/>
  <c r="B96" i="13"/>
  <c r="B99" i="13"/>
  <c r="B45" i="4"/>
  <c r="E45" i="4" s="1"/>
  <c r="E45" i="13"/>
  <c r="B46" i="4"/>
  <c r="E46" i="4" s="1"/>
  <c r="R46" i="4" s="1"/>
  <c r="E46" i="13"/>
  <c r="B49" i="4"/>
  <c r="E49" i="4" s="1"/>
  <c r="R49" i="4" s="1"/>
  <c r="C54" i="4"/>
  <c r="B54" i="13" s="1"/>
  <c r="B56" i="4"/>
  <c r="E56" i="4" s="1"/>
  <c r="C62" i="4"/>
  <c r="B62" i="13" s="1"/>
  <c r="B75" i="4"/>
  <c r="E75" i="4"/>
  <c r="R75" i="4" s="1"/>
  <c r="R77" i="4" s="1"/>
  <c r="C77" i="4"/>
  <c r="B77" i="4" s="1"/>
  <c r="B83" i="4"/>
  <c r="E83" i="4" s="1"/>
  <c r="C96" i="4"/>
  <c r="B96" i="4" s="1"/>
  <c r="B99" i="4"/>
  <c r="E99" i="4" s="1"/>
  <c r="C104" i="4"/>
  <c r="B104" i="13" s="1"/>
  <c r="R56" i="4" l="1"/>
  <c r="R62" i="4" s="1"/>
  <c r="E62" i="4"/>
  <c r="B54" i="4"/>
  <c r="B104" i="4"/>
  <c r="C63" i="4"/>
  <c r="B55" i="11"/>
  <c r="B64" i="11" s="1"/>
  <c r="B98" i="11" s="1"/>
  <c r="B106" i="11" s="1"/>
  <c r="B62" i="4"/>
  <c r="D76" i="11"/>
  <c r="D47" i="11"/>
  <c r="D105" i="11"/>
  <c r="D63" i="11"/>
  <c r="E104" i="4"/>
  <c r="R99" i="4"/>
  <c r="S29" i="7"/>
  <c r="S35" i="7" s="1"/>
  <c r="S37" i="7" s="1"/>
  <c r="E35" i="7"/>
  <c r="E37" i="7" s="1"/>
  <c r="U29" i="7"/>
  <c r="U35" i="7" s="1"/>
  <c r="U37" i="7" s="1"/>
  <c r="G29" i="7"/>
  <c r="G35" i="7" s="1"/>
  <c r="G37" i="7" s="1"/>
  <c r="W29" i="7"/>
  <c r="W35" i="7" s="1"/>
  <c r="W37" i="7" s="1"/>
  <c r="I29" i="7"/>
  <c r="I35" i="7" s="1"/>
  <c r="I37" i="7" s="1"/>
  <c r="Y29" i="7"/>
  <c r="Y35" i="7" s="1"/>
  <c r="Y37" i="7" s="1"/>
  <c r="K29" i="7"/>
  <c r="K35" i="7" s="1"/>
  <c r="K37" i="7" s="1"/>
  <c r="AA29" i="7"/>
  <c r="AA35" i="7" s="1"/>
  <c r="AA37" i="7" s="1"/>
  <c r="M29" i="7"/>
  <c r="M35" i="7" s="1"/>
  <c r="M37" i="7" s="1"/>
  <c r="AC29" i="7"/>
  <c r="AC35" i="7" s="1"/>
  <c r="AC37" i="7" s="1"/>
  <c r="AG29" i="7"/>
  <c r="AG35" i="7" s="1"/>
  <c r="AG37" i="7" s="1"/>
  <c r="O29" i="7"/>
  <c r="O35" i="7" s="1"/>
  <c r="O37" i="7" s="1"/>
  <c r="AE29" i="7"/>
  <c r="AE35" i="7" s="1"/>
  <c r="AE37" i="7" s="1"/>
  <c r="Q29" i="7"/>
  <c r="Q35" i="7" s="1"/>
  <c r="Q37" i="7" s="1"/>
  <c r="R83" i="4"/>
  <c r="R96" i="4" s="1"/>
  <c r="E96" i="4"/>
  <c r="R45" i="4"/>
  <c r="R54" i="4" s="1"/>
  <c r="R63" i="4" s="1"/>
  <c r="R97" i="4" s="1"/>
  <c r="E54" i="4"/>
  <c r="E63" i="4" s="1"/>
  <c r="E97" i="4" s="1"/>
  <c r="E105" i="4" s="1"/>
  <c r="B77" i="13"/>
  <c r="C55" i="11"/>
  <c r="C78" i="11"/>
  <c r="D78" i="11" s="1"/>
  <c r="E77" i="4"/>
  <c r="C97" i="11"/>
  <c r="D97" i="11" s="1"/>
  <c r="S54" i="4"/>
  <c r="B63" i="13" l="1"/>
  <c r="C97" i="4"/>
  <c r="B63" i="4"/>
  <c r="AC45" i="7"/>
  <c r="AC49" i="7"/>
  <c r="U49" i="7"/>
  <c r="U45" i="7"/>
  <c r="M45" i="7"/>
  <c r="M49" i="7"/>
  <c r="E49" i="7"/>
  <c r="E45" i="7"/>
  <c r="AG49" i="7"/>
  <c r="AG45" i="7"/>
  <c r="AA45" i="7"/>
  <c r="AA49" i="7"/>
  <c r="S49" i="7"/>
  <c r="S45" i="7"/>
  <c r="G49" i="7"/>
  <c r="G45" i="7"/>
  <c r="K45" i="7"/>
  <c r="K49" i="7"/>
  <c r="R104" i="4"/>
  <c r="R105" i="4" s="1"/>
  <c r="S99" i="4"/>
  <c r="Q49" i="7"/>
  <c r="Q45" i="7"/>
  <c r="Y45" i="7"/>
  <c r="Y49" i="7"/>
  <c r="S63" i="4"/>
  <c r="E54" i="13"/>
  <c r="AE49" i="7"/>
  <c r="AE45" i="7"/>
  <c r="I45" i="7"/>
  <c r="I49" i="7"/>
  <c r="D55" i="11"/>
  <c r="C64" i="11"/>
  <c r="O49" i="7"/>
  <c r="O45" i="7"/>
  <c r="W45" i="7"/>
  <c r="W49" i="7"/>
  <c r="B97" i="13" l="1"/>
  <c r="B97" i="4"/>
  <c r="C105" i="4"/>
  <c r="D64" i="11"/>
  <c r="C98" i="11"/>
  <c r="I60" i="7"/>
  <c r="I47" i="7"/>
  <c r="I48" i="7"/>
  <c r="M48" i="7"/>
  <c r="M47" i="7"/>
  <c r="M60" i="7"/>
  <c r="S104" i="4"/>
  <c r="E99" i="13"/>
  <c r="O48" i="7"/>
  <c r="O47" i="7"/>
  <c r="O60" i="7"/>
  <c r="Y60" i="7"/>
  <c r="Y48" i="7"/>
  <c r="Y47" i="7"/>
  <c r="S60" i="7"/>
  <c r="S48" i="7"/>
  <c r="S47" i="7"/>
  <c r="AA47" i="7"/>
  <c r="AA60" i="7"/>
  <c r="AA48" i="7"/>
  <c r="U60" i="7"/>
  <c r="U48" i="7"/>
  <c r="U47" i="7"/>
  <c r="Q60" i="7"/>
  <c r="Q48" i="7"/>
  <c r="Q47" i="7"/>
  <c r="AG60" i="7"/>
  <c r="AG48" i="7"/>
  <c r="AG47" i="7"/>
  <c r="AE48" i="7"/>
  <c r="AE47" i="7"/>
  <c r="AE60" i="7"/>
  <c r="S97" i="4"/>
  <c r="E63" i="13"/>
  <c r="K47" i="7"/>
  <c r="K60" i="7"/>
  <c r="K48" i="7"/>
  <c r="W60" i="7"/>
  <c r="W48" i="7"/>
  <c r="W47" i="7"/>
  <c r="G60" i="7"/>
  <c r="G48" i="7"/>
  <c r="G47" i="7"/>
  <c r="E60" i="7"/>
  <c r="E48" i="7"/>
  <c r="E47" i="7"/>
  <c r="AC48" i="7"/>
  <c r="AC47" i="7"/>
  <c r="AC60" i="7"/>
  <c r="AG269" i="20" l="1"/>
  <c r="BE101" i="3"/>
  <c r="AC455" i="3"/>
  <c r="B105" i="4"/>
  <c r="B105" i="13"/>
  <c r="U66" i="7"/>
  <c r="U62" i="7"/>
  <c r="U67" i="7"/>
  <c r="G67" i="7"/>
  <c r="G66" i="7"/>
  <c r="G62" i="7"/>
  <c r="K67" i="7"/>
  <c r="K66" i="7"/>
  <c r="K70" i="7" s="1"/>
  <c r="K62" i="7"/>
  <c r="Y67" i="7"/>
  <c r="Y66" i="7"/>
  <c r="Y70" i="7" s="1"/>
  <c r="Y62" i="7"/>
  <c r="AG67" i="7"/>
  <c r="AG62" i="7"/>
  <c r="AG66" i="7"/>
  <c r="AG70" i="7" s="1"/>
  <c r="E66" i="7"/>
  <c r="E62" i="7"/>
  <c r="E67" i="7"/>
  <c r="AZ1046" i="3"/>
  <c r="E97" i="13"/>
  <c r="S105" i="4"/>
  <c r="I67" i="7"/>
  <c r="I66" i="7"/>
  <c r="I62" i="7"/>
  <c r="W67" i="7"/>
  <c r="W66" i="7"/>
  <c r="W62" i="7"/>
  <c r="D98" i="11"/>
  <c r="C106" i="11"/>
  <c r="D106" i="11" s="1"/>
  <c r="AC67" i="7"/>
  <c r="AC66" i="7"/>
  <c r="AC62" i="7"/>
  <c r="M67" i="7"/>
  <c r="M66" i="7"/>
  <c r="M62" i="7"/>
  <c r="AA67" i="7"/>
  <c r="AA66" i="7"/>
  <c r="AA62" i="7"/>
  <c r="O67" i="7"/>
  <c r="O66" i="7"/>
  <c r="O70" i="7" s="1"/>
  <c r="O62" i="7"/>
  <c r="O72" i="7" s="1"/>
  <c r="AE67" i="7"/>
  <c r="AE66" i="7"/>
  <c r="AE62" i="7"/>
  <c r="Q67" i="7"/>
  <c r="Q66" i="7"/>
  <c r="Q70" i="7" s="1"/>
  <c r="Q62" i="7"/>
  <c r="Q72" i="7" s="1"/>
  <c r="S62" i="7"/>
  <c r="S67" i="7"/>
  <c r="S66" i="7"/>
  <c r="BA1058" i="3"/>
  <c r="E104" i="13"/>
  <c r="K72" i="7" l="1"/>
  <c r="U70" i="7"/>
  <c r="E70" i="7"/>
  <c r="E72" i="7" s="1"/>
  <c r="U72" i="7"/>
  <c r="AE70" i="7"/>
  <c r="AE72" i="7" s="1"/>
  <c r="Y72" i="7"/>
  <c r="AG72" i="7"/>
  <c r="AC70" i="7"/>
  <c r="AC72" i="7" s="1"/>
  <c r="G70" i="7"/>
  <c r="G72" i="7" s="1"/>
  <c r="BE22" i="3"/>
  <c r="AB266" i="20"/>
  <c r="AG268" i="20" s="1"/>
  <c r="AG270" i="20" s="1"/>
  <c r="AK273" i="20" s="1"/>
  <c r="T812" i="20" s="1"/>
  <c r="AF812" i="20" s="1"/>
  <c r="BE77" i="3" s="1"/>
  <c r="AC454" i="3"/>
  <c r="AB47" i="15"/>
  <c r="AB49" i="15" s="1"/>
  <c r="AB54" i="15" s="1"/>
  <c r="AB55" i="15" s="1"/>
  <c r="N185" i="23"/>
  <c r="AA70" i="7"/>
  <c r="AA72" i="7" s="1"/>
  <c r="M70" i="7"/>
  <c r="M72" i="7" s="1"/>
  <c r="I70" i="7"/>
  <c r="I72" i="7" s="1"/>
  <c r="E105" i="13"/>
  <c r="S107" i="4"/>
  <c r="S70" i="7"/>
  <c r="S72" i="7" s="1"/>
  <c r="W70" i="7"/>
  <c r="W72" i="7" s="1"/>
  <c r="AZ1051" i="3"/>
  <c r="BA1055" i="3" s="1"/>
  <c r="BA1059" i="3" s="1"/>
  <c r="BA1056" i="3"/>
  <c r="BE44" i="3" l="1"/>
  <c r="F457" i="3"/>
  <c r="N186" i="23"/>
  <c r="N196" i="23"/>
  <c r="E107" i="13"/>
  <c r="T11" i="15" s="1"/>
  <c r="T23" i="15" s="1"/>
  <c r="AA1056" i="3"/>
  <c r="AA1057" i="3" s="1"/>
  <c r="G1058" i="3" s="1"/>
  <c r="AF551" i="20"/>
  <c r="AF553" i="20" s="1"/>
  <c r="AK559" i="20" s="1"/>
  <c r="T818" i="20" s="1"/>
  <c r="AF818" i="20" s="1"/>
  <c r="AC456" i="3"/>
  <c r="BE81" i="3" l="1"/>
  <c r="AF821" i="20"/>
  <c r="BE70" i="3" s="1"/>
  <c r="AD38" i="15"/>
  <c r="AD40" i="15" s="1"/>
  <c r="T26" i="15"/>
  <c r="T28" i="15" s="1"/>
  <c r="T29" i="15" s="1"/>
  <c r="Y64" i="15"/>
  <c r="Y68" i="15" s="1"/>
  <c r="Y69" i="15" s="1"/>
  <c r="Y38" i="15" l="1"/>
  <c r="Y40" i="15" s="1"/>
  <c r="Y41" i="15" s="1"/>
  <c r="AB56" i="15" s="1"/>
  <c r="AB57" i="15" s="1"/>
  <c r="M26" i="3"/>
  <c r="P204" i="3" l="1"/>
  <c r="BE19" i="3"/>
  <c r="AB59" i="15"/>
  <c r="AB77" i="15" s="1"/>
  <c r="AB78" i="15" s="1"/>
  <c r="M27" i="3" l="1"/>
  <c r="AB79" i="15"/>
  <c r="AB81" i="15" s="1"/>
  <c r="J82" i="15" s="1"/>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Diana Downton</author>
    <author>Ferguson, Gina</author>
  </authors>
  <commentList>
    <comment ref="C5" authorId="0" shapeId="0" xr:uid="{74BDDD09-FFD6-49DC-A546-5BEBCB8110C3}">
      <text>
        <r>
          <rPr>
            <sz val="9"/>
            <color indexed="81"/>
            <rFont val="Tahoma"/>
            <family val="2"/>
          </rPr>
          <t>Average vacancy assuming 10% vacancy for SN units; 5% for other units</t>
        </r>
        <r>
          <rPr>
            <b/>
            <sz val="9"/>
            <color indexed="81"/>
            <rFont val="Tahoma"/>
            <family val="2"/>
          </rPr>
          <t xml:space="preserve">
</t>
        </r>
        <r>
          <rPr>
            <sz val="9"/>
            <color indexed="81"/>
            <rFont val="Tahoma"/>
            <family val="2"/>
          </rPr>
          <t xml:space="preserve">
</t>
        </r>
      </text>
    </comment>
    <comment ref="C62" authorId="1" shapeId="0" xr:uid="{00000000-0006-0000-0C00-000001000000}">
      <text>
        <r>
          <rPr>
            <sz val="9"/>
            <color indexed="81"/>
            <rFont val="Tahoma"/>
            <family val="2"/>
          </rPr>
          <t>INSERT PERCENTAGE SHARE OF RESIDUAL RECEIPTS CASH FLOW</t>
        </r>
      </text>
    </comment>
    <comment ref="C65"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<sst xmlns="http://schemas.openxmlformats.org/spreadsheetml/2006/main" count="5018" uniqueCount="2750">
  <si>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</si>
  <si>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</si>
  <si>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</si>
  <si>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</si>
  <si>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</si>
  <si>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</si>
  <si>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</si>
  <si>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</si>
  <si>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</si>
  <si>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</si>
  <si>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</si>
  <si>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</si>
  <si>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</si>
  <si>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</si>
  <si>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</si>
  <si>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</si>
  <si>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</si>
  <si>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</si>
  <si>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</si>
  <si>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</si>
  <si>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</si>
  <si>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</si>
  <si>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</si>
  <si>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</si>
  <si>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</si>
  <si>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</si>
  <si>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</si>
  <si>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</si>
  <si>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</si>
  <si>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</si>
  <si>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</si>
  <si>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</si>
  <si>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</si>
  <si>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</si>
  <si>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</si>
  <si>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</si>
  <si>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</si>
  <si>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</si>
  <si>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</si>
  <si>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</si>
  <si>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</si>
  <si>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</si>
  <si>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</si>
  <si>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</si>
  <si>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</si>
  <si>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</si>
  <si>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</si>
  <si>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</si>
  <si>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</si>
  <si>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</si>
  <si>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</si>
  <si>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</si>
  <si>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</si>
  <si>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</si>
  <si>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</si>
  <si>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</si>
  <si>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</si>
  <si>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</si>
  <si>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</si>
  <si>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</si>
  <si>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</si>
  <si>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</si>
  <si>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</si>
  <si>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</si>
  <si>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</si>
  <si>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</si>
  <si>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</si>
  <si>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</si>
  <si>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</si>
  <si>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</si>
  <si>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</si>
  <si>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</si>
  <si>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</si>
  <si>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</si>
  <si>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</si>
  <si>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</si>
  <si>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</si>
  <si>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</si>
  <si>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</si>
  <si>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</si>
  <si>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</si>
  <si>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</si>
  <si>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</si>
  <si>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</si>
  <si>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</si>
  <si>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</si>
  <si>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</si>
  <si>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</si>
  <si>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</si>
  <si>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</si>
  <si>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</si>
  <si>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</si>
  <si>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</si>
  <si>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</si>
  <si>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</si>
  <si>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</si>
  <si>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</si>
  <si>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</si>
  <si>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</si>
  <si>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</si>
  <si>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</si>
  <si>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</si>
  <si>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</si>
  <si>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</si>
  <si>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</si>
  <si>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</si>
  <si>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</si>
  <si>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</si>
  <si>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</si>
  <si>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</si>
  <si>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</si>
  <si>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</si>
  <si>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</si>
  <si>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</si>
  <si>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</si>
  <si>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</si>
  <si>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</si>
  <si>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</si>
  <si>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</si>
  <si>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</si>
  <si>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</si>
  <si>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</si>
  <si>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</si>
  <si>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</si>
  <si>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</si>
  <si>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</si>
  <si>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</si>
  <si>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</si>
  <si>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</si>
  <si>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</si>
  <si>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</si>
  <si>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</si>
  <si>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</si>
  <si>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</si>
  <si>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</si>
  <si>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</si>
  <si>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</si>
  <si>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</si>
  <si>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</si>
  <si>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</si>
  <si>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</si>
  <si>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</si>
  <si>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</si>
  <si>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</si>
  <si>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</si>
  <si>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</si>
  <si>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</si>
  <si>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</si>
  <si>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</si>
  <si>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</si>
  <si>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</si>
  <si>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</si>
  <si>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</si>
  <si>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</si>
  <si>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</si>
  <si>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</si>
  <si>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</si>
  <si>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</si>
  <si>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</si>
  <si>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</si>
  <si>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</si>
  <si>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</si>
  <si>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</si>
  <si>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</si>
  <si>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</si>
  <si>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</si>
  <si>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</si>
  <si>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</si>
  <si>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</si>
  <si>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</si>
  <si>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</si>
  <si>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</si>
  <si>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</si>
  <si>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</si>
  <si>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</si>
  <si>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</si>
  <si>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</si>
  <si>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</si>
  <si>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</si>
  <si>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</si>
  <si>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</si>
  <si>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</si>
  <si>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</si>
  <si>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</si>
  <si>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</si>
  <si>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</si>
  <si>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</si>
  <si>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</si>
  <si>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</si>
  <si>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</si>
  <si>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</si>
  <si>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</si>
  <si>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</si>
  <si>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</si>
  <si>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</si>
  <si>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</si>
  <si>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</si>
  <si>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</si>
  <si>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</si>
  <si>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</si>
  <si>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</si>
  <si>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</si>
  <si>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</si>
  <si>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</si>
  <si>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</si>
  <si>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</si>
  <si>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</si>
  <si>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</si>
  <si>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</si>
  <si>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</si>
  <si>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</si>
  <si>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</si>
  <si>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</si>
  <si>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</si>
  <si>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</si>
  <si>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</si>
  <si>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</si>
  <si>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</si>
  <si>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</si>
  <si>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</si>
  <si>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</si>
  <si>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</si>
  <si>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</si>
  <si>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</si>
  <si>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</si>
  <si>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</si>
  <si>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</si>
  <si>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</si>
  <si>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</si>
  <si>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</si>
  <si>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</si>
  <si>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</si>
  <si>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</si>
  <si>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</si>
  <si>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</si>
  <si>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</si>
  <si>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</si>
  <si>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</si>
  <si>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</si>
  <si>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</si>
  <si>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</si>
  <si>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</si>
  <si>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</si>
  <si>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</si>
  <si>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</si>
  <si>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</si>
  <si>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</si>
  <si>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</si>
  <si>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</si>
  <si>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</si>
  <si>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</si>
  <si>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</si>
  <si>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</si>
  <si>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</si>
  <si>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</si>
  <si>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</si>
  <si>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</si>
  <si>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</si>
  <si>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</si>
  <si>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</si>
  <si>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</si>
  <si>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</si>
  <si>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</si>
  <si>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</si>
  <si>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</si>
  <si>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</si>
  <si>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</si>
  <si>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</si>
  <si>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</si>
  <si>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</si>
  <si>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</si>
  <si>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</si>
  <si>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</si>
  <si>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</si>
  <si>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</si>
  <si>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</si>
  <si>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</si>
  <si>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</si>
  <si>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</si>
  <si>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</si>
  <si>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</si>
  <si>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</si>
  <si>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</si>
  <si>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</si>
  <si>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</si>
  <si>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</si>
  <si>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</si>
  <si>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</si>
  <si>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</si>
  <si>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</si>
  <si>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</si>
  <si>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</si>
  <si>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</si>
  <si>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</si>
  <si>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</si>
  <si>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</si>
  <si>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</si>
  <si>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</si>
  <si>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</si>
  <si>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</si>
  <si>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</si>
  <si>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</si>
  <si>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</si>
  <si>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</si>
  <si>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</si>
  <si>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</si>
  <si>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</si>
  <si>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</si>
  <si>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</si>
  <si>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</si>
  <si>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</si>
  <si>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</si>
  <si>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</si>
  <si>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</si>
  <si>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</si>
  <si>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</si>
  <si>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</si>
  <si>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</si>
  <si>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</si>
  <si>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</si>
  <si>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</si>
  <si>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</si>
  <si>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</si>
  <si>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</si>
  <si>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</si>
  <si>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</si>
  <si>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</si>
  <si>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</si>
  <si>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</si>
  <si>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</si>
  <si>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</si>
  <si>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</si>
  <si>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</si>
  <si>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</si>
  <si>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</si>
  <si>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</si>
  <si>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</si>
  <si>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</si>
  <si>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</si>
  <si>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</si>
  <si>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</si>
  <si>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</si>
  <si>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</si>
  <si>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</si>
  <si>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</si>
  <si>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</si>
  <si>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</si>
  <si>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</si>
  <si>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</si>
  <si>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</si>
  <si>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</si>
  <si>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</si>
  <si>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</si>
  <si>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</si>
  <si>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</si>
  <si>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</si>
  <si>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</si>
  <si>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</si>
  <si>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</si>
  <si>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</si>
  <si>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</si>
  <si>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</si>
  <si>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</si>
  <si>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</si>
  <si>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</si>
  <si>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</si>
  <si>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</si>
  <si>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</si>
  <si>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</si>
  <si>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</si>
  <si>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</si>
  <si>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</si>
  <si>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</si>
  <si>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</si>
  <si>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</si>
  <si>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</si>
  <si>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</si>
  <si>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</si>
  <si>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</si>
  <si>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</si>
  <si>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</si>
  <si>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</si>
  <si>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</si>
  <si>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</si>
  <si>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</si>
  <si>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</si>
  <si>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</si>
  <si>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</si>
  <si>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</si>
  <si>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</si>
  <si>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</si>
  <si>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</si>
  <si>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</si>
  <si>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</si>
  <si>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</si>
  <si>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</si>
  <si>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</si>
  <si>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</si>
  <si>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</si>
  <si>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</si>
  <si>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</si>
  <si>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</si>
  <si>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</si>
  <si>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</si>
  <si>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</si>
  <si>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</si>
  <si>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</si>
  <si>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</si>
  <si>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</si>
  <si>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</si>
  <si>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</si>
  <si>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</si>
  <si>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</si>
  <si>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</si>
  <si>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</si>
  <si>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</si>
  <si>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</si>
  <si>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</si>
  <si>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</si>
  <si>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</si>
  <si>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</si>
  <si>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</si>
  <si>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</si>
  <si>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</si>
  <si>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</si>
  <si>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</si>
  <si>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</si>
  <si>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</si>
  <si>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</si>
  <si>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</si>
  <si>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</si>
  <si>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</si>
  <si>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</si>
  <si>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</si>
  <si>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</si>
  <si>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</si>
  <si>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</si>
  <si>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</si>
  <si>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</si>
  <si>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</si>
  <si>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</si>
  <si>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</si>
  <si>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</si>
  <si>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</si>
  <si>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</si>
  <si>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</si>
  <si>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</si>
  <si>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</si>
  <si>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</si>
  <si>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</si>
  <si>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</si>
  <si>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</si>
  <si>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</si>
  <si>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</si>
  <si>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</si>
  <si>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</si>
  <si>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</si>
  <si>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</si>
  <si>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</si>
  <si>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</si>
  <si>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</si>
  <si>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</si>
  <si>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</si>
  <si>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</si>
  <si>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</si>
  <si>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</si>
  <si>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</si>
  <si>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</si>
  <si>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</si>
  <si>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</si>
  <si>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</si>
  <si>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</si>
  <si>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</si>
  <si>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</si>
  <si>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</si>
  <si>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</si>
  <si>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</si>
  <si>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</si>
  <si>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</si>
  <si>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</si>
  <si>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</si>
  <si>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</si>
  <si>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</si>
  <si>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</si>
  <si>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</si>
  <si>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</si>
  <si>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</si>
  <si>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</si>
  <si>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</si>
  <si>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</si>
  <si>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</si>
  <si>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</si>
  <si>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</si>
  <si>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</si>
  <si>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</si>
  <si>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</si>
  <si>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</si>
  <si>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</si>
  <si>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</si>
  <si>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</si>
  <si>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</si>
  <si>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</si>
  <si>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</si>
  <si>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</si>
  <si>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</si>
  <si>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</si>
  <si>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</si>
  <si>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</si>
  <si>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</si>
  <si>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</si>
  <si>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</si>
  <si>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</si>
  <si>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</si>
  <si>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</si>
  <si>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</si>
  <si>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</si>
  <si>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</si>
  <si>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</si>
  <si>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</si>
  <si>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</si>
  <si>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</si>
  <si>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</si>
  <si>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</si>
  <si>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</si>
  <si>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</si>
  <si>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</si>
  <si>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</si>
  <si>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</si>
  <si>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</si>
  <si>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</si>
  <si>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</si>
  <si>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</si>
  <si>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</si>
  <si>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</si>
  <si>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</si>
  <si>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</si>
  <si>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</si>
  <si>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</si>
  <si>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</si>
  <si>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</si>
  <si>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</si>
  <si>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</si>
  <si>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</si>
  <si>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</si>
  <si>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</si>
  <si>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</si>
  <si>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</si>
  <si>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</si>
  <si>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</si>
  <si>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</si>
  <si>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</si>
  <si>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</si>
  <si>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</si>
  <si>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</si>
  <si>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</si>
  <si>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</si>
  <si>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</si>
  <si>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</si>
  <si>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</si>
  <si>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</si>
  <si>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</si>
  <si>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</si>
  <si>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</si>
  <si>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</si>
  <si>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</si>
  <si>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</si>
  <si>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</si>
  <si>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</si>
  <si>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</si>
  <si>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</si>
  <si>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</si>
  <si>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</si>
  <si>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</si>
  <si>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</si>
  <si>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</si>
  <si>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</si>
  <si>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</si>
  <si>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</si>
  <si>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</si>
  <si>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</si>
  <si>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</si>
  <si>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</si>
  <si>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</si>
  <si>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</si>
  <si>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</si>
  <si>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</si>
  <si>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</si>
  <si>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</si>
  <si>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</si>
  <si>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</si>
  <si>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</si>
  <si>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</si>
  <si>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</si>
  <si>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</si>
  <si>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</si>
  <si>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</si>
  <si>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</si>
  <si>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</si>
  <si>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</si>
  <si>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</si>
  <si>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</si>
  <si>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</si>
  <si>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</si>
  <si>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</si>
  <si>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</si>
  <si>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</si>
  <si>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</si>
  <si>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</si>
  <si>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</si>
  <si>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</si>
  <si>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</si>
  <si>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</si>
  <si>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</si>
  <si>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</si>
  <si>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</si>
  <si>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</si>
  <si>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</si>
  <si>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</si>
  <si>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</si>
  <si>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</si>
  <si>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</si>
  <si>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</si>
  <si>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</si>
  <si>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</si>
  <si>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</si>
  <si>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</si>
  <si>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</si>
  <si>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</si>
  <si>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</si>
  <si>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</si>
  <si>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</si>
  <si>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</si>
  <si>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</si>
  <si>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</si>
  <si>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</si>
  <si>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</si>
  <si>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</si>
  <si>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</si>
  <si>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</si>
  <si>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</si>
  <si>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</si>
  <si>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</si>
  <si>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</si>
  <si>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</si>
  <si>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</si>
  <si>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</si>
  <si>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</si>
  <si>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</si>
  <si>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</si>
  <si>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</si>
  <si>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</si>
  <si>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</si>
  <si>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</si>
  <si>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</si>
  <si>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</si>
  <si>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</si>
  <si>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</si>
  <si>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</si>
  <si>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</si>
  <si>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</si>
  <si>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</si>
  <si>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</si>
  <si>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</si>
  <si>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</si>
  <si>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</si>
  <si>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</si>
  <si>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</si>
  <si>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</si>
  <si>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</si>
  <si>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</si>
  <si>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</si>
  <si>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</si>
  <si>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</si>
  <si>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</si>
  <si>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</si>
  <si>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</si>
  <si>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</si>
  <si>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</si>
  <si>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</si>
  <si>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</si>
  <si>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</si>
  <si>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</si>
  <si>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</si>
  <si>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</si>
  <si>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</si>
  <si>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</si>
  <si>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</si>
  <si>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</si>
  <si>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</si>
  <si>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</si>
  <si>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</si>
  <si>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</si>
  <si>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</si>
  <si>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</si>
  <si>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</si>
  <si>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</si>
  <si>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</si>
  <si>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</si>
  <si>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</si>
  <si>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</si>
  <si>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</si>
  <si>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</si>
  <si>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</si>
  <si>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</si>
  <si>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</si>
  <si>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</si>
  <si>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</si>
  <si>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</si>
  <si>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</si>
  <si>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</si>
  <si>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</si>
  <si>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</si>
  <si>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</si>
  <si>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</si>
  <si>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</si>
  <si>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</si>
  <si>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</si>
  <si>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</si>
  <si>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</si>
  <si>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</si>
  <si>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</si>
  <si>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</si>
  <si>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</si>
  <si>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</si>
  <si>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</si>
  <si>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</si>
  <si>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</si>
  <si>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</si>
  <si>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</si>
  <si>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</si>
  <si>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</si>
  <si>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</si>
  <si>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</si>
  <si>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</si>
  <si>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</si>
  <si>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</si>
  <si>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</si>
  <si>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</si>
  <si>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</si>
  <si>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</si>
  <si>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</si>
  <si>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</si>
  <si>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</si>
  <si>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</si>
  <si>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</si>
  <si>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</si>
  <si>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</si>
  <si>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</si>
  <si>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</si>
  <si>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</si>
  <si>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</si>
  <si>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</si>
  <si>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</si>
  <si>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</si>
  <si>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</si>
  <si>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</si>
  <si>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</si>
  <si>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</si>
  <si>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</si>
  <si>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</si>
  <si>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</si>
  <si>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</si>
  <si>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</si>
  <si>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</si>
  <si>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</si>
  <si>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</si>
  <si>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</si>
  <si>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</si>
  <si>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</si>
  <si>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</si>
  <si>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</si>
  <si>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</si>
  <si>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</si>
  <si>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</si>
  <si>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</si>
  <si>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</si>
  <si>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</si>
  <si>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</si>
  <si>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</si>
  <si>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</si>
  <si>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</si>
  <si>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</si>
  <si>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</si>
  <si>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</si>
  <si>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</si>
  <si>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</si>
  <si>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</si>
  <si>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</si>
  <si>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</si>
  <si>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</si>
  <si>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</si>
  <si>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</si>
  <si>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</si>
  <si>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</si>
  <si>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</si>
  <si>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</si>
  <si>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</si>
  <si>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</si>
  <si>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</si>
  <si>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</si>
  <si>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</si>
  <si>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</si>
  <si>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</si>
  <si>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</si>
  <si>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</si>
  <si>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</si>
  <si>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</si>
  <si>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</si>
  <si>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</si>
  <si>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</si>
  <si>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</si>
  <si>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</si>
  <si>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</si>
  <si>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</si>
  <si>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</si>
  <si>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</si>
  <si>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</si>
  <si>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</si>
  <si>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</si>
  <si>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</si>
  <si>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</si>
  <si>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</si>
  <si>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</si>
  <si>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</si>
  <si>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</si>
  <si>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</si>
  <si>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</si>
  <si>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</si>
  <si>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</si>
  <si>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</si>
  <si>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</si>
  <si>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</si>
  <si>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</si>
  <si>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</si>
  <si>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</si>
  <si>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</si>
  <si>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</si>
  <si>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</si>
  <si>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</si>
  <si>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</si>
  <si>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</si>
  <si>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</si>
  <si>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</si>
  <si>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</si>
  <si>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</si>
  <si>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</si>
  <si>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</si>
  <si>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</si>
  <si>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</si>
  <si>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</si>
  <si>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</si>
  <si>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</si>
  <si>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</si>
  <si>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</si>
  <si>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</si>
  <si>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</si>
  <si>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</si>
  <si>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</si>
  <si>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</si>
  <si>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</si>
  <si>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</si>
  <si>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</si>
  <si>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</si>
  <si>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</si>
  <si>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</si>
  <si>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</si>
  <si>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</si>
  <si>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</si>
  <si>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</si>
  <si>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</si>
  <si>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</si>
  <si>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</si>
  <si>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</si>
  <si>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</si>
  <si>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</si>
  <si>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</si>
  <si>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</si>
  <si>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</si>
  <si>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</si>
  <si>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</si>
  <si>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</si>
  <si>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</si>
  <si>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</si>
  <si>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</si>
  <si>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</si>
  <si>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</si>
  <si>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</si>
  <si>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</si>
  <si>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</si>
  <si>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</si>
  <si>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</si>
  <si>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</si>
  <si>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</si>
  <si>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</si>
  <si>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</si>
  <si>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</si>
  <si>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</si>
  <si>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</si>
  <si>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</si>
  <si>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</si>
  <si>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</si>
  <si>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</si>
  <si>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</si>
  <si>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</si>
  <si>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</si>
  <si>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</si>
  <si>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</si>
  <si>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</si>
  <si>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</si>
  <si>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</si>
  <si>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</si>
  <si>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</si>
  <si>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</si>
  <si>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</si>
  <si>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</si>
  <si>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</si>
  <si>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</si>
  <si>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</si>
  <si>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</si>
  <si>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</si>
  <si>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</si>
  <si>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</si>
  <si>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</si>
  <si>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</si>
  <si>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</si>
  <si>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</si>
  <si>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</si>
  <si>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</si>
  <si>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</si>
  <si>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</si>
  <si>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</si>
  <si>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</si>
  <si>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</si>
  <si>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</si>
  <si>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</si>
  <si>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</si>
  <si>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</si>
  <si>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</si>
  <si>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</si>
  <si>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</si>
  <si>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</si>
  <si>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</si>
  <si>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</si>
  <si>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</si>
  <si>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</si>
  <si>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</si>
  <si>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</si>
  <si>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</si>
  <si>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</si>
  <si>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</si>
  <si>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</si>
  <si>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</si>
  <si>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</si>
  <si>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</si>
  <si>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</si>
  <si>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</si>
  <si>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</si>
  <si>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</si>
  <si>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</si>
  <si>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</si>
  <si>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</si>
  <si>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</si>
  <si>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</si>
  <si>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</si>
  <si>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</si>
  <si>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</si>
  <si>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</si>
  <si>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</si>
  <si>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</si>
  <si>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</si>
  <si>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</si>
  <si>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</si>
  <si>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</si>
  <si>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</si>
  <si>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</si>
  <si>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</si>
  <si>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</si>
  <si>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</si>
  <si>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</si>
  <si>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</si>
  <si>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</si>
  <si>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</si>
  <si>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</si>
  <si>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</si>
  <si>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</si>
  <si>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</si>
  <si>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</si>
  <si>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</si>
  <si>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</si>
  <si>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</si>
  <si>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</si>
  <si>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</si>
  <si>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</si>
  <si>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</si>
  <si>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</si>
  <si>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</si>
  <si>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</si>
  <si>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</si>
  <si>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</si>
  <si>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</si>
  <si>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</si>
  <si>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</si>
  <si>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</si>
  <si>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</si>
  <si>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</si>
  <si>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</si>
  <si>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</si>
  <si>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</si>
  <si>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</si>
  <si>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</si>
  <si>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</si>
  <si>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</si>
  <si>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</si>
  <si>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</si>
  <si>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</si>
  <si>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</si>
  <si>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</si>
  <si>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</si>
  <si>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</si>
  <si>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</si>
  <si>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</si>
  <si>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</si>
  <si>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</si>
  <si>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</si>
  <si>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</si>
  <si>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</si>
  <si>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</si>
  <si>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</si>
  <si>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</si>
  <si>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</si>
  <si>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</si>
  <si>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</si>
  <si>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</si>
  <si>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</si>
  <si>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</si>
  <si>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</si>
  <si>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</si>
  <si>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</si>
  <si>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</si>
  <si>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</si>
  <si>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</si>
  <si>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</si>
  <si>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</si>
  <si>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</si>
  <si>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</si>
  <si>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</si>
  <si>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</si>
  <si>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</si>
  <si>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</si>
  <si>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</si>
  <si>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</si>
  <si>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</si>
  <si>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</si>
  <si>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</si>
  <si>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</si>
  <si>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</si>
  <si>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</si>
  <si>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</si>
  <si>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</si>
  <si>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</si>
  <si>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</si>
  <si>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</si>
  <si>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</si>
  <si>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</si>
  <si>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</si>
  <si>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</si>
  <si>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</si>
  <si>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</si>
  <si>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</si>
  <si>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</si>
  <si>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</si>
  <si>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</si>
  <si>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</si>
  <si>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</si>
  <si>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</si>
  <si>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</si>
  <si>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</si>
  <si>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</si>
  <si>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</si>
  <si>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</si>
  <si>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</si>
  <si>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</si>
  <si>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</si>
  <si>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</si>
  <si>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</si>
  <si>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</si>
  <si>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</si>
  <si>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</si>
  <si>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</si>
  <si>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</si>
  <si>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</si>
  <si>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</si>
  <si>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</si>
  <si>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</si>
  <si>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</si>
  <si>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</si>
  <si>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</si>
  <si>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</si>
  <si>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</si>
  <si>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</si>
  <si>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</si>
  <si>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</si>
  <si>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</si>
  <si>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</si>
  <si>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</si>
  <si>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</si>
  <si>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</si>
  <si>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</si>
  <si>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</si>
  <si>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</si>
  <si>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</si>
  <si>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</si>
  <si>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</si>
  <si>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</si>
  <si>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</si>
  <si>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</si>
  <si>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</si>
  <si>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</si>
  <si>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</si>
  <si>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</si>
  <si>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</si>
  <si>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</si>
  <si>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</si>
  <si>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</si>
  <si>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</si>
  <si>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</si>
  <si>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</si>
  <si>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</si>
  <si>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</si>
  <si>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</si>
  <si>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</si>
  <si>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</si>
  <si>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</si>
  <si>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</si>
  <si>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</si>
  <si>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</si>
  <si>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</si>
  <si>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</si>
  <si>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</si>
  <si>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</si>
  <si>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</si>
  <si>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</si>
  <si>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</si>
  <si>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</si>
  <si>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</si>
  <si>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</si>
  <si>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</si>
  <si>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</si>
  <si>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</si>
  <si>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</si>
  <si>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</si>
  <si>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</si>
  <si>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</si>
  <si>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</si>
  <si>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</si>
  <si>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</si>
  <si>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</si>
  <si>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</si>
  <si>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</si>
  <si>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</si>
  <si>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</si>
  <si>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</si>
  <si>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</si>
  <si>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</si>
  <si>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</si>
  <si>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</si>
  <si>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</si>
  <si>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</si>
  <si>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</si>
  <si>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</si>
  <si>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</si>
  <si>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</si>
  <si>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</si>
  <si>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</si>
  <si>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</si>
  <si>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</si>
  <si>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</si>
  <si>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</si>
  <si>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</si>
  <si>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</si>
  <si>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</si>
  <si>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</si>
  <si>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</si>
  <si>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</si>
  <si>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</si>
  <si>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</si>
  <si>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</si>
  <si>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</si>
  <si>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</si>
  <si>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</si>
  <si>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</si>
  <si>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</si>
  <si>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</si>
  <si>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</si>
  <si>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</si>
  <si>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</si>
  <si>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</si>
  <si>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</si>
  <si>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</si>
  <si>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</si>
  <si>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</si>
  <si>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</si>
  <si>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</si>
  <si>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</si>
  <si>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</si>
  <si>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</si>
  <si>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</si>
  <si>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</si>
  <si>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</si>
  <si>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</si>
  <si>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</si>
  <si>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</si>
  <si>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</si>
  <si>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</si>
  <si>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</si>
  <si>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</si>
  <si>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</si>
  <si>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</si>
  <si>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</si>
  <si>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</si>
  <si>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</si>
  <si>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</si>
  <si>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</si>
  <si>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</si>
  <si>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</si>
  <si>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</si>
  <si>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</si>
  <si>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</si>
  <si>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</si>
  <si>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</si>
  <si>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</si>
  <si>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</si>
  <si>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</si>
  <si>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</si>
  <si>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</si>
  <si>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</si>
  <si>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</si>
  <si>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</si>
  <si>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</si>
  <si>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</si>
  <si>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</si>
  <si>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</si>
  <si>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</si>
  <si>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</si>
  <si>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</si>
  <si>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</si>
  <si>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</si>
  <si>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</si>
  <si>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</si>
  <si>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</si>
  <si>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</si>
  <si>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</si>
  <si>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</si>
  <si>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</si>
  <si>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</si>
  <si>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</si>
  <si>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</si>
  <si>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</si>
  <si>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</si>
  <si>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</si>
  <si>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</si>
  <si>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</si>
  <si>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</si>
  <si>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</si>
  <si>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</si>
  <si>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</si>
  <si>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</si>
  <si>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</si>
  <si>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</si>
  <si>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</si>
  <si>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</si>
  <si>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</si>
  <si>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</si>
  <si>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</si>
  <si>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</si>
  <si>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</si>
  <si>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</si>
  <si>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</si>
  <si>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</si>
  <si>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</si>
  <si>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</si>
  <si>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</si>
  <si>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</si>
  <si>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</si>
  <si>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</si>
  <si>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</si>
  <si>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</si>
  <si>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</si>
  <si>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</si>
  <si>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</si>
  <si>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</si>
  <si>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</si>
  <si>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</si>
  <si>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</si>
  <si>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</si>
  <si>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</si>
  <si>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</si>
  <si>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</si>
  <si>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</si>
  <si>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</si>
  <si>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</si>
  <si>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</si>
  <si>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</si>
  <si>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</si>
  <si>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</si>
  <si>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</si>
  <si>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</si>
  <si>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</si>
  <si>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</si>
  <si>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</si>
  <si>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</si>
  <si>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</si>
  <si>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</si>
  <si>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</si>
  <si>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</si>
  <si>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</si>
  <si>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</si>
  <si>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</si>
  <si>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</si>
  <si>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</si>
  <si>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</si>
  <si>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</si>
  <si>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</si>
  <si>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</si>
  <si>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</si>
  <si>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</si>
  <si>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</si>
  <si>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</si>
  <si>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</si>
  <si>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</si>
  <si>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</si>
  <si>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</si>
  <si>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</si>
  <si>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</si>
  <si>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</si>
  <si>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</si>
  <si>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</si>
  <si>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</si>
  <si>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</si>
  <si>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</si>
  <si>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</si>
  <si>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</si>
  <si>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</si>
  <si>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</si>
  <si>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</si>
  <si>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</si>
  <si>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</si>
  <si>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</si>
  <si>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</si>
  <si>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</si>
  <si>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</si>
  <si>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</si>
  <si>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</si>
  <si>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</si>
  <si>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</si>
  <si>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</si>
  <si>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</si>
  <si>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</si>
  <si>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</si>
  <si>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</si>
  <si>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</si>
  <si>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</si>
  <si>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</si>
  <si>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</si>
  <si>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</si>
  <si>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</si>
  <si>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</si>
  <si>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</si>
  <si>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</si>
  <si>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</si>
  <si>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</si>
  <si>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</si>
  <si>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</si>
  <si>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</si>
  <si>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</si>
  <si>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</si>
  <si>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</si>
  <si>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</si>
  <si>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</si>
  <si>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</si>
  <si>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</si>
  <si>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</si>
  <si>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</si>
  <si>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</si>
  <si>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</si>
  <si>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</si>
  <si>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</si>
  <si>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</si>
  <si>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</si>
  <si>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</si>
  <si>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</si>
  <si>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</si>
  <si>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</si>
  <si>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</si>
  <si>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</si>
  <si>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</si>
  <si>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</si>
  <si>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</si>
  <si>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</si>
  <si>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</si>
  <si>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</si>
  <si>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</si>
  <si>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</si>
  <si>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</si>
  <si>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</si>
  <si>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</si>
  <si>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</si>
  <si>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</si>
  <si>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</si>
  <si>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</si>
  <si>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</si>
  <si>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</si>
  <si>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</si>
  <si>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</si>
  <si>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</si>
  <si>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</si>
  <si>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</si>
  <si>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</si>
  <si>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</si>
  <si>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</si>
  <si>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</si>
  <si>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</si>
  <si>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</si>
  <si>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</si>
  <si>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</si>
  <si>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</si>
  <si>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</si>
  <si>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</si>
  <si>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</si>
  <si>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</si>
  <si>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</si>
  <si>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</si>
  <si>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</si>
  <si>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</si>
  <si>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</si>
  <si>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</si>
  <si>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</si>
  <si>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</si>
  <si>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</si>
  <si>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</si>
  <si>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</si>
  <si>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</si>
  <si>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</si>
  <si>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</si>
  <si>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</si>
  <si>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</si>
  <si>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</si>
  <si>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</si>
  <si>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</si>
  <si>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</si>
  <si>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</si>
  <si>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</si>
  <si>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</si>
  <si>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</si>
  <si>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</si>
  <si>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</si>
  <si>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</si>
  <si>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</si>
  <si>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</si>
  <si>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</si>
  <si>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</si>
  <si>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</si>
  <si>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</si>
  <si>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</si>
  <si>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</si>
  <si>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</si>
  <si>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</si>
  <si>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</si>
  <si>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</si>
  <si>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</si>
  <si>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</si>
  <si>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</si>
  <si>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</si>
  <si>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</si>
  <si>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</si>
  <si>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</si>
  <si>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</si>
  <si>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</si>
  <si>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</si>
  <si>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</si>
  <si>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</si>
  <si>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</si>
  <si>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</si>
  <si>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</si>
  <si>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</si>
  <si>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</si>
  <si>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</si>
  <si>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</si>
  <si>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</si>
  <si>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</si>
  <si>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</si>
  <si>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</si>
  <si>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</si>
  <si>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</si>
  <si>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</si>
  <si>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</si>
  <si>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</si>
  <si>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</si>
  <si>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</si>
  <si>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</si>
  <si>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</si>
  <si>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</si>
  <si>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</si>
  <si>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</si>
  <si>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</si>
  <si>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</si>
  <si>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</si>
  <si>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</si>
  <si>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</si>
  <si>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</si>
  <si>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</si>
  <si>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</si>
  <si>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</si>
  <si>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</si>
  <si>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</si>
  <si>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</si>
  <si>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</si>
  <si>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</si>
  <si>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</si>
  <si>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</si>
  <si>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</si>
  <si>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</si>
  <si>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</si>
  <si>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</si>
  <si>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</si>
  <si>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</si>
  <si>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</si>
  <si>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</si>
  <si>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</si>
  <si>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</si>
  <si>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</si>
  <si>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</si>
  <si>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</si>
  <si>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</si>
  <si>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</si>
  <si>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</si>
  <si>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</si>
  <si>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</si>
  <si>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</si>
  <si>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</si>
  <si>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</si>
  <si>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</si>
  <si>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</si>
  <si>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</si>
  <si>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</si>
  <si>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</si>
  <si>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</si>
  <si>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</si>
  <si>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</si>
  <si>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</si>
  <si>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</si>
  <si>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</si>
  <si>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</si>
  <si>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</si>
  <si>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</si>
  <si>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</si>
  <si>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</si>
  <si>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</si>
  <si>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</si>
  <si>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</si>
  <si>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</si>
  <si>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</si>
  <si>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</si>
  <si>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</si>
  <si>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</si>
  <si>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</si>
  <si>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</si>
  <si>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</si>
  <si>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</si>
  <si>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</si>
  <si>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</si>
  <si>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</si>
  <si>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</si>
  <si>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</si>
  <si>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</si>
  <si>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</si>
  <si>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</si>
  <si>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</si>
  <si>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</si>
  <si>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</si>
  <si>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</si>
  <si>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</si>
  <si>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</si>
  <si>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</si>
  <si>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</si>
  <si>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</si>
  <si>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</si>
  <si>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</si>
  <si>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</si>
  <si>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</si>
  <si>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</si>
  <si>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</si>
  <si>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</si>
  <si>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</si>
  <si>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</si>
  <si>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</si>
  <si>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</si>
  <si>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</si>
  <si>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</si>
  <si>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</si>
  <si>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</si>
  <si>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</si>
  <si>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</si>
  <si>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</si>
  <si>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</si>
  <si>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</si>
  <si>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</si>
  <si>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</si>
  <si>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</si>
  <si>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</si>
  <si>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</si>
  <si>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</si>
  <si>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</si>
  <si>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</si>
  <si>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</si>
  <si>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</si>
  <si>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</si>
  <si>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</si>
  <si>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</si>
  <si>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</si>
  <si>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</si>
  <si>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</si>
  <si>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</si>
  <si>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</si>
  <si>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</si>
  <si>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</si>
  <si>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</si>
  <si>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</si>
  <si>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</si>
  <si>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</si>
  <si>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</si>
  <si>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</si>
  <si>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</si>
  <si>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</si>
  <si>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</si>
  <si>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</si>
  <si>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</si>
  <si>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</si>
  <si>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</si>
  <si>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</si>
  <si>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</si>
  <si>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</si>
  <si>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</si>
  <si>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</si>
  <si>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</si>
  <si>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</si>
  <si>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</si>
  <si>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</si>
  <si>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</si>
  <si>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</si>
  <si>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</si>
  <si>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</si>
  <si>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</si>
  <si>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</si>
  <si>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</si>
  <si>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</si>
  <si>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</si>
  <si>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</si>
  <si>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</si>
  <si>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</si>
  <si>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</si>
  <si>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</si>
  <si>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</si>
  <si>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</si>
  <si>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</si>
  <si>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</si>
  <si>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</si>
  <si>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</si>
  <si>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</si>
  <si>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</si>
  <si>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</si>
  <si>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</si>
  <si>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</si>
  <si>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</si>
  <si>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</si>
  <si>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</si>
  <si>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</si>
  <si>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</si>
  <si>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</si>
  <si>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</si>
  <si>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</si>
  <si>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</si>
  <si>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</si>
  <si>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</si>
  <si>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</si>
  <si>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</si>
  <si>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</si>
  <si>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</si>
  <si>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</si>
  <si>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</si>
  <si>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</si>
  <si>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</si>
  <si>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</si>
  <si>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</si>
  <si>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</si>
  <si>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</si>
  <si>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</si>
  <si>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</si>
  <si>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</si>
  <si>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</si>
  <si>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</si>
  <si>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</si>
  <si>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</si>
  <si>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</si>
  <si>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</si>
  <si>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</si>
  <si>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</si>
  <si>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</si>
  <si>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</si>
  <si>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</si>
  <si>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</si>
  <si>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</si>
  <si>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</si>
  <si>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</si>
  <si>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</si>
  <si>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</si>
  <si>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</si>
  <si>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</si>
  <si>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</si>
  <si>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</si>
  <si>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</si>
  <si>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</si>
  <si>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</si>
  <si>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</si>
  <si>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</si>
  <si>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</si>
  <si>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</si>
  <si>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</si>
  <si>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</si>
  <si>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</si>
  <si>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</si>
  <si>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</si>
  <si>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</si>
  <si>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</si>
  <si>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</si>
  <si>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</si>
  <si>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</si>
  <si>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</si>
  <si>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</si>
  <si>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</si>
  <si>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</si>
  <si>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</si>
  <si>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</si>
  <si>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</si>
  <si>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</si>
  <si>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</si>
  <si>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</si>
  <si>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</si>
  <si>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</si>
  <si>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</si>
  <si>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</si>
  <si>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</si>
  <si>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</si>
  <si>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</si>
  <si>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</si>
  <si>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</si>
  <si>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</si>
  <si>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</si>
  <si>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</si>
  <si>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</si>
  <si>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</si>
  <si>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</si>
  <si>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</si>
  <si>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</si>
  <si>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</si>
  <si>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</si>
  <si>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</si>
  <si>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</si>
  <si>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</si>
  <si>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</si>
  <si>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</si>
  <si>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</si>
  <si>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</si>
  <si>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</si>
  <si>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</si>
  <si>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</si>
  <si>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</si>
  <si>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</si>
  <si>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</si>
  <si>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</si>
  <si>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</si>
  <si>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</si>
  <si>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</si>
  <si>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</si>
  <si>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</si>
  <si>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</si>
  <si>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</si>
  <si>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</si>
  <si>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</si>
  <si>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</si>
  <si>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</si>
  <si>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</si>
  <si>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</si>
  <si>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</si>
  <si>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</si>
  <si>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</si>
  <si>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</si>
  <si>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</si>
  <si>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</si>
  <si>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</si>
  <si>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</si>
  <si>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</si>
  <si>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</si>
  <si>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</si>
  <si>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</si>
  <si>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</si>
  <si>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</si>
  <si>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</si>
  <si>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</si>
  <si>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</si>
  <si>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</si>
  <si>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</si>
  <si>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</si>
  <si>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</si>
  <si>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</si>
  <si>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</si>
  <si>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</si>
  <si>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</si>
  <si>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</si>
  <si>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</si>
  <si>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</si>
  <si>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</si>
  <si>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</si>
  <si>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</si>
  <si>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</si>
  <si>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</si>
  <si>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</si>
  <si>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</si>
  <si>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</si>
  <si>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</si>
  <si>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</si>
  <si>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</si>
  <si>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</si>
  <si>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</si>
  <si>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</si>
  <si>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</si>
  <si>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</si>
  <si>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</si>
  <si>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</si>
  <si>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</si>
  <si>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</si>
  <si>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</si>
  <si>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</si>
  <si>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</si>
  <si>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</si>
  <si>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</si>
  <si>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</si>
  <si>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</si>
  <si>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</si>
  <si>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</si>
  <si>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</si>
  <si>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</si>
  <si>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</si>
  <si>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</si>
  <si>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</si>
  <si>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</si>
  <si>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</si>
  <si>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</si>
  <si>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</si>
  <si>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</si>
  <si>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</si>
  <si>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</si>
  <si>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</si>
  <si>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</si>
  <si>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</si>
  <si>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</si>
  <si>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</si>
  <si>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</si>
  <si>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</si>
  <si>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</si>
  <si>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</si>
  <si>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</si>
  <si>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</si>
  <si>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</si>
  <si>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</si>
  <si>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</si>
  <si>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</si>
  <si>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</si>
  <si>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</si>
  <si>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</si>
  <si>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</si>
  <si>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</si>
  <si>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</si>
  <si>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</si>
  <si>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</si>
  <si>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</si>
  <si>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</si>
  <si>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</si>
  <si>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</si>
  <si>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</si>
  <si>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</si>
  <si>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</si>
  <si>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</si>
  <si>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</si>
  <si>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</si>
  <si>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</si>
  <si>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</si>
  <si>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</si>
  <si>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</si>
  <si>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</si>
  <si>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</si>
  <si>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</si>
  <si>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</si>
  <si>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</si>
  <si>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</si>
  <si>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</si>
  <si>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</si>
  <si>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</si>
  <si>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</si>
  <si>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</si>
  <si>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</si>
  <si>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</si>
  <si>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</si>
  <si>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</si>
  <si>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</si>
  <si>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</si>
  <si>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</si>
  <si>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</si>
  <si>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</si>
  <si>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</si>
  <si>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</si>
  <si>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</si>
  <si>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</si>
  <si>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</si>
  <si>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</si>
  <si>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</si>
  <si>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</si>
  <si>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</si>
  <si>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</si>
  <si>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</si>
  <si>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</si>
  <si>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</si>
  <si>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</si>
  <si>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</si>
  <si>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</si>
  <si>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</si>
  <si>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</si>
  <si>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</si>
  <si>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</si>
  <si>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</si>
  <si>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</si>
  <si>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</si>
  <si>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</si>
  <si>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</si>
  <si>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</si>
  <si>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</si>
  <si>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</si>
  <si>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</si>
  <si>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</si>
  <si>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</si>
  <si>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</si>
  <si>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</si>
  <si>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</si>
  <si>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</si>
  <si>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</si>
  <si>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</si>
  <si>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</si>
  <si>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</si>
  <si>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</si>
  <si>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</si>
  <si>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</si>
  <si>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</si>
  <si>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</si>
  <si>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</si>
  <si>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</si>
  <si>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</si>
  <si>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</si>
  <si>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</si>
  <si>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</si>
  <si>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</si>
  <si>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</si>
  <si>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</si>
  <si>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</si>
  <si>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</si>
  <si>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</si>
  <si>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</si>
  <si>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</si>
  <si>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</si>
  <si>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</si>
  <si>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</si>
  <si>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</si>
  <si>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</si>
  <si>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</si>
  <si>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</si>
  <si>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</si>
  <si>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</si>
  <si>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</si>
  <si>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</si>
  <si>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</si>
  <si>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</si>
  <si>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</si>
  <si>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</si>
  <si>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</si>
  <si>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</si>
  <si>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</si>
  <si>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</si>
  <si>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</si>
  <si>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</si>
  <si>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</si>
  <si>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</si>
  <si>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</si>
  <si>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</si>
  <si>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</si>
  <si>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</si>
  <si>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</si>
  <si>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</si>
  <si>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</si>
  <si>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</si>
  <si>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</si>
  <si>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</si>
  <si>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</si>
  <si>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</si>
  <si>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</si>
  <si>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</si>
  <si>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</si>
  <si>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</si>
  <si>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</si>
  <si>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</si>
  <si>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</si>
  <si>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</si>
  <si>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</si>
  <si>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</si>
  <si>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</si>
  <si>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</si>
  <si>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</si>
  <si>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</si>
  <si>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</si>
  <si>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</si>
  <si>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</si>
  <si>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</si>
  <si>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</si>
  <si>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</si>
  <si>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</si>
  <si>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</si>
  <si>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</si>
  <si>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</si>
  <si>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</si>
  <si>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</si>
  <si>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</si>
  <si>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</si>
  <si>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</si>
  <si>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</si>
  <si>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</si>
  <si>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</si>
  <si>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</si>
  <si>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</si>
  <si>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</si>
  <si>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</si>
  <si>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</si>
  <si>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</si>
  <si>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</si>
  <si>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</si>
  <si>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</si>
  <si>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</si>
  <si>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</si>
  <si>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</si>
  <si>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</si>
  <si>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</si>
  <si>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</si>
  <si>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</si>
  <si>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</si>
  <si>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</si>
  <si>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</si>
  <si>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</si>
  <si>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</si>
  <si>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</si>
  <si>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</si>
  <si>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</si>
  <si>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</si>
  <si>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</si>
  <si>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</si>
  <si>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</si>
  <si>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</si>
  <si>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</si>
  <si>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</si>
  <si>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</si>
  <si>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</si>
  <si>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</si>
  <si>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</si>
  <si>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</si>
  <si>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</si>
  <si>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</si>
  <si>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</si>
  <si>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</si>
  <si>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</si>
  <si>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</si>
  <si>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</si>
  <si>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</si>
  <si>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</si>
  <si>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</si>
  <si>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</si>
  <si>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</si>
  <si>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</si>
  <si>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</si>
  <si>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</si>
  <si>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</si>
  <si>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</si>
  <si>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</si>
  <si>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</si>
  <si>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</si>
  <si>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</si>
  <si>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</si>
  <si>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</si>
  <si>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</si>
  <si>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</si>
  <si>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</si>
  <si>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</si>
  <si>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</si>
  <si>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</si>
  <si>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</si>
  <si>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</si>
  <si>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</si>
  <si>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</si>
  <si>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</si>
  <si>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</si>
  <si>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</si>
  <si>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</si>
  <si>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</si>
  <si>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</si>
  <si>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</si>
  <si>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</si>
  <si>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</si>
  <si>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</si>
  <si>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</si>
  <si>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</si>
  <si>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</si>
  <si>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</si>
  <si>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</si>
  <si>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</si>
  <si>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</si>
  <si>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</si>
  <si>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</si>
  <si>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</si>
  <si>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</si>
  <si>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</si>
  <si>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</si>
  <si>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</si>
  <si>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</si>
  <si>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</si>
  <si>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</si>
  <si>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</si>
  <si>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</si>
  <si>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</si>
  <si>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</si>
  <si>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</si>
  <si>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</si>
  <si>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</si>
  <si>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</si>
  <si>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</si>
  <si>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</si>
  <si>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</si>
  <si>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</si>
  <si>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</si>
  <si>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</si>
  <si>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</si>
  <si>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</si>
  <si>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</si>
  <si>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</si>
  <si>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</si>
  <si>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</si>
  <si>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</si>
  <si>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</si>
  <si>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</si>
  <si>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</si>
  <si>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</si>
  <si>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</si>
  <si>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</si>
  <si>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</si>
  <si>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</si>
  <si>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</si>
  <si>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</si>
  <si>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</si>
  <si>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</si>
  <si>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</si>
  <si>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</si>
  <si>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</si>
  <si>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</si>
  <si>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</si>
  <si>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</si>
  <si>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</si>
  <si>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</si>
  <si>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</si>
  <si>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</si>
  <si>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</si>
  <si>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</si>
  <si>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</si>
  <si>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</si>
  <si>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</si>
  <si>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</si>
  <si>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</si>
  <si>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</si>
  <si>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</si>
  <si>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</si>
  <si>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</si>
  <si>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</si>
  <si>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</si>
  <si>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</si>
  <si>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</si>
  <si>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</si>
  <si>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</si>
  <si>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</si>
  <si>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</si>
  <si>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</si>
  <si>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</si>
  <si>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</si>
  <si>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</si>
  <si>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</si>
  <si>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</si>
  <si>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</si>
  <si>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</si>
  <si>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</si>
  <si>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</si>
  <si>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</si>
  <si>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</si>
  <si>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</si>
  <si>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</si>
  <si>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</si>
  <si>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</si>
  <si>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</si>
  <si>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</si>
  <si>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</si>
  <si>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</si>
  <si>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</si>
  <si>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</si>
  <si>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</si>
  <si>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</si>
  <si>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</si>
  <si>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</si>
  <si>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</si>
  <si>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</si>
  <si>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</si>
  <si>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</si>
  <si>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</si>
  <si>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</si>
  <si>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</si>
  <si>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</si>
  <si>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</si>
  <si>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</si>
  <si>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</si>
  <si>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</si>
  <si>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</si>
  <si>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</si>
  <si>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</si>
  <si>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</si>
  <si>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</si>
  <si>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</si>
  <si>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</si>
  <si>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</si>
  <si>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</si>
  <si>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</si>
  <si>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</si>
  <si>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</si>
  <si>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</si>
  <si>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</si>
  <si>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</si>
  <si>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</si>
  <si>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</si>
  <si>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</si>
  <si>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</si>
  <si>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</si>
  <si>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</si>
  <si>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</si>
  <si>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</si>
  <si>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</si>
  <si>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</si>
  <si>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</si>
  <si>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</si>
  <si>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</si>
  <si>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</si>
  <si>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</si>
  <si>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</si>
  <si>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</si>
  <si>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</si>
  <si>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</si>
  <si>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</si>
  <si>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</si>
  <si>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</si>
  <si>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</si>
  <si>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</si>
  <si>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</si>
  <si>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</si>
  <si>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</si>
  <si>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</si>
  <si>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</si>
  <si>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</si>
  <si>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</si>
  <si>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</si>
  <si>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</si>
  <si>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</si>
  <si>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</si>
  <si>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</si>
  <si>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</si>
  <si>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</si>
  <si>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</si>
  <si>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</si>
  <si>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</si>
  <si>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</si>
  <si>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</si>
  <si>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</si>
  <si>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</si>
  <si>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</si>
  <si>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</si>
  <si>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</si>
  <si>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</si>
  <si>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</si>
  <si>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</si>
  <si>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</si>
  <si>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</si>
  <si>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</si>
  <si>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</si>
  <si>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</si>
  <si>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</si>
  <si>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</si>
  <si>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</si>
  <si>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</si>
  <si>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</si>
  <si>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</si>
  <si>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</si>
  <si>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</si>
  <si>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</si>
  <si>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</si>
  <si>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</si>
  <si>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</si>
  <si>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</si>
  <si>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</si>
  <si>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</si>
  <si>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</si>
  <si>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</si>
  <si>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</si>
  <si>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</si>
  <si>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</si>
  <si>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</si>
  <si>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</si>
  <si>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</si>
  <si>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</si>
  <si>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</si>
  <si>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</si>
  <si>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</si>
  <si>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</si>
  <si>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</si>
  <si>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</si>
  <si>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</si>
  <si>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</si>
  <si>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</si>
  <si>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</si>
  <si>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</si>
  <si>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</si>
  <si>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</si>
  <si>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</si>
  <si>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</si>
  <si>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</si>
  <si>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</si>
  <si>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</si>
  <si>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</si>
  <si>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</si>
  <si>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</si>
  <si>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</si>
  <si>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</si>
  <si>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</si>
  <si>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</si>
  <si>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</si>
  <si>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</si>
  <si>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</si>
  <si>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</si>
  <si>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</si>
  <si>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</si>
  <si>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</si>
  <si>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</si>
  <si>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</si>
  <si>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</si>
  <si>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</si>
  <si>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</si>
  <si>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</si>
  <si>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</si>
  <si>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</si>
  <si>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</si>
  <si>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</si>
  <si>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</si>
  <si>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</si>
  <si>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</si>
  <si>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</si>
  <si>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</si>
  <si>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</si>
  <si>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</si>
  <si>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</si>
  <si>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</si>
  <si>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</si>
  <si>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</si>
  <si>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</si>
  <si>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</si>
  <si>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</si>
  <si>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</si>
  <si>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</si>
  <si>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</si>
  <si>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</si>
  <si>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</si>
  <si>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</si>
  <si>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</si>
  <si>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</si>
  <si>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</si>
  <si>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</si>
  <si>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</si>
  <si>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</si>
  <si>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</si>
  <si>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</si>
  <si>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</si>
  <si>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</si>
  <si>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</si>
  <si>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</si>
  <si>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</si>
  <si>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</si>
  <si>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</si>
  <si>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</si>
  <si>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</si>
  <si>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</si>
  <si>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</si>
  <si>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</si>
  <si>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</si>
  <si>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</si>
  <si>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</si>
  <si>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</si>
  <si>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</si>
  <si>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</si>
  <si>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</si>
  <si>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</si>
  <si>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</si>
  <si>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</si>
  <si>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</si>
  <si>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</si>
  <si>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</si>
  <si>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</si>
  <si>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</si>
  <si>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</si>
  <si>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</si>
  <si>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</si>
  <si>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</si>
  <si>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</si>
  <si>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</si>
  <si>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</si>
  <si>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</si>
  <si>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</si>
  <si>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</si>
  <si>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</si>
  <si>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</si>
  <si>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</si>
  <si>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</si>
  <si>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</si>
  <si>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</si>
  <si>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</si>
  <si>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</si>
  <si>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</si>
  <si>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</si>
  <si>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</si>
  <si>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</si>
  <si>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</si>
  <si>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</si>
  <si>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</si>
  <si>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</si>
  <si>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</si>
  <si>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</si>
  <si>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</si>
  <si>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</si>
  <si>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</si>
  <si>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</si>
  <si>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</si>
  <si>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</si>
  <si>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</si>
  <si>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</si>
  <si>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</si>
  <si>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</si>
  <si>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</si>
  <si>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</si>
  <si>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</si>
  <si>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</si>
  <si>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</si>
  <si>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</si>
  <si>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</si>
  <si>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</si>
  <si>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</si>
  <si>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</si>
  <si>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</si>
  <si>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</si>
  <si>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</si>
  <si>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</si>
  <si>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</si>
  <si>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</si>
  <si>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</si>
  <si>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</si>
  <si>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</si>
  <si>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</si>
  <si>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</si>
  <si>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</si>
  <si>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</si>
  <si>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</si>
  <si>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</si>
  <si>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</si>
  <si>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</si>
  <si>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</si>
  <si>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</si>
  <si>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</si>
  <si>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</si>
  <si>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</si>
  <si>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</si>
  <si>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</si>
  <si>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</si>
  <si>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</si>
  <si>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</si>
  <si>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</si>
  <si>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</si>
  <si>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</si>
  <si>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</si>
  <si>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</si>
  <si>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</si>
  <si>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</si>
  <si>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</si>
  <si>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</si>
  <si>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</si>
  <si>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</si>
  <si>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</si>
  <si>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</si>
  <si>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</si>
  <si>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</si>
  <si>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</si>
  <si>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</si>
  <si>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</si>
  <si>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</si>
  <si>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</si>
  <si>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</si>
  <si>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</si>
  <si>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</si>
  <si>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</si>
  <si>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</si>
  <si>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</si>
  <si>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</si>
  <si>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</si>
  <si>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</si>
  <si>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</si>
  <si>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</si>
  <si>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</si>
  <si>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</si>
  <si>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</si>
  <si>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</si>
  <si>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</si>
  <si>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</si>
  <si>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</si>
  <si>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</si>
  <si>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</si>
  <si>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</si>
  <si>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</si>
  <si>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</si>
  <si>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</si>
  <si>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</si>
  <si>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</si>
  <si>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</si>
  <si>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</si>
  <si>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</si>
  <si>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</si>
  <si>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</si>
  <si>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</si>
  <si>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</si>
  <si>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</si>
  <si>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</si>
  <si>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</si>
  <si>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</si>
  <si>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</si>
  <si>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</si>
  <si>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</si>
  <si>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</si>
  <si>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</si>
  <si>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</si>
  <si>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</si>
  <si>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</si>
  <si>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</si>
  <si>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</si>
  <si>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</si>
  <si>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</si>
  <si>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</si>
  <si>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</si>
  <si>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</si>
  <si>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</si>
  <si>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</si>
  <si>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</si>
  <si>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</si>
  <si>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</si>
  <si>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</si>
  <si>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</si>
  <si>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</si>
  <si>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</si>
  <si>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</si>
  <si>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</si>
  <si>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</si>
  <si>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</si>
  <si>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</si>
  <si>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</si>
  <si>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</si>
  <si>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</si>
  <si>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</si>
  <si>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</si>
  <si>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</si>
  <si>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</si>
  <si>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</si>
  <si>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</si>
  <si>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</si>
  <si>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</si>
  <si>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</si>
  <si>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</si>
  <si>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</si>
  <si>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</si>
  <si>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</si>
  <si>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</si>
  <si>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</si>
  <si>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</si>
  <si>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</si>
  <si>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 Hill Eden</t>
  </si>
  <si>
    <t>Eden Housing, Inc.</t>
  </si>
  <si>
    <t>County of Marin</t>
  </si>
  <si>
    <t>Thomas Lai</t>
  </si>
  <si>
    <t>3501Civic Center Drive, Room 308</t>
  </si>
  <si>
    <t>San Rafael</t>
  </si>
  <si>
    <t>(415) 499-6292</t>
  </si>
  <si>
    <t>(415) 499-7880</t>
  </si>
  <si>
    <t>tlai@co.marin.ca.us</t>
  </si>
  <si>
    <t>Sir Frances Drake Blvd</t>
  </si>
  <si>
    <t>Unincorporated Marin on the boarder of Larkspur on the NE corner of Sir Francis Drake Blvd &amp; Drakes Cove Rd</t>
  </si>
  <si>
    <t>018-152-12</t>
  </si>
  <si>
    <t>40%/60%</t>
  </si>
  <si>
    <t>22645 Grand St</t>
  </si>
  <si>
    <t>Hayward</t>
  </si>
  <si>
    <t>CA</t>
  </si>
  <si>
    <t>State of California</t>
  </si>
  <si>
    <t>Secured by Leasehold Interest</t>
  </si>
  <si>
    <t>Other (Specify below)</t>
  </si>
  <si>
    <t>6 story apartment building</t>
  </si>
  <si>
    <t>At Risk Of Homelessness</t>
  </si>
  <si>
    <t>N/A - State Sovereignty</t>
  </si>
  <si>
    <t>Oak Hill Eden LLC</t>
  </si>
  <si>
    <t>Managing GP</t>
  </si>
  <si>
    <t>Teddy Newmyer</t>
  </si>
  <si>
    <t>teddy.newmyer@edenhousing.org</t>
  </si>
  <si>
    <t>Eden Housing</t>
  </si>
  <si>
    <t>Tim Gorman</t>
  </si>
  <si>
    <t>Teddy.Newmyer@edenhousing.org</t>
  </si>
  <si>
    <t>Project Manager</t>
  </si>
  <si>
    <t>Eden Housing, Inc</t>
  </si>
  <si>
    <t>22645 Grand Ave</t>
  </si>
  <si>
    <t>Hayward, CA, 94541</t>
  </si>
  <si>
    <t>SVA Architects Inc</t>
  </si>
  <si>
    <t>Nathan Herrero</t>
  </si>
  <si>
    <t>Gubb &amp; Barshay</t>
  </si>
  <si>
    <t>235 Montgomery St. Suite 1110</t>
  </si>
  <si>
    <t>San Francisco, CA, 94104</t>
  </si>
  <si>
    <t>Evan Gross</t>
  </si>
  <si>
    <t>TBD</t>
  </si>
  <si>
    <t>Community Economics, Inc.</t>
  </si>
  <si>
    <t>538 9th St</t>
  </si>
  <si>
    <t>Oakland, CA, 94607</t>
  </si>
  <si>
    <t>Diana Downton</t>
  </si>
  <si>
    <t>Raney Planning and Management, Inc.</t>
  </si>
  <si>
    <t xml:space="preserve">1501 Sports Dr, </t>
  </si>
  <si>
    <t>Sacramento, CA 95834</t>
  </si>
  <si>
    <t>Stefanie Williams</t>
  </si>
  <si>
    <t>swilliams@laurinassociates.com</t>
  </si>
  <si>
    <t>JAMES G. PALMER APPRAISALS, INC</t>
  </si>
  <si>
    <t>5850 E. Shields Avenue #105</t>
  </si>
  <si>
    <t>Fresno, CA 93727</t>
  </si>
  <si>
    <t>Gregg Palmer</t>
  </si>
  <si>
    <t>gregg@jgpinc.com</t>
  </si>
  <si>
    <t>California Municipal Finance Authority</t>
  </si>
  <si>
    <t>2111 Palomar Airport Rd, Suite 320</t>
  </si>
  <si>
    <t>Carlsbad, CA 92011</t>
  </si>
  <si>
    <t>Anthony Stubbs</t>
  </si>
  <si>
    <t>760-930-1333</t>
  </si>
  <si>
    <t>astubbs@cmfa-ca.com</t>
  </si>
  <si>
    <t>Eden Housing Management, Inc.</t>
  </si>
  <si>
    <t>22645 Grand Street</t>
  </si>
  <si>
    <t>Hayward CA 94541</t>
  </si>
  <si>
    <t>Darnell Williams</t>
  </si>
  <si>
    <t>Darnell.Williams@edenhousing.org</t>
  </si>
  <si>
    <t>510.247.8120</t>
  </si>
  <si>
    <t xml:space="preserve">Eden Housing, Inc. </t>
  </si>
  <si>
    <t>Berkeley, CA 94710
United States</t>
  </si>
  <si>
    <t>820 Delaware Street</t>
  </si>
  <si>
    <t>Bright Green Strategies</t>
  </si>
  <si>
    <t>Jenifer Jackson</t>
  </si>
  <si>
    <t>Jenifer@brightgreenstrategies.com</t>
  </si>
  <si>
    <t>Cohn Reznick</t>
  </si>
  <si>
    <t>621 Capitol Mall Suite 2150</t>
  </si>
  <si>
    <t>Sacramento, CA 95814</t>
  </si>
  <si>
    <t>Haylie McCoy</t>
  </si>
  <si>
    <t>tim.gorman@edenhousing.org</t>
  </si>
  <si>
    <t>916-930-5249</t>
  </si>
  <si>
    <t>916-442-9103</t>
  </si>
  <si>
    <t>haylie.McCoy@CohnReznick.com</t>
  </si>
  <si>
    <t>egross@gubbandbarshay.com</t>
  </si>
  <si>
    <t>Pleasanton CA 94588</t>
  </si>
  <si>
    <t>7901 Stoneridge Dr, Suite 10</t>
  </si>
  <si>
    <t>nherrero@sva-architects.com</t>
  </si>
  <si>
    <t>diana@communityeconomics.org</t>
  </si>
  <si>
    <t>County Loans</t>
  </si>
  <si>
    <t>MCF Grant</t>
  </si>
  <si>
    <t>LGMG</t>
  </si>
  <si>
    <t>MHP</t>
  </si>
  <si>
    <t>Supplies, Subscriptions, Fees and equipment</t>
  </si>
  <si>
    <t>Maintenance Supplies</t>
  </si>
  <si>
    <t>Plumbing contract</t>
  </si>
  <si>
    <t>Electrical/HVAC</t>
  </si>
  <si>
    <t>Janitor Contract</t>
  </si>
  <si>
    <t>Payroll taxes</t>
  </si>
  <si>
    <t>Provided</t>
  </si>
  <si>
    <t>Not Applicable</t>
  </si>
  <si>
    <t>Construction Loan - Tax-exempt</t>
  </si>
  <si>
    <t>Construction Loan - Taxable</t>
  </si>
  <si>
    <t>Fixed</t>
  </si>
  <si>
    <t>Variable</t>
  </si>
  <si>
    <t>Marin Community Foundation</t>
  </si>
  <si>
    <t>GP Equity</t>
  </si>
  <si>
    <t>LP Equity</t>
  </si>
  <si>
    <t>Deferred Costs</t>
  </si>
  <si>
    <t>Permanent Mortgage</t>
  </si>
  <si>
    <t>air conditioning</t>
  </si>
  <si>
    <t>Housing Authority of the County of Marin</t>
  </si>
  <si>
    <t>County AHF, PLHA, and HTF</t>
  </si>
  <si>
    <t>Other: (Lender Expenses)</t>
  </si>
  <si>
    <t>Other: Lender expenses and legal</t>
  </si>
  <si>
    <t>Other: (Sponsor Legal)</t>
  </si>
  <si>
    <t>Other: (Testing and inspections)</t>
  </si>
  <si>
    <t>Recycled Bonds</t>
  </si>
  <si>
    <t>Construction Loan - Recycled Bonds</t>
  </si>
  <si>
    <t>3501 Civic Center Drive</t>
  </si>
  <si>
    <t>Molly Kron</t>
  </si>
  <si>
    <t>415-737-5450</t>
  </si>
  <si>
    <t>loan</t>
  </si>
  <si>
    <t>5 Hamilton Landing</t>
  </si>
  <si>
    <t>Novato</t>
  </si>
  <si>
    <t>Alan Burr</t>
  </si>
  <si>
    <t>sponsor loan</t>
  </si>
  <si>
    <t>GP equity</t>
  </si>
  <si>
    <t>9342 Tech Center Drive, Suite 550</t>
  </si>
  <si>
    <t>Nicole Hall-Smith</t>
  </si>
  <si>
    <t xml:space="preserve">916.562.4400 </t>
  </si>
  <si>
    <t>Loan</t>
  </si>
  <si>
    <t>Sponsor Loan</t>
  </si>
  <si>
    <t>Le Quach</t>
  </si>
  <si>
    <t>200 South Los Robles Avenue Suite 550</t>
  </si>
  <si>
    <t>Pasadena</t>
  </si>
  <si>
    <t>213-330-2034</t>
  </si>
  <si>
    <t>California Department of General Services</t>
  </si>
  <si>
    <t>Kerry Zadel</t>
  </si>
  <si>
    <t>Assistant Branch Chief</t>
  </si>
  <si>
    <t>707 Third St. West Sacramento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</si>
</sst>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05">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18" fillId="0" borderId="0" xfId="1192" applyAlignment="1" applyProtection="1">
      <alignment horizontal="left" vertical="top" wrapText="1"/>
      <protection locked="0"/>
    </xf>
    <xf numFmtId="0" fontId="18" fillId="0" borderId="27" xfId="569" applyBorder="1" applyAlignment="1">
      <alignment horizontal="left"/>
    </xf>
    <xf numFmtId="0" fontId="18" fillId="0" borderId="0" xfId="1192"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4" fontId="18" fillId="0" borderId="0" xfId="569" applyNumberFormat="1" applyAlignment="1">
      <alignment horizontal="left" vertical="top" wrapText="1"/>
    </xf>
    <xf numFmtId="0" fontId="25" fillId="0" borderId="4" xfId="0" applyFont="1" applyBorder="1" applyAlignment="1">
      <alignment horizontal="left"/>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9" fillId="0" borderId="0" xfId="244" quotePrefix="1" applyAlignment="1" applyProtection="1">
      <alignment horizontal="left"/>
    </xf>
    <xf numFmtId="0" fontId="36" fillId="0" borderId="0" xfId="0" applyFont="1" applyAlignment="1">
      <alignment horizontal="left"/>
    </xf>
    <xf numFmtId="4" fontId="18" fillId="0" borderId="0" xfId="0" applyNumberFormat="1" applyFont="1" applyAlignment="1">
      <alignment horizontal="left"/>
    </xf>
    <xf numFmtId="0" fontId="25" fillId="0" borderId="0" xfId="0" applyFont="1" applyAlignment="1">
      <alignment vertical="top" wrapText="1"/>
    </xf>
    <xf numFmtId="4" fontId="36" fillId="0" borderId="0" xfId="0" applyNumberFormat="1" applyFont="1" applyAlignment="1">
      <alignment horizontal="left"/>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36" fillId="0" borderId="0" xfId="569" applyFont="1" applyAlignment="1">
      <alignment horizontal="left" vertical="top"/>
    </xf>
    <xf numFmtId="0" fontId="36" fillId="0" borderId="0" xfId="0" applyFont="1" applyAlignment="1">
      <alignment horizontal="left" vertical="top"/>
    </xf>
    <xf numFmtId="0" fontId="27" fillId="45" borderId="11" xfId="0"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0" borderId="1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4" fillId="0" borderId="0" xfId="543" applyFont="1" applyAlignment="1">
      <alignment horizontal="left" vertical="center" wrapText="1"/>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0" fillId="0" borderId="11"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8" fontId="185" fillId="0" borderId="105" xfId="543" applyNumberFormat="1" applyFont="1" applyBorder="1" applyAlignment="1">
      <alignment horizontal="right" vertical="center" wrapText="1"/>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71" fontId="18" fillId="0" borderId="0" xfId="543" applyNumberFormat="1" applyAlignment="1">
      <alignment horizontal="center"/>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157" fillId="0" borderId="0" xfId="0" applyNumberFormat="1"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7" fillId="2" borderId="11" xfId="0" applyFont="1" applyFill="1" applyBorder="1" applyAlignment="1">
      <alignment horizontal="center"/>
    </xf>
    <xf numFmtId="0" fontId="0" fillId="0" borderId="11" xfId="0"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5" borderId="9"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8" fontId="27" fillId="0" borderId="3" xfId="0" applyNumberFormat="1" applyFont="1" applyBorder="1" applyAlignment="1">
      <alignment horizontal="left" vertical="top"/>
    </xf>
    <xf numFmtId="10" fontId="27" fillId="0" borderId="11" xfId="0" applyNumberFormat="1" applyFont="1" applyBorder="1" applyAlignment="1">
      <alignment horizontal="center"/>
    </xf>
    <xf numFmtId="1" fontId="27" fillId="5" borderId="11" xfId="0" quotePrefix="1" applyNumberFormat="1" applyFont="1" applyFill="1" applyBorder="1" applyAlignment="1" applyProtection="1">
      <alignment horizontal="center"/>
      <protection locked="0"/>
    </xf>
    <xf numFmtId="0" fontId="18" fillId="0" borderId="3" xfId="0" applyFont="1" applyBorder="1" applyAlignment="1">
      <alignment horizontal="left"/>
    </xf>
    <xf numFmtId="0" fontId="0" fillId="0" borderId="5" xfId="0" applyBorder="1" applyAlignment="1">
      <alignment horizontal="left"/>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5" fillId="0" borderId="6" xfId="0" applyFont="1" applyBorder="1" applyAlignment="1">
      <alignment horizontal="center"/>
    </xf>
    <xf numFmtId="0" fontId="25" fillId="0" borderId="10" xfId="0" applyFont="1" applyBorder="1" applyAlignment="1">
      <alignment horizontal="center"/>
    </xf>
    <xf numFmtId="3" fontId="27" fillId="5" borderId="11" xfId="0" applyNumberFormat="1"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175" fontId="0" fillId="5" borderId="4"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25" fillId="0" borderId="9" xfId="0" applyFont="1" applyBorder="1" applyAlignment="1">
      <alignment horizontal="right"/>
    </xf>
    <xf numFmtId="0" fontId="25" fillId="0" borderId="10" xfId="0"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0" borderId="1" xfId="0" applyFont="1" applyBorder="1" applyAlignment="1">
      <alignment horizontal="center" vertical="top" wrapText="1"/>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8" fillId="5" borderId="4" xfId="0" applyFont="1" applyFill="1" applyBorder="1" applyAlignment="1" applyProtection="1">
      <alignment horizont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7" fillId="0" borderId="0" xfId="0" applyFont="1" applyAlignment="1">
      <alignment horizontal="left" vertical="top" wrapText="1"/>
    </xf>
    <xf numFmtId="0" fontId="37"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7" fillId="5" borderId="4" xfId="0" applyFont="1" applyFill="1" applyBorder="1" applyAlignment="1" applyProtection="1">
      <alignment wrapText="1"/>
      <protection locked="0"/>
    </xf>
    <xf numFmtId="0" fontId="18" fillId="5" borderId="11" xfId="0" applyFont="1" applyFill="1" applyBorder="1" applyAlignment="1" applyProtection="1">
      <alignment horizontal="left" wrapText="1"/>
      <protection locked="0"/>
    </xf>
    <xf numFmtId="14" fontId="0" fillId="5" borderId="4" xfId="0" applyNumberFormat="1" applyFill="1" applyBorder="1" applyAlignment="1" applyProtection="1">
      <alignment horizontal="center"/>
      <protection locked="0"/>
    </xf>
    <xf numFmtId="2" fontId="0" fillId="0" borderId="6" xfId="0" applyNumberFormat="1" applyBorder="1" applyAlignment="1">
      <alignment horizontal="center"/>
    </xf>
    <xf numFmtId="178" fontId="18" fillId="5" borderId="4"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0" fillId="5" borderId="6" xfId="0" applyFill="1" applyBorder="1" applyAlignment="1" applyProtection="1">
      <alignment horizontal="left"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18" fillId="5" borderId="4" xfId="0" applyFont="1" applyFill="1" applyBorder="1" applyAlignment="1" applyProtection="1">
      <alignment horizontal="left" wrapText="1"/>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7" fillId="5" borderId="4" xfId="271" applyNumberForma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11" xfId="0" applyFont="1" applyBorder="1" applyAlignment="1">
      <alignment horizontal="center"/>
    </xf>
    <xf numFmtId="171" fontId="18" fillId="0" borderId="0" xfId="543" applyNumberFormat="1" applyAlignment="1">
      <alignment horizontal="right"/>
    </xf>
    <xf numFmtId="2" fontId="18" fillId="0" borderId="0" xfId="543" applyNumberFormat="1" applyAlignment="1">
      <alignment horizontal="center"/>
    </xf>
    <xf numFmtId="0" fontId="18" fillId="0" borderId="0" xfId="543" applyAlignment="1">
      <alignment horizontal="center"/>
    </xf>
    <xf numFmtId="0" fontId="0" fillId="5" borderId="3" xfId="0"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1" xfId="0" applyFont="1" applyBorder="1" applyAlignment="1">
      <alignment horizontal="center" vertical="center"/>
    </xf>
    <xf numFmtId="0" fontId="18" fillId="0" borderId="11" xfId="543" applyBorder="1" applyAlignment="1">
      <alignment horizontal="center"/>
    </xf>
    <xf numFmtId="10" fontId="0" fillId="5" borderId="4" xfId="0" applyNumberForma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68" fontId="18" fillId="5" borderId="11" xfId="0" applyNumberFormat="1" applyFont="1" applyFill="1" applyBorder="1" applyAlignment="1" applyProtection="1">
      <alignment horizontal="right"/>
      <protection locked="0"/>
    </xf>
    <xf numFmtId="0" fontId="27" fillId="5" borderId="6" xfId="271" applyFill="1" applyBorder="1" applyProtection="1">
      <protection locked="0"/>
    </xf>
    <xf numFmtId="3" fontId="0" fillId="5" borderId="3" xfId="0" applyNumberFormat="1" applyFill="1" applyBorder="1" applyAlignment="1" applyProtection="1">
      <alignment horizontal="right"/>
      <protection locked="0"/>
    </xf>
    <xf numFmtId="0" fontId="27" fillId="0" borderId="11" xfId="0" applyFont="1" applyBorder="1" applyAlignment="1">
      <alignment horizontal="center"/>
    </xf>
    <xf numFmtId="0" fontId="25" fillId="0" borderId="0" xfId="0" applyFont="1" applyAlignment="1">
      <alignment horizontal="center" vertical="center"/>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2" fontId="26"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12"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80" fontId="0" fillId="0" borderId="6" xfId="0" applyNumberFormat="1" applyBorder="1" applyAlignment="1">
      <alignment horizont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0" fontId="174" fillId="45" borderId="11" xfId="8733" applyFont="1" applyFill="1" applyBorder="1" applyAlignment="1">
      <alignment horizontal="right"/>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168" fontId="175" fillId="44" borderId="11" xfId="8734" applyNumberFormat="1" applyFont="1" applyFill="1" applyBorder="1" applyAlignment="1" applyProtection="1">
      <alignment horizontal="left"/>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1" fontId="178" fillId="48" borderId="70" xfId="8733" applyNumberFormat="1"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0" fontId="167" fillId="45" borderId="67"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45" borderId="72" xfId="8733" applyFont="1" applyFill="1" applyBorder="1" applyAlignment="1">
      <alignment horizontal="center"/>
    </xf>
    <xf numFmtId="0" fontId="174" fillId="45" borderId="11" xfId="8733"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0" fontId="173" fillId="48" borderId="11" xfId="8733"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70" fillId="48" borderId="74" xfId="8733"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73" fillId="48" borderId="72" xfId="8733" applyFont="1" applyFill="1" applyBorder="1" applyAlignment="1" applyProtection="1">
      <alignment horizontal="center"/>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174" fillId="45" borderId="11" xfId="8733" applyFont="1" applyFill="1" applyBorder="1" applyAlignment="1">
      <alignment horizontal="center" wrapText="1"/>
    </xf>
    <xf numFmtId="0" fontId="166" fillId="45" borderId="11" xfId="8733" applyFont="1" applyFill="1" applyBorder="1" applyAlignment="1">
      <alignment horizontal="center"/>
    </xf>
    <xf numFmtId="0" fontId="166" fillId="45" borderId="76" xfId="8733" applyFont="1" applyFill="1" applyBorder="1" applyAlignment="1">
      <alignment horizontal="center"/>
    </xf>
    <xf numFmtId="0" fontId="174" fillId="45" borderId="7" xfId="8733" applyFont="1" applyFill="1" applyBorder="1" applyAlignment="1">
      <alignment horizontal="left"/>
    </xf>
    <xf numFmtId="0" fontId="174" fillId="45" borderId="96"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03" fillId="45" borderId="7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7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5" fillId="48" borderId="11" xfId="8733"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14" fontId="175" fillId="48" borderId="11" xfId="8733" applyNumberFormat="1" applyFont="1" applyFill="1" applyBorder="1" applyAlignment="1" applyProtection="1">
      <alignment horizontal="center"/>
      <protection locked="0"/>
    </xf>
    <xf numFmtId="0" fontId="103" fillId="45" borderId="76" xfId="8733" applyFont="1" applyFill="1" applyBorder="1" applyAlignment="1">
      <alignment horizontal="center"/>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6" fillId="48" borderId="11"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7" borderId="0" xfId="8733" applyFont="1" applyFill="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175" fillId="48" borderId="11"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0" fontId="18" fillId="45" borderId="11" xfId="4495" applyFont="1"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168" fontId="18" fillId="0" borderId="0" xfId="1192" applyNumberFormat="1" applyAlignment="1">
      <alignment horizontal="right"/>
    </xf>
    <xf numFmtId="0" fontId="143" fillId="0" borderId="0" xfId="1192" applyFont="1" applyAlignment="1">
      <alignment horizontal="center"/>
    </xf>
    <xf numFmtId="168" fontId="18" fillId="43" borderId="6" xfId="543" applyNumberFormat="1" applyFill="1" applyBorder="1" applyAlignment="1" applyProtection="1">
      <alignment horizontal="center"/>
      <protection locked="0"/>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168" fontId="18" fillId="0" borderId="6" xfId="1192" applyNumberFormat="1" applyBorder="1" applyAlignment="1">
      <alignment horizontal="right"/>
    </xf>
    <xf numFmtId="168" fontId="18" fillId="0" borderId="4" xfId="1192" applyNumberFormat="1" applyBorder="1" applyAlignment="1">
      <alignment horizontal="right"/>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0" fontId="26" fillId="0" borderId="2" xfId="4495" applyNumberFormat="1" applyFont="1" applyBorder="1" applyAlignment="1">
      <alignment horizontal="center"/>
    </xf>
    <xf numFmtId="0" fontId="26" fillId="0" borderId="0" xfId="4495" applyFont="1" applyAlignment="1">
      <alignment horizontal="center"/>
    </xf>
    <xf numFmtId="9" fontId="26" fillId="5" borderId="6" xfId="4495" applyNumberFormat="1" applyFont="1" applyFill="1" applyBorder="1" applyAlignment="1">
      <alignment horizontal="left"/>
    </xf>
    <xf numFmtId="0" fontId="131"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121" fillId="5" borderId="6"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18" fillId="5" borderId="6" xfId="4495" applyFont="1" applyFill="1" applyBorder="1" applyAlignment="1" applyProtection="1">
      <alignment horizontal="center" vertical="center" wrapText="1" shrinkToFit="1"/>
      <protection locked="0"/>
    </xf>
    <xf numFmtId="0" fontId="119" fillId="0" borderId="4" xfId="1192" applyFont="1" applyBorder="1" applyAlignment="1">
      <alignment horizontal="left"/>
    </xf>
    <xf numFmtId="0" fontId="143" fillId="0" borderId="6" xfId="1192" applyFont="1" applyBorder="1" applyAlignment="1">
      <alignment horizontal="center"/>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121" fillId="0" borderId="0" xfId="4495" applyAlignment="1">
      <alignment horizontal="center"/>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25" fillId="0" borderId="0" xfId="4495" applyFont="1" applyAlignment="1">
      <alignment horizontal="right"/>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26" fillId="5" borderId="0" xfId="4495" applyFont="1" applyFill="1" applyAlignment="1">
      <alignment horizontal="left" vertical="top"/>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25" fillId="0" borderId="0" xfId="4495" applyFont="1" applyAlignment="1">
      <alignment horizontal="center"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54" fillId="0" borderId="51" xfId="4495" applyFont="1" applyBorder="1" applyAlignment="1">
      <alignment horizontal="left" wrapText="1"/>
    </xf>
    <xf numFmtId="0" fontId="54" fillId="0" borderId="0" xfId="4495" applyFont="1" applyAlignment="1">
      <alignment horizontal="left" wrapText="1"/>
    </xf>
    <xf numFmtId="0" fontId="25" fillId="0" borderId="54" xfId="4495" applyFont="1" applyBorder="1" applyAlignment="1">
      <alignment horizontal="center" vertical="top"/>
    </xf>
    <xf numFmtId="0" fontId="131"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2" fontId="18" fillId="0" borderId="0" xfId="1192" applyNumberFormat="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0" fontId="18" fillId="0" borderId="6" xfId="1192" applyBorder="1" applyAlignment="1">
      <alignment horizontal="left"/>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123" fillId="5" borderId="6" xfId="4496" applyFont="1" applyFill="1" applyBorder="1" applyAlignment="1" applyProtection="1">
      <alignment horizontal="center"/>
      <protection locked="0"/>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168" fontId="99" fillId="0" borderId="13" xfId="4499" applyNumberFormat="1" applyFont="1" applyFill="1" applyBorder="1" applyAlignment="1" applyProtection="1">
      <alignment horizontal="left" vertical="center" indent="1"/>
    </xf>
    <xf numFmtId="168" fontId="99" fillId="0" borderId="11"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5605">
    <cellStyle name="20% - Accent1" xfId="1" builtinId="30" customBuiltin="1"/>
    <cellStyle name="20% - Accent1 10" xfId="4504" xr:uid="{00000000-0005-0000-0000-000001000000}"/>
    <cellStyle name="20% - Accent1 10 2" xfId="12954" xr:uid="{1DAED75F-E3FA-42FC-9B05-6915CC4472D3}"/>
    <cellStyle name="20% - Accent1 10 3" xfId="21388" xr:uid="{F7E24184-9E94-49CB-8BAA-0547AA93E7CA}"/>
    <cellStyle name="20% - Accent1 11" xfId="8736" xr:uid="{1BE7496F-2845-4039-9E12-791AC3033F49}"/>
    <cellStyle name="20% - Accent1 12" xfId="17171" xr:uid="{11BAED6E-300E-4D33-BBC2-7D8C6E619582}"/>
    <cellStyle name="20% - Accent1 2" xfId="2" xr:uid="{00000000-0005-0000-0000-000002000000}"/>
    <cellStyle name="20% - Accent1 2 10" xfId="8737" xr:uid="{05D3FD77-9581-425F-81AD-553D9B0EAC6C}"/>
    <cellStyle name="20% - Accent1 2 11" xfId="17172" xr:uid="{24ED464F-B5FE-40EB-BCE0-14E226714BE8}"/>
    <cellStyle name="20% - Accent1 2 2" xfId="3" xr:uid="{00000000-0005-0000-0000-000003000000}"/>
    <cellStyle name="20% - Accent1 2 2 10" xfId="17173" xr:uid="{DF470C49-0DDA-46BE-A239-92BF2D09C224}"/>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50C91563-6EF3-4954-919A-CF4DE3A94422}"/>
    <cellStyle name="20% - Accent1 2 2 2 2 2 2 3" xfId="23950" xr:uid="{C099F47A-5A1B-46D7-9847-3C67234509EC}"/>
    <cellStyle name="20% - Accent1 2 2 2 2 2 3" xfId="11298" xr:uid="{1639F9AB-5405-4437-B6C5-3E31EC8929C7}"/>
    <cellStyle name="20% - Accent1 2 2 2 2 2 4" xfId="19733" xr:uid="{A173CB9C-FFFB-4755-8B34-E7EA371920E6}"/>
    <cellStyle name="20% - Accent1 2 2 2 2 3" xfId="4921" xr:uid="{00000000-0005-0000-0000-000008000000}"/>
    <cellStyle name="20% - Accent1 2 2 2 2 3 2" xfId="13371" xr:uid="{C95645EB-0E91-44BE-A4F3-12F799EC6E71}"/>
    <cellStyle name="20% - Accent1 2 2 2 2 3 3" xfId="21805" xr:uid="{83DA271D-D728-4C35-B5F6-AA7EF0133EA1}"/>
    <cellStyle name="20% - Accent1 2 2 2 2 4" xfId="9153" xr:uid="{2F724DB7-CED3-44EB-A399-D8909497EBF6}"/>
    <cellStyle name="20% - Accent1 2 2 2 2 5" xfId="17588" xr:uid="{84184829-61DF-455C-9116-6BF12341403F}"/>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C21CB9F7-00D2-4461-86AC-1E73E70445F8}"/>
    <cellStyle name="20% - Accent1 2 2 2 3 2 2 3" xfId="24363" xr:uid="{875D99C6-31C3-4EDF-9452-6E3894A30061}"/>
    <cellStyle name="20% - Accent1 2 2 2 3 2 3" xfId="11711" xr:uid="{EA3AC2CA-A1D7-4F2B-A248-C93E3D0C484D}"/>
    <cellStyle name="20% - Accent1 2 2 2 3 2 4" xfId="20146" xr:uid="{3282F5CD-9E2B-415B-8EAF-11C84B3C0CB8}"/>
    <cellStyle name="20% - Accent1 2 2 2 3 3" xfId="5334" xr:uid="{00000000-0005-0000-0000-00000C000000}"/>
    <cellStyle name="20% - Accent1 2 2 2 3 3 2" xfId="13784" xr:uid="{E5023DDE-41BF-4CF0-A0BF-B734C92C2FD6}"/>
    <cellStyle name="20% - Accent1 2 2 2 3 3 3" xfId="22218" xr:uid="{4CD7B73A-BDFA-4EC4-8114-E78CBB4BE07C}"/>
    <cellStyle name="20% - Accent1 2 2 2 3 4" xfId="9566" xr:uid="{771A2361-7E6E-4B0D-8251-D327A7AA51CB}"/>
    <cellStyle name="20% - Accent1 2 2 2 3 5" xfId="18001" xr:uid="{E23D58F2-5BCC-433D-9085-55DBF8D0C5A2}"/>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540B121D-633E-4D87-B523-A41D09A5CA2D}"/>
    <cellStyle name="20% - Accent1 2 2 2 4 2 2 3" xfId="24776" xr:uid="{D8FEA3E7-4553-44C8-889C-A52F1D1E8BBE}"/>
    <cellStyle name="20% - Accent1 2 2 2 4 2 3" xfId="12124" xr:uid="{FF5C084F-DBBB-47DE-844C-1182326B1A11}"/>
    <cellStyle name="20% - Accent1 2 2 2 4 2 4" xfId="20559" xr:uid="{8960E741-B220-442F-A395-7CEE77EA4652}"/>
    <cellStyle name="20% - Accent1 2 2 2 4 3" xfId="5747" xr:uid="{00000000-0005-0000-0000-000010000000}"/>
    <cellStyle name="20% - Accent1 2 2 2 4 3 2" xfId="14197" xr:uid="{71BB8C0C-0A08-4120-8D58-62B5910628CF}"/>
    <cellStyle name="20% - Accent1 2 2 2 4 3 3" xfId="22631" xr:uid="{4A44F7EA-E3F0-45CC-9B90-A36E3418C663}"/>
    <cellStyle name="20% - Accent1 2 2 2 4 4" xfId="9979" xr:uid="{BE04613C-47E2-49ED-A77A-DF494D2AD009}"/>
    <cellStyle name="20% - Accent1 2 2 2 4 5" xfId="18414" xr:uid="{9DD2D649-DBDE-4297-9612-415BC34572D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43837A00-2C40-4B3D-B313-39EC36B621EE}"/>
    <cellStyle name="20% - Accent1 2 2 2 5 2 2 3" xfId="25189" xr:uid="{2AD01DC3-7FC9-46A9-8A37-ADD9D935F1AB}"/>
    <cellStyle name="20% - Accent1 2 2 2 5 2 3" xfId="12537" xr:uid="{6C5DBAEB-D36A-4144-8FB2-A1AE26F339E7}"/>
    <cellStyle name="20% - Accent1 2 2 2 5 2 4" xfId="20972" xr:uid="{E9254E3E-56FD-4E9D-B689-8C9A6395EB5F}"/>
    <cellStyle name="20% - Accent1 2 2 2 5 3" xfId="6160" xr:uid="{00000000-0005-0000-0000-000014000000}"/>
    <cellStyle name="20% - Accent1 2 2 2 5 3 2" xfId="14610" xr:uid="{869FB412-1427-4BB8-BB86-5F48C2726808}"/>
    <cellStyle name="20% - Accent1 2 2 2 5 3 3" xfId="23044" xr:uid="{35358492-B078-4C89-ACAB-131B829FE5E0}"/>
    <cellStyle name="20% - Accent1 2 2 2 5 4" xfId="10392" xr:uid="{3786D1D8-9AD4-45F9-9724-C89804391969}"/>
    <cellStyle name="20% - Accent1 2 2 2 5 5" xfId="18827" xr:uid="{9DFD87B8-D751-40D7-8247-7227C03D9E75}"/>
    <cellStyle name="20% - Accent1 2 2 2 6" xfId="2267" xr:uid="{00000000-0005-0000-0000-000015000000}"/>
    <cellStyle name="20% - Accent1 2 2 2 6 2" xfId="6573" xr:uid="{00000000-0005-0000-0000-000016000000}"/>
    <cellStyle name="20% - Accent1 2 2 2 6 2 2" xfId="15023" xr:uid="{286B9882-BA95-427A-8BB3-12A7468A5379}"/>
    <cellStyle name="20% - Accent1 2 2 2 6 2 3" xfId="23457" xr:uid="{DDE9459B-E321-40CF-B18C-028DD91F1430}"/>
    <cellStyle name="20% - Accent1 2 2 2 6 3" xfId="10805" xr:uid="{3524B520-5419-4E82-99D5-0E57E61BE740}"/>
    <cellStyle name="20% - Accent1 2 2 2 6 4" xfId="19240" xr:uid="{1AD38AF3-4C2A-47D9-834E-E68C6BBD00B3}"/>
    <cellStyle name="20% - Accent1 2 2 2 7" xfId="4507" xr:uid="{00000000-0005-0000-0000-000017000000}"/>
    <cellStyle name="20% - Accent1 2 2 2 7 2" xfId="12957" xr:uid="{A61CA747-A2AB-4A8F-9A40-80EC08E44E0E}"/>
    <cellStyle name="20% - Accent1 2 2 2 7 3" xfId="21391" xr:uid="{53265F2C-4649-4231-8EF1-F0F92CA086B0}"/>
    <cellStyle name="20% - Accent1 2 2 2 8" xfId="8739" xr:uid="{1B92EB86-8E6C-4756-922F-AEFE327F1848}"/>
    <cellStyle name="20% - Accent1 2 2 2 9" xfId="17174" xr:uid="{41355DF7-E878-4000-AE54-7AC398790B4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9608A4D9-B7D7-4187-A01A-2B5F86D966F5}"/>
    <cellStyle name="20% - Accent1 2 2 3 2 2 3" xfId="23949" xr:uid="{601C4428-878E-4D3A-B998-DB8CC19D30DE}"/>
    <cellStyle name="20% - Accent1 2 2 3 2 3" xfId="11297" xr:uid="{F661D34E-8576-4909-ADCF-3B5583D5ABE4}"/>
    <cellStyle name="20% - Accent1 2 2 3 2 4" xfId="19732" xr:uid="{C9D0EF12-2F6A-4669-B439-C97824EF61BA}"/>
    <cellStyle name="20% - Accent1 2 2 3 3" xfId="4920" xr:uid="{00000000-0005-0000-0000-00001B000000}"/>
    <cellStyle name="20% - Accent1 2 2 3 3 2" xfId="13370" xr:uid="{3A1602E3-8E30-4831-BC76-2B3E9E98FE53}"/>
    <cellStyle name="20% - Accent1 2 2 3 3 3" xfId="21804" xr:uid="{D0BE5D9E-F2E4-44A9-A18C-F70717E0D76E}"/>
    <cellStyle name="20% - Accent1 2 2 3 4" xfId="9152" xr:uid="{49C62AB7-BADD-4EED-A9A4-01C970F669CC}"/>
    <cellStyle name="20% - Accent1 2 2 3 5" xfId="17587" xr:uid="{3435784F-C8D8-4F34-9CF1-6E2953E8545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82C02808-F931-4AE2-8EF2-50353EA0512D}"/>
    <cellStyle name="20% - Accent1 2 2 4 2 2 3" xfId="24362" xr:uid="{E2937893-6640-4023-9B05-9521A25934A6}"/>
    <cellStyle name="20% - Accent1 2 2 4 2 3" xfId="11710" xr:uid="{2B1E957D-D709-4F09-A69A-CEC749CDA1C0}"/>
    <cellStyle name="20% - Accent1 2 2 4 2 4" xfId="20145" xr:uid="{02787C10-3CA0-4B38-A3B2-43F682368424}"/>
    <cellStyle name="20% - Accent1 2 2 4 3" xfId="5333" xr:uid="{00000000-0005-0000-0000-00001F000000}"/>
    <cellStyle name="20% - Accent1 2 2 4 3 2" xfId="13783" xr:uid="{6D45E68D-1117-4BCA-B868-0AF7F0DFCEE1}"/>
    <cellStyle name="20% - Accent1 2 2 4 3 3" xfId="22217" xr:uid="{AB3FDABA-0C5D-4EDA-A45D-50A6328664D2}"/>
    <cellStyle name="20% - Accent1 2 2 4 4" xfId="9565" xr:uid="{F24E02FA-DDDF-4124-9A2B-E8CDCA8978DE}"/>
    <cellStyle name="20% - Accent1 2 2 4 5" xfId="18000" xr:uid="{30A4D1FA-59D6-4036-B14D-B0BF6E6074E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3762EA8A-53AF-4DAB-B591-7809F2C422DD}"/>
    <cellStyle name="20% - Accent1 2 2 5 2 2 3" xfId="24775" xr:uid="{C0439CBA-5132-4BDF-B877-1A5D5F8A9C95}"/>
    <cellStyle name="20% - Accent1 2 2 5 2 3" xfId="12123" xr:uid="{407C4763-B693-4BF9-9171-C6A46C9A0E11}"/>
    <cellStyle name="20% - Accent1 2 2 5 2 4" xfId="20558" xr:uid="{2D6A5EA2-C98F-4EB9-9181-38E1BB292D3E}"/>
    <cellStyle name="20% - Accent1 2 2 5 3" xfId="5746" xr:uid="{00000000-0005-0000-0000-000023000000}"/>
    <cellStyle name="20% - Accent1 2 2 5 3 2" xfId="14196" xr:uid="{0D7F00B8-1F1E-43E2-B5AA-7F83510BEACF}"/>
    <cellStyle name="20% - Accent1 2 2 5 3 3" xfId="22630" xr:uid="{54BD057E-528C-47BF-8B82-84DE7670652D}"/>
    <cellStyle name="20% - Accent1 2 2 5 4" xfId="9978" xr:uid="{9FE69627-17A9-4F3F-A48A-36BB76F753F0}"/>
    <cellStyle name="20% - Accent1 2 2 5 5" xfId="18413" xr:uid="{FF024748-6917-4856-8E3A-6FAA085EE7E4}"/>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501C8A07-A56C-4CC5-A4FA-8443B8E575CB}"/>
    <cellStyle name="20% - Accent1 2 2 6 2 2 3" xfId="25188" xr:uid="{9A3E748E-A2D9-4152-9C06-5202977D9F70}"/>
    <cellStyle name="20% - Accent1 2 2 6 2 3" xfId="12536" xr:uid="{5268AF6A-7FD0-4B9A-89AF-96E6D25E943B}"/>
    <cellStyle name="20% - Accent1 2 2 6 2 4" xfId="20971" xr:uid="{DB7C5DA7-61C5-428C-988C-D0F636FDC240}"/>
    <cellStyle name="20% - Accent1 2 2 6 3" xfId="6159" xr:uid="{00000000-0005-0000-0000-000027000000}"/>
    <cellStyle name="20% - Accent1 2 2 6 3 2" xfId="14609" xr:uid="{060536AB-ABE0-4195-823D-A4A39270FEA4}"/>
    <cellStyle name="20% - Accent1 2 2 6 3 3" xfId="23043" xr:uid="{EB70A20C-EB04-44D5-AA1B-0851590BC69E}"/>
    <cellStyle name="20% - Accent1 2 2 6 4" xfId="10391" xr:uid="{BCF1A1E0-43E6-4107-9B79-54C695E20AA0}"/>
    <cellStyle name="20% - Accent1 2 2 6 5" xfId="18826" xr:uid="{448B335B-6FDB-4551-8D9B-CE0F12DD48BD}"/>
    <cellStyle name="20% - Accent1 2 2 7" xfId="2266" xr:uid="{00000000-0005-0000-0000-000028000000}"/>
    <cellStyle name="20% - Accent1 2 2 7 2" xfId="6572" xr:uid="{00000000-0005-0000-0000-000029000000}"/>
    <cellStyle name="20% - Accent1 2 2 7 2 2" xfId="15022" xr:uid="{566BBF8A-9B2D-4348-832B-3459D866C7E3}"/>
    <cellStyle name="20% - Accent1 2 2 7 2 3" xfId="23456" xr:uid="{ED71170F-5D15-4DB1-9CFE-566152494B20}"/>
    <cellStyle name="20% - Accent1 2 2 7 3" xfId="10804" xr:uid="{DE270B50-49D6-43FD-8ED8-8361A1DAA536}"/>
    <cellStyle name="20% - Accent1 2 2 7 4" xfId="19239" xr:uid="{5D02851F-B6DB-46C1-8ECA-C95D3326E760}"/>
    <cellStyle name="20% - Accent1 2 2 8" xfId="4506" xr:uid="{00000000-0005-0000-0000-00002A000000}"/>
    <cellStyle name="20% - Accent1 2 2 8 2" xfId="12956" xr:uid="{175A3869-1C1D-413F-8CE3-82326958C95F}"/>
    <cellStyle name="20% - Accent1 2 2 8 3" xfId="21390" xr:uid="{2A57AFA6-8BF5-4903-9816-5299AEF2E9C1}"/>
    <cellStyle name="20% - Accent1 2 2 9" xfId="8738" xr:uid="{6141737E-CAE7-48EB-8BC1-8BAEEF4E6DD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7F5A06D4-FF02-4376-B982-99D189F9E112}"/>
    <cellStyle name="20% - Accent1 2 3 2 2 2 3" xfId="23951" xr:uid="{06F505FB-5BCC-4AD2-A0EE-E046A626087A}"/>
    <cellStyle name="20% - Accent1 2 3 2 2 3" xfId="11299" xr:uid="{54E5B2F9-8906-418D-AC19-0A30E1AF8612}"/>
    <cellStyle name="20% - Accent1 2 3 2 2 4" xfId="19734" xr:uid="{BC9281F8-C9E6-4B19-926D-15CE1D1FBE58}"/>
    <cellStyle name="20% - Accent1 2 3 2 3" xfId="4922" xr:uid="{00000000-0005-0000-0000-00002F000000}"/>
    <cellStyle name="20% - Accent1 2 3 2 3 2" xfId="13372" xr:uid="{0A8A82CC-BF4C-45A6-A1F4-A52E6B0519C4}"/>
    <cellStyle name="20% - Accent1 2 3 2 3 3" xfId="21806" xr:uid="{C3EFECFB-41BA-4AF3-B191-7988CC374AD7}"/>
    <cellStyle name="20% - Accent1 2 3 2 4" xfId="9154" xr:uid="{6C3A960E-3A97-449D-AED1-6270428939B2}"/>
    <cellStyle name="20% - Accent1 2 3 2 5" xfId="17589" xr:uid="{306ACAFF-18EF-4E59-B947-4308C32DEF5E}"/>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E9096203-67E3-47BE-A49E-5F8158F5008D}"/>
    <cellStyle name="20% - Accent1 2 3 3 2 2 3" xfId="24364" xr:uid="{4C68CDFE-561D-48CA-A8E7-637D1957D215}"/>
    <cellStyle name="20% - Accent1 2 3 3 2 3" xfId="11712" xr:uid="{13394D3E-8704-4697-BAAF-5D809DF61D0A}"/>
    <cellStyle name="20% - Accent1 2 3 3 2 4" xfId="20147" xr:uid="{0B37D4BC-0B1E-4A73-BE75-99F7F4CBD93B}"/>
    <cellStyle name="20% - Accent1 2 3 3 3" xfId="5335" xr:uid="{00000000-0005-0000-0000-000033000000}"/>
    <cellStyle name="20% - Accent1 2 3 3 3 2" xfId="13785" xr:uid="{56455095-0FEF-47E2-8071-E9E71F1CA48C}"/>
    <cellStyle name="20% - Accent1 2 3 3 3 3" xfId="22219" xr:uid="{1BFE9188-55D4-4056-9A5D-757CAEFC7DBC}"/>
    <cellStyle name="20% - Accent1 2 3 3 4" xfId="9567" xr:uid="{B61C007B-1D5F-4F9B-8378-3467676FEF3F}"/>
    <cellStyle name="20% - Accent1 2 3 3 5" xfId="18002" xr:uid="{29387EA0-4D80-4B08-ABF2-FDD39D7063F9}"/>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0226B35A-C355-49D2-8A4B-6907F6394F44}"/>
    <cellStyle name="20% - Accent1 2 3 4 2 2 3" xfId="24777" xr:uid="{F2470B0E-C4B7-4F0F-A595-78DF192B34E1}"/>
    <cellStyle name="20% - Accent1 2 3 4 2 3" xfId="12125" xr:uid="{51F26E2D-C00F-4164-8EA0-93CC425C7292}"/>
    <cellStyle name="20% - Accent1 2 3 4 2 4" xfId="20560" xr:uid="{8C20DF97-539D-4F41-A10E-38F0750B55E4}"/>
    <cellStyle name="20% - Accent1 2 3 4 3" xfId="5748" xr:uid="{00000000-0005-0000-0000-000037000000}"/>
    <cellStyle name="20% - Accent1 2 3 4 3 2" xfId="14198" xr:uid="{F9B09E48-97A6-4E02-9DDF-5B57307E209C}"/>
    <cellStyle name="20% - Accent1 2 3 4 3 3" xfId="22632" xr:uid="{8564A9A4-D2D8-4B98-8343-7CE89AC91D66}"/>
    <cellStyle name="20% - Accent1 2 3 4 4" xfId="9980" xr:uid="{6694288D-0820-439A-AEFC-D0BE2BE22C96}"/>
    <cellStyle name="20% - Accent1 2 3 4 5" xfId="18415" xr:uid="{9EAC5BED-80FD-460F-BDAD-A8070EC2279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B668C48F-718F-444B-9AE3-822ACEF93261}"/>
    <cellStyle name="20% - Accent1 2 3 5 2 2 3" xfId="25190" xr:uid="{4BE6D36F-970F-4D1B-9E43-E5A03B1EB6F6}"/>
    <cellStyle name="20% - Accent1 2 3 5 2 3" xfId="12538" xr:uid="{621F3383-6DA9-4C63-BD91-46EFC100A0FB}"/>
    <cellStyle name="20% - Accent1 2 3 5 2 4" xfId="20973" xr:uid="{C9A10E2B-5CF7-46C9-8327-5773BEE1EE7B}"/>
    <cellStyle name="20% - Accent1 2 3 5 3" xfId="6161" xr:uid="{00000000-0005-0000-0000-00003B000000}"/>
    <cellStyle name="20% - Accent1 2 3 5 3 2" xfId="14611" xr:uid="{E0CD30DC-47D5-458C-8247-0FA7FF4DD051}"/>
    <cellStyle name="20% - Accent1 2 3 5 3 3" xfId="23045" xr:uid="{26F1279D-A4A7-44A1-B793-10DC0C5D5799}"/>
    <cellStyle name="20% - Accent1 2 3 5 4" xfId="10393" xr:uid="{EE2D4503-E42C-4DE1-AA30-903DF784939B}"/>
    <cellStyle name="20% - Accent1 2 3 5 5" xfId="18828" xr:uid="{CEF04883-EA41-4830-97A5-361345783A18}"/>
    <cellStyle name="20% - Accent1 2 3 6" xfId="2268" xr:uid="{00000000-0005-0000-0000-00003C000000}"/>
    <cellStyle name="20% - Accent1 2 3 6 2" xfId="6574" xr:uid="{00000000-0005-0000-0000-00003D000000}"/>
    <cellStyle name="20% - Accent1 2 3 6 2 2" xfId="15024" xr:uid="{5E9A30C2-690C-4B44-8355-34702EB7A29B}"/>
    <cellStyle name="20% - Accent1 2 3 6 2 3" xfId="23458" xr:uid="{35344B87-E05E-4913-92E7-CB7708403201}"/>
    <cellStyle name="20% - Accent1 2 3 6 3" xfId="10806" xr:uid="{059FD19B-B35C-444A-AC61-77C5CFED8C41}"/>
    <cellStyle name="20% - Accent1 2 3 6 4" xfId="19241" xr:uid="{037BD8C2-2986-4886-BB81-DE677B56A3CB}"/>
    <cellStyle name="20% - Accent1 2 3 7" xfId="4508" xr:uid="{00000000-0005-0000-0000-00003E000000}"/>
    <cellStyle name="20% - Accent1 2 3 7 2" xfId="12958" xr:uid="{FCC36D88-4081-4F9F-8496-0A981C165D20}"/>
    <cellStyle name="20% - Accent1 2 3 7 3" xfId="21392" xr:uid="{7CBC9049-5CF3-42E5-9AF6-47DA65963FCE}"/>
    <cellStyle name="20% - Accent1 2 3 8" xfId="8740" xr:uid="{2C4903C7-9950-4271-97AA-EBDFE1CC3A8C}"/>
    <cellStyle name="20% - Accent1 2 3 9" xfId="17175" xr:uid="{0C0566D0-474F-4ADD-AF38-350B8E70067B}"/>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E7558FDA-69D3-4F49-B7A3-A79C0684C723}"/>
    <cellStyle name="20% - Accent1 2 4 2 2 3" xfId="23948" xr:uid="{947DFEE7-F1D8-42C1-A280-0E3250455975}"/>
    <cellStyle name="20% - Accent1 2 4 2 3" xfId="11296" xr:uid="{D3E6ADBF-C471-4767-B05A-6DB6CAC91562}"/>
    <cellStyle name="20% - Accent1 2 4 2 4" xfId="19731" xr:uid="{356001F9-8401-45FF-ADB0-4FD0F46A4A2B}"/>
    <cellStyle name="20% - Accent1 2 4 3" xfId="4919" xr:uid="{00000000-0005-0000-0000-000042000000}"/>
    <cellStyle name="20% - Accent1 2 4 3 2" xfId="13369" xr:uid="{671C0E26-7732-4569-AB70-D79EC039F4DD}"/>
    <cellStyle name="20% - Accent1 2 4 3 3" xfId="21803" xr:uid="{54E608BC-6790-4C9A-BC46-73BC08359AD8}"/>
    <cellStyle name="20% - Accent1 2 4 4" xfId="9151" xr:uid="{93B5A75B-7D77-45BC-851D-1B513655DF5A}"/>
    <cellStyle name="20% - Accent1 2 4 5" xfId="17586" xr:uid="{602298FF-B5DF-4242-B615-BA73EB389B74}"/>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0044CD3B-CC4A-4575-A6F2-1653E3BEB04D}"/>
    <cellStyle name="20% - Accent1 2 5 2 2 3" xfId="24361" xr:uid="{FE16E9CD-9C6B-46E9-BF2E-91E9984E12E5}"/>
    <cellStyle name="20% - Accent1 2 5 2 3" xfId="11709" xr:uid="{F4BE9A8B-6150-470B-8F08-838201045AF0}"/>
    <cellStyle name="20% - Accent1 2 5 2 4" xfId="20144" xr:uid="{44F35872-9A72-4D82-B3EB-42ED3B1CC5BC}"/>
    <cellStyle name="20% - Accent1 2 5 3" xfId="5332" xr:uid="{00000000-0005-0000-0000-000046000000}"/>
    <cellStyle name="20% - Accent1 2 5 3 2" xfId="13782" xr:uid="{0DCCEA1D-A0F6-41D2-A4F9-D8F5583768B6}"/>
    <cellStyle name="20% - Accent1 2 5 3 3" xfId="22216" xr:uid="{7332592A-A638-4E8A-B094-2CF6A7D36497}"/>
    <cellStyle name="20% - Accent1 2 5 4" xfId="9564" xr:uid="{4A52072A-2E63-4C82-A3BA-4C928656185F}"/>
    <cellStyle name="20% - Accent1 2 5 5" xfId="17999" xr:uid="{26D5D786-156C-47D9-A488-E3BAD4869E50}"/>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405E10DB-4CC9-464F-8CA9-6A48A532F942}"/>
    <cellStyle name="20% - Accent1 2 6 2 2 3" xfId="24774" xr:uid="{AEAD2249-7DE8-488F-AF40-31FFB2A02D07}"/>
    <cellStyle name="20% - Accent1 2 6 2 3" xfId="12122" xr:uid="{562E3C7F-37E5-4638-BA16-95FE69380B06}"/>
    <cellStyle name="20% - Accent1 2 6 2 4" xfId="20557" xr:uid="{496F44D0-41A2-4B80-859D-D56B1FC6F5C4}"/>
    <cellStyle name="20% - Accent1 2 6 3" xfId="5745" xr:uid="{00000000-0005-0000-0000-00004A000000}"/>
    <cellStyle name="20% - Accent1 2 6 3 2" xfId="14195" xr:uid="{D9A2B378-2C6E-424B-9160-CFBF669EA1B2}"/>
    <cellStyle name="20% - Accent1 2 6 3 3" xfId="22629" xr:uid="{BBA7895D-975E-4534-B1ED-E5C964857C35}"/>
    <cellStyle name="20% - Accent1 2 6 4" xfId="9977" xr:uid="{0D237158-0BC7-4A2C-AE31-BDFE482EBBFB}"/>
    <cellStyle name="20% - Accent1 2 6 5" xfId="18412" xr:uid="{D7F0E81F-02C2-4065-B744-CA29685C27F0}"/>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AF0F2E9F-93AA-4A10-9D4F-2E7082B6428F}"/>
    <cellStyle name="20% - Accent1 2 7 2 2 3" xfId="25187" xr:uid="{3BC1887D-1B7B-4A7A-AB17-AF114B577533}"/>
    <cellStyle name="20% - Accent1 2 7 2 3" xfId="12535" xr:uid="{7B7B45D8-CE69-4935-8820-4029EADD5BC4}"/>
    <cellStyle name="20% - Accent1 2 7 2 4" xfId="20970" xr:uid="{C6D45078-0DB9-4DDC-A3AB-96F9E5F7F5CB}"/>
    <cellStyle name="20% - Accent1 2 7 3" xfId="6158" xr:uid="{00000000-0005-0000-0000-00004E000000}"/>
    <cellStyle name="20% - Accent1 2 7 3 2" xfId="14608" xr:uid="{82E9B7ED-33DD-46D7-9FB4-1D2D19578854}"/>
    <cellStyle name="20% - Accent1 2 7 3 3" xfId="23042" xr:uid="{C6CF2D74-E205-4E67-BF2F-DF4053C4A288}"/>
    <cellStyle name="20% - Accent1 2 7 4" xfId="10390" xr:uid="{E6BD40BC-8B39-4959-922F-FC37826A2CAB}"/>
    <cellStyle name="20% - Accent1 2 7 5" xfId="18825" xr:uid="{190A3C74-3016-420A-8F45-331E98EAA9F4}"/>
    <cellStyle name="20% - Accent1 2 8" xfId="2265" xr:uid="{00000000-0005-0000-0000-00004F000000}"/>
    <cellStyle name="20% - Accent1 2 8 2" xfId="6571" xr:uid="{00000000-0005-0000-0000-000050000000}"/>
    <cellStyle name="20% - Accent1 2 8 2 2" xfId="15021" xr:uid="{BDE32E38-67DB-4103-BCF9-11B9282CE0A0}"/>
    <cellStyle name="20% - Accent1 2 8 2 3" xfId="23455" xr:uid="{AB521169-1111-4D41-9381-F3AED4C782A1}"/>
    <cellStyle name="20% - Accent1 2 8 3" xfId="10803" xr:uid="{C3C2D2C6-4F3E-4820-BA18-8D1B7393EB4A}"/>
    <cellStyle name="20% - Accent1 2 8 4" xfId="19238" xr:uid="{B25BA48D-5615-4FF7-9987-139D54DE0E53}"/>
    <cellStyle name="20% - Accent1 2 9" xfId="4505" xr:uid="{00000000-0005-0000-0000-000051000000}"/>
    <cellStyle name="20% - Accent1 2 9 2" xfId="12955" xr:uid="{CC0116EF-9826-4EB3-BDFA-3B2F22D1D0EC}"/>
    <cellStyle name="20% - Accent1 2 9 3" xfId="21389" xr:uid="{739ABA07-DFAD-4860-BF90-67AFA9C82809}"/>
    <cellStyle name="20% - Accent1 3" xfId="6" xr:uid="{00000000-0005-0000-0000-000052000000}"/>
    <cellStyle name="20% - Accent1 3 10" xfId="17176" xr:uid="{9FE50907-9389-4CA2-947A-623C906CA166}"/>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EF24B72A-0F1B-4706-A272-1876CD4F7A54}"/>
    <cellStyle name="20% - Accent1 3 2 2 2 2 3" xfId="23953" xr:uid="{D53A5132-B199-4801-9E71-FBB533D23859}"/>
    <cellStyle name="20% - Accent1 3 2 2 2 3" xfId="11301" xr:uid="{C36814BF-1407-49F5-B525-8B843EAA8CB2}"/>
    <cellStyle name="20% - Accent1 3 2 2 2 4" xfId="19736" xr:uid="{F3657068-7AA3-453F-9134-C187AA763DA6}"/>
    <cellStyle name="20% - Accent1 3 2 2 3" xfId="4924" xr:uid="{00000000-0005-0000-0000-000057000000}"/>
    <cellStyle name="20% - Accent1 3 2 2 3 2" xfId="13374" xr:uid="{29311B35-7492-4919-9F7F-35CEFDC5F4E5}"/>
    <cellStyle name="20% - Accent1 3 2 2 3 3" xfId="21808" xr:uid="{946D1A45-26C1-4CBB-BDB1-AAE9877E3CDA}"/>
    <cellStyle name="20% - Accent1 3 2 2 4" xfId="9156" xr:uid="{58F49072-4E8C-493C-82D6-5A7533AFD205}"/>
    <cellStyle name="20% - Accent1 3 2 2 5" xfId="17591" xr:uid="{C26BCC91-8EB3-4E44-99E3-C98E8A759247}"/>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BE487229-1488-4732-875B-35271B44B16B}"/>
    <cellStyle name="20% - Accent1 3 2 3 2 2 3" xfId="24366" xr:uid="{68408CC3-C2A5-4D73-89D8-14C70A9BE90F}"/>
    <cellStyle name="20% - Accent1 3 2 3 2 3" xfId="11714" xr:uid="{2315C998-EBDC-43BF-9B48-BD910FE988CD}"/>
    <cellStyle name="20% - Accent1 3 2 3 2 4" xfId="20149" xr:uid="{20B1B83B-6AAF-4F3E-9CDB-E7BC2BDC0EA6}"/>
    <cellStyle name="20% - Accent1 3 2 3 3" xfId="5337" xr:uid="{00000000-0005-0000-0000-00005B000000}"/>
    <cellStyle name="20% - Accent1 3 2 3 3 2" xfId="13787" xr:uid="{287526EF-7E99-4F03-B120-C3E9CA4DA302}"/>
    <cellStyle name="20% - Accent1 3 2 3 3 3" xfId="22221" xr:uid="{F8FD5243-819D-4919-A265-185F678581F0}"/>
    <cellStyle name="20% - Accent1 3 2 3 4" xfId="9569" xr:uid="{CED39647-CCFC-4E01-BC24-6B674E1D2743}"/>
    <cellStyle name="20% - Accent1 3 2 3 5" xfId="18004" xr:uid="{3FFFD6E2-C7AB-490C-ABF9-1778BCF15928}"/>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551D5CCE-393B-4891-B4AF-3CBDF3F356FD}"/>
    <cellStyle name="20% - Accent1 3 2 4 2 2 3" xfId="24779" xr:uid="{0DB7E489-0120-4142-9A96-0918137BE3F8}"/>
    <cellStyle name="20% - Accent1 3 2 4 2 3" xfId="12127" xr:uid="{E6DEF85F-8711-4B5B-9FC9-1194A61C85A1}"/>
    <cellStyle name="20% - Accent1 3 2 4 2 4" xfId="20562" xr:uid="{D8B454E4-ACE1-4B37-B762-7D58C97ED8C4}"/>
    <cellStyle name="20% - Accent1 3 2 4 3" xfId="5750" xr:uid="{00000000-0005-0000-0000-00005F000000}"/>
    <cellStyle name="20% - Accent1 3 2 4 3 2" xfId="14200" xr:uid="{D7B15D8F-825F-4E5A-920D-20F6CF84B72E}"/>
    <cellStyle name="20% - Accent1 3 2 4 3 3" xfId="22634" xr:uid="{B3D11C98-7A9C-419F-910E-CA1E6683009C}"/>
    <cellStyle name="20% - Accent1 3 2 4 4" xfId="9982" xr:uid="{EBDE8EF2-FCA0-4F7C-B4B2-31CF937E7324}"/>
    <cellStyle name="20% - Accent1 3 2 4 5" xfId="18417" xr:uid="{9D83F47E-03DD-426F-91F6-E7985CE91805}"/>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13296B18-F407-45B1-9E4B-7E2A0D24DD9F}"/>
    <cellStyle name="20% - Accent1 3 2 5 2 2 3" xfId="25192" xr:uid="{6379E4B5-23C9-4E07-ABA8-DB6CCA1FE107}"/>
    <cellStyle name="20% - Accent1 3 2 5 2 3" xfId="12540" xr:uid="{1725FDE8-4161-4BEC-B96A-F17F12639AA7}"/>
    <cellStyle name="20% - Accent1 3 2 5 2 4" xfId="20975" xr:uid="{009B842A-54D2-4533-98CE-2DBFF6D09003}"/>
    <cellStyle name="20% - Accent1 3 2 5 3" xfId="6163" xr:uid="{00000000-0005-0000-0000-000063000000}"/>
    <cellStyle name="20% - Accent1 3 2 5 3 2" xfId="14613" xr:uid="{11BC4190-BF56-4938-80D0-6C060DD8D534}"/>
    <cellStyle name="20% - Accent1 3 2 5 3 3" xfId="23047" xr:uid="{A891BD7D-D7C5-4ED2-9E1F-2F9058ED2943}"/>
    <cellStyle name="20% - Accent1 3 2 5 4" xfId="10395" xr:uid="{760E5F76-BAF7-413F-9EFE-29A1F6198B8D}"/>
    <cellStyle name="20% - Accent1 3 2 5 5" xfId="18830" xr:uid="{D84800AF-A0BA-457D-AE0B-DDEBC04D1BA7}"/>
    <cellStyle name="20% - Accent1 3 2 6" xfId="2270" xr:uid="{00000000-0005-0000-0000-000064000000}"/>
    <cellStyle name="20% - Accent1 3 2 6 2" xfId="6576" xr:uid="{00000000-0005-0000-0000-000065000000}"/>
    <cellStyle name="20% - Accent1 3 2 6 2 2" xfId="15026" xr:uid="{34D631EB-B016-477F-8308-85F589212D83}"/>
    <cellStyle name="20% - Accent1 3 2 6 2 3" xfId="23460" xr:uid="{BA024D8F-177E-4345-8E21-0F785912B232}"/>
    <cellStyle name="20% - Accent1 3 2 6 3" xfId="10808" xr:uid="{FCD41D00-6024-41E8-B920-5BA44007A312}"/>
    <cellStyle name="20% - Accent1 3 2 6 4" xfId="19243" xr:uid="{69248782-AC61-4734-BEB9-BAEDE75659D6}"/>
    <cellStyle name="20% - Accent1 3 2 7" xfId="4510" xr:uid="{00000000-0005-0000-0000-000066000000}"/>
    <cellStyle name="20% - Accent1 3 2 7 2" xfId="12960" xr:uid="{8AB1C32B-C324-43FF-8061-95B87391082A}"/>
    <cellStyle name="20% - Accent1 3 2 7 3" xfId="21394" xr:uid="{2A913616-FCCF-403A-8128-539153530F22}"/>
    <cellStyle name="20% - Accent1 3 2 8" xfId="8742" xr:uid="{CFF262F5-1A63-45BC-B3B3-8F576221EBEB}"/>
    <cellStyle name="20% - Accent1 3 2 9" xfId="17177" xr:uid="{9655CD0E-E500-44C2-A484-A8350693DCEC}"/>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0392C67F-3334-49AA-AF7F-D286DD716C38}"/>
    <cellStyle name="20% - Accent1 3 3 2 2 3" xfId="23952" xr:uid="{12151629-274D-4320-8ED7-5A8DC97A8DE7}"/>
    <cellStyle name="20% - Accent1 3 3 2 3" xfId="11300" xr:uid="{BB273C5E-DF44-44CC-8BB5-8FE667681956}"/>
    <cellStyle name="20% - Accent1 3 3 2 4" xfId="19735" xr:uid="{1C820B90-3248-4C83-9E8C-141C28C1C954}"/>
    <cellStyle name="20% - Accent1 3 3 3" xfId="4923" xr:uid="{00000000-0005-0000-0000-00006A000000}"/>
    <cellStyle name="20% - Accent1 3 3 3 2" xfId="13373" xr:uid="{C388CD49-B25C-4F91-8CA5-76BED3105544}"/>
    <cellStyle name="20% - Accent1 3 3 3 3" xfId="21807" xr:uid="{60EFAD3D-3E1B-46D0-B05F-CA46A4215214}"/>
    <cellStyle name="20% - Accent1 3 3 4" xfId="9155" xr:uid="{DDE29E98-5F67-436C-8883-D12900A8DC4E}"/>
    <cellStyle name="20% - Accent1 3 3 5" xfId="17590" xr:uid="{FC8345AA-9B41-4CC7-B289-751DA67B9AFE}"/>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C04D8C14-0D0C-43FE-B724-10D3B04A1B84}"/>
    <cellStyle name="20% - Accent1 3 4 2 2 3" xfId="24365" xr:uid="{2EE1D53A-8F4B-42C6-AECE-5DEAFFF4EA4D}"/>
    <cellStyle name="20% - Accent1 3 4 2 3" xfId="11713" xr:uid="{0808F78B-CE8A-4810-ABD1-27676F40F74A}"/>
    <cellStyle name="20% - Accent1 3 4 2 4" xfId="20148" xr:uid="{05A4BC70-673F-457A-8FC7-73096155DD9A}"/>
    <cellStyle name="20% - Accent1 3 4 3" xfId="5336" xr:uid="{00000000-0005-0000-0000-00006E000000}"/>
    <cellStyle name="20% - Accent1 3 4 3 2" xfId="13786" xr:uid="{5668A648-1762-4C8D-9E0D-6842BB4F846A}"/>
    <cellStyle name="20% - Accent1 3 4 3 3" xfId="22220" xr:uid="{AB2A13E5-BCFD-43F4-B083-8BE6C9965CA0}"/>
    <cellStyle name="20% - Accent1 3 4 4" xfId="9568" xr:uid="{AC8FA7B7-F253-4946-8C21-33A074B2F91A}"/>
    <cellStyle name="20% - Accent1 3 4 5" xfId="18003" xr:uid="{F94FCB82-9845-48C7-8295-49931BDCC125}"/>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3497E17E-5567-4BC4-A56B-A760FD7C21C2}"/>
    <cellStyle name="20% - Accent1 3 5 2 2 3" xfId="24778" xr:uid="{07546A7D-E89D-4014-ABCD-DC724422EA2A}"/>
    <cellStyle name="20% - Accent1 3 5 2 3" xfId="12126" xr:uid="{87E99F34-1345-47F2-AB9B-EE74DA0C3210}"/>
    <cellStyle name="20% - Accent1 3 5 2 4" xfId="20561" xr:uid="{573353AF-0727-4904-ACDC-BE795B0D79F0}"/>
    <cellStyle name="20% - Accent1 3 5 3" xfId="5749" xr:uid="{00000000-0005-0000-0000-000072000000}"/>
    <cellStyle name="20% - Accent1 3 5 3 2" xfId="14199" xr:uid="{A18826CD-4F3A-4FF7-B0F8-8107BF303F3E}"/>
    <cellStyle name="20% - Accent1 3 5 3 3" xfId="22633" xr:uid="{CFB18C54-6074-4C4E-B9E7-EB441372314E}"/>
    <cellStyle name="20% - Accent1 3 5 4" xfId="9981" xr:uid="{229EC1F6-34EC-41BB-BB65-208329909396}"/>
    <cellStyle name="20% - Accent1 3 5 5" xfId="18416" xr:uid="{66EF8438-D00A-4956-BEC2-1420BE227CF1}"/>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E2C89EF9-DAA6-4B05-967C-6202410EC3FA}"/>
    <cellStyle name="20% - Accent1 3 6 2 2 3" xfId="25191" xr:uid="{A1DB15A6-E259-4C8F-92B5-26F719A5B1F0}"/>
    <cellStyle name="20% - Accent1 3 6 2 3" xfId="12539" xr:uid="{049D0113-AB77-4E12-B90F-C05C03E04E94}"/>
    <cellStyle name="20% - Accent1 3 6 2 4" xfId="20974" xr:uid="{0ABA9048-6E9E-491E-9D3C-B5F3C904F7D1}"/>
    <cellStyle name="20% - Accent1 3 6 3" xfId="6162" xr:uid="{00000000-0005-0000-0000-000076000000}"/>
    <cellStyle name="20% - Accent1 3 6 3 2" xfId="14612" xr:uid="{59B021D2-C93D-477E-AF1F-31B21AFC798A}"/>
    <cellStyle name="20% - Accent1 3 6 3 3" xfId="23046" xr:uid="{80D4C1E1-794F-49FD-9CA1-D62BF517DD20}"/>
    <cellStyle name="20% - Accent1 3 6 4" xfId="10394" xr:uid="{60FD5CC8-A590-472F-921F-FB4FB038151D}"/>
    <cellStyle name="20% - Accent1 3 6 5" xfId="18829" xr:uid="{0A26A1F9-AA5E-43C0-929C-1EB8180D2B20}"/>
    <cellStyle name="20% - Accent1 3 7" xfId="2269" xr:uid="{00000000-0005-0000-0000-000077000000}"/>
    <cellStyle name="20% - Accent1 3 7 2" xfId="6575" xr:uid="{00000000-0005-0000-0000-000078000000}"/>
    <cellStyle name="20% - Accent1 3 7 2 2" xfId="15025" xr:uid="{B5FC6ACA-2DDE-47F2-91A2-1D4A2E5E176F}"/>
    <cellStyle name="20% - Accent1 3 7 2 3" xfId="23459" xr:uid="{9A8EF4EE-0C90-438D-8851-8BD57F6B5CBE}"/>
    <cellStyle name="20% - Accent1 3 7 3" xfId="10807" xr:uid="{3B1C0C75-8AA5-44B3-9DC4-CFD8E34B8417}"/>
    <cellStyle name="20% - Accent1 3 7 4" xfId="19242" xr:uid="{4A360526-62B3-4CF6-AB43-33928E88BFD6}"/>
    <cellStyle name="20% - Accent1 3 8" xfId="4509" xr:uid="{00000000-0005-0000-0000-000079000000}"/>
    <cellStyle name="20% - Accent1 3 8 2" xfId="12959" xr:uid="{BB0FFFE7-55D1-4745-87BD-DAB1164976AF}"/>
    <cellStyle name="20% - Accent1 3 8 3" xfId="21393" xr:uid="{A3AF0879-3152-4412-BC2E-B35B62D767E8}"/>
    <cellStyle name="20% - Accent1 3 9" xfId="8741" xr:uid="{5C7403AD-973B-4684-BD04-E59C23FF89E6}"/>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DCAC56F9-432F-4BED-AFB1-D04D2338C83F}"/>
    <cellStyle name="20% - Accent1 4 2 2 2 3" xfId="23954" xr:uid="{1E5C2CA9-0E35-4575-AA48-B30F1872572F}"/>
    <cellStyle name="20% - Accent1 4 2 2 3" xfId="11302" xr:uid="{48227949-7310-4620-A2C0-A7E6873C2657}"/>
    <cellStyle name="20% - Accent1 4 2 2 4" xfId="19737" xr:uid="{CCBC8CDC-74DF-4351-BF52-3BF1B8F68EEB}"/>
    <cellStyle name="20% - Accent1 4 2 3" xfId="4925" xr:uid="{00000000-0005-0000-0000-00007E000000}"/>
    <cellStyle name="20% - Accent1 4 2 3 2" xfId="13375" xr:uid="{49A811C4-81DF-47A8-9738-2D4C3D8239E0}"/>
    <cellStyle name="20% - Accent1 4 2 3 3" xfId="21809" xr:uid="{C93F3585-469F-400F-9107-CF91D52F4BF5}"/>
    <cellStyle name="20% - Accent1 4 2 4" xfId="9157" xr:uid="{1DA32A92-AEAE-427C-ACFC-B068E12B491B}"/>
    <cellStyle name="20% - Accent1 4 2 5" xfId="17592" xr:uid="{DD855D6D-B90B-40CA-84DD-741C9674814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E87EDA9B-242F-48E8-8C93-3E5025C4140B}"/>
    <cellStyle name="20% - Accent1 4 3 2 2 3" xfId="24367" xr:uid="{DC4235FE-6C1F-4F3B-9360-40E2F0124DD8}"/>
    <cellStyle name="20% - Accent1 4 3 2 3" xfId="11715" xr:uid="{0A7D9895-B255-4F1F-9075-76A069AC7492}"/>
    <cellStyle name="20% - Accent1 4 3 2 4" xfId="20150" xr:uid="{2DA7E4CE-C4B1-4D33-A568-0ABCC8F1F793}"/>
    <cellStyle name="20% - Accent1 4 3 3" xfId="5338" xr:uid="{00000000-0005-0000-0000-000082000000}"/>
    <cellStyle name="20% - Accent1 4 3 3 2" xfId="13788" xr:uid="{227FB61B-3BD7-4F11-A363-EECD3CFC5A8C}"/>
    <cellStyle name="20% - Accent1 4 3 3 3" xfId="22222" xr:uid="{4BD31A2E-6E42-4AB3-8F29-17EA3FE9A7B5}"/>
    <cellStyle name="20% - Accent1 4 3 4" xfId="9570" xr:uid="{980CB338-2CCD-4B7E-8C73-BCDB79900876}"/>
    <cellStyle name="20% - Accent1 4 3 5" xfId="18005" xr:uid="{3B17F935-2593-4564-8436-7C8B32359A71}"/>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4CB933B4-6663-4713-A6D7-92A2EB3D57F9}"/>
    <cellStyle name="20% - Accent1 4 4 2 2 3" xfId="24780" xr:uid="{3CE4D6FB-8E4E-487E-BFF0-70D8CDCE1DAA}"/>
    <cellStyle name="20% - Accent1 4 4 2 3" xfId="12128" xr:uid="{373C6D8E-04E2-4BFF-B959-1C933B527102}"/>
    <cellStyle name="20% - Accent1 4 4 2 4" xfId="20563" xr:uid="{72930C5B-B13D-4812-9C21-E95FEDB36056}"/>
    <cellStyle name="20% - Accent1 4 4 3" xfId="5751" xr:uid="{00000000-0005-0000-0000-000086000000}"/>
    <cellStyle name="20% - Accent1 4 4 3 2" xfId="14201" xr:uid="{D1AFD6B7-7587-44F8-A0D3-9BC1E19204B4}"/>
    <cellStyle name="20% - Accent1 4 4 3 3" xfId="22635" xr:uid="{2030683C-EAFD-4A57-8165-EA623BC968A1}"/>
    <cellStyle name="20% - Accent1 4 4 4" xfId="9983" xr:uid="{B6EF925F-DFFB-4609-BD53-FC185C82B449}"/>
    <cellStyle name="20% - Accent1 4 4 5" xfId="18418" xr:uid="{4691FC30-A373-47CE-9C75-AA6DF1260360}"/>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E2DE54B9-A38B-4173-B1CB-09700E7CE13C}"/>
    <cellStyle name="20% - Accent1 4 5 2 2 3" xfId="25193" xr:uid="{E2321A22-F91F-42BE-9F8A-3DB353E28C1F}"/>
    <cellStyle name="20% - Accent1 4 5 2 3" xfId="12541" xr:uid="{46FE0BD5-DE38-4F62-8869-E1EBE91FB93A}"/>
    <cellStyle name="20% - Accent1 4 5 2 4" xfId="20976" xr:uid="{686AB2CE-7D35-4571-84B5-9A314E244B8A}"/>
    <cellStyle name="20% - Accent1 4 5 3" xfId="6164" xr:uid="{00000000-0005-0000-0000-00008A000000}"/>
    <cellStyle name="20% - Accent1 4 5 3 2" xfId="14614" xr:uid="{8CF17543-02E6-408C-A56D-F773674B8190}"/>
    <cellStyle name="20% - Accent1 4 5 3 3" xfId="23048" xr:uid="{B1AF7DDD-818E-4309-83CA-39B8675B3B9C}"/>
    <cellStyle name="20% - Accent1 4 5 4" xfId="10396" xr:uid="{B1177367-A372-4B7F-B336-3CE6B31FD6E1}"/>
    <cellStyle name="20% - Accent1 4 5 5" xfId="18831" xr:uid="{644A59C6-5333-4F40-9302-BEE78C2F214E}"/>
    <cellStyle name="20% - Accent1 4 6" xfId="2271" xr:uid="{00000000-0005-0000-0000-00008B000000}"/>
    <cellStyle name="20% - Accent1 4 6 2" xfId="6577" xr:uid="{00000000-0005-0000-0000-00008C000000}"/>
    <cellStyle name="20% - Accent1 4 6 2 2" xfId="15027" xr:uid="{0E3067C2-8335-4D61-91F9-09FA51BB4923}"/>
    <cellStyle name="20% - Accent1 4 6 2 3" xfId="23461" xr:uid="{7501026F-E3A7-470E-9796-FAA133EBF7D1}"/>
    <cellStyle name="20% - Accent1 4 6 3" xfId="10809" xr:uid="{3EFFB660-39DF-4676-9834-A6A457A19E83}"/>
    <cellStyle name="20% - Accent1 4 6 4" xfId="19244" xr:uid="{811621AA-8599-4F1D-968A-123C49A0741D}"/>
    <cellStyle name="20% - Accent1 4 7" xfId="4511" xr:uid="{00000000-0005-0000-0000-00008D000000}"/>
    <cellStyle name="20% - Accent1 4 7 2" xfId="12961" xr:uid="{2518DA3F-502E-4047-BF6E-80F892DB1FAA}"/>
    <cellStyle name="20% - Accent1 4 7 3" xfId="21395" xr:uid="{16AA393F-6F87-4A2D-9169-9B67BCF822C7}"/>
    <cellStyle name="20% - Accent1 4 8" xfId="8743" xr:uid="{9A55334B-678E-4FED-8318-783B192D69B7}"/>
    <cellStyle name="20% - Accent1 4 9" xfId="17178" xr:uid="{5803D86F-6D0C-4525-81EB-7CD0CDB0DA9F}"/>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5BC43BED-3E01-4EF0-8A7C-819C1CB52589}"/>
    <cellStyle name="20% - Accent1 5 2 2 3" xfId="23947" xr:uid="{E1BA2BF5-8B68-4732-A78A-7BC88A1DA3E1}"/>
    <cellStyle name="20% - Accent1 5 2 3" xfId="11295" xr:uid="{B2AC6216-C26D-47F1-B1A9-BAC9AF832A6A}"/>
    <cellStyle name="20% - Accent1 5 2 4" xfId="19730" xr:uid="{101BC8BF-01F8-4DBD-BFB6-4DBAC1C7A4FC}"/>
    <cellStyle name="20% - Accent1 5 3" xfId="4918" xr:uid="{00000000-0005-0000-0000-000091000000}"/>
    <cellStyle name="20% - Accent1 5 3 2" xfId="13368" xr:uid="{261AD9E5-A9D4-422A-B08B-1B05C2934C5C}"/>
    <cellStyle name="20% - Accent1 5 3 3" xfId="21802" xr:uid="{86C40DFA-23EF-4A12-AFEA-46A10F3B22B6}"/>
    <cellStyle name="20% - Accent1 5 4" xfId="9150" xr:uid="{FAF2C8BB-6384-4BE8-8C45-DF4CEDA40C85}"/>
    <cellStyle name="20% - Accent1 5 5" xfId="17585" xr:uid="{001B5DE8-4FD0-489C-B72F-3C917A750858}"/>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E6DD1C39-4F2F-4229-A068-AEB4F322B762}"/>
    <cellStyle name="20% - Accent1 6 2 2 3" xfId="24360" xr:uid="{7B2A9014-056D-41F5-AB1B-3A2FCAA51B7C}"/>
    <cellStyle name="20% - Accent1 6 2 3" xfId="11708" xr:uid="{6BE54B1C-9712-435B-8C00-B74E663B96A7}"/>
    <cellStyle name="20% - Accent1 6 2 4" xfId="20143" xr:uid="{B9546BFA-09F9-4FAB-B55E-591B91BF0164}"/>
    <cellStyle name="20% - Accent1 6 3" xfId="5331" xr:uid="{00000000-0005-0000-0000-000095000000}"/>
    <cellStyle name="20% - Accent1 6 3 2" xfId="13781" xr:uid="{8AA9FDC7-16AD-49E4-B503-8A6BDD553D24}"/>
    <cellStyle name="20% - Accent1 6 3 3" xfId="22215" xr:uid="{72F19B74-964F-4E5D-B7EE-703EA9E8307F}"/>
    <cellStyle name="20% - Accent1 6 4" xfId="9563" xr:uid="{7080B20E-8396-4101-8867-3B7E997B65B3}"/>
    <cellStyle name="20% - Accent1 6 5" xfId="17998" xr:uid="{9007A4A0-6E2D-41B9-9FD6-A735BB6EBD04}"/>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41A0EBCB-FFD7-47D3-AEE2-E3085DEB3969}"/>
    <cellStyle name="20% - Accent1 7 2 2 3" xfId="24773" xr:uid="{846A13B0-6899-427B-9B33-FE58284D48A9}"/>
    <cellStyle name="20% - Accent1 7 2 3" xfId="12121" xr:uid="{3FB723F5-5127-4FE3-B3C0-BFA44675A175}"/>
    <cellStyle name="20% - Accent1 7 2 4" xfId="20556" xr:uid="{057B5861-35C2-460A-A061-A57ED5104DC5}"/>
    <cellStyle name="20% - Accent1 7 3" xfId="5744" xr:uid="{00000000-0005-0000-0000-000099000000}"/>
    <cellStyle name="20% - Accent1 7 3 2" xfId="14194" xr:uid="{193C8394-CD5C-496C-9FFB-AEF6931DCF7E}"/>
    <cellStyle name="20% - Accent1 7 3 3" xfId="22628" xr:uid="{C801C592-820B-444D-BADA-3850A9D1CCB6}"/>
    <cellStyle name="20% - Accent1 7 4" xfId="9976" xr:uid="{32660A6D-A090-4CE6-83A7-F83EDF44C71F}"/>
    <cellStyle name="20% - Accent1 7 5" xfId="18411" xr:uid="{7FCF4B50-217B-4974-B454-3F6CDF3F93AF}"/>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FBE353FE-F4F2-401A-A32C-BB8075728517}"/>
    <cellStyle name="20% - Accent1 8 2 2 3" xfId="25186" xr:uid="{B89D8191-770E-4F99-8366-7E9BA1F619DD}"/>
    <cellStyle name="20% - Accent1 8 2 3" xfId="12534" xr:uid="{C2D38DC3-B3D3-47DA-9FA0-0D305B4376BF}"/>
    <cellStyle name="20% - Accent1 8 2 4" xfId="20969" xr:uid="{DCBCF86D-B16A-4A72-84C6-6779FEC265D6}"/>
    <cellStyle name="20% - Accent1 8 3" xfId="6157" xr:uid="{00000000-0005-0000-0000-00009D000000}"/>
    <cellStyle name="20% - Accent1 8 3 2" xfId="14607" xr:uid="{19D66DCA-F164-43C4-A2F6-D019333EF12B}"/>
    <cellStyle name="20% - Accent1 8 3 3" xfId="23041" xr:uid="{DD8DE5DB-2D02-4360-8549-D07524618B4F}"/>
    <cellStyle name="20% - Accent1 8 4" xfId="10389" xr:uid="{B3EBBB5A-8232-4815-A8DA-A6EFEECDA830}"/>
    <cellStyle name="20% - Accent1 8 5" xfId="18824" xr:uid="{46F4F484-A2D9-4E4A-B011-DBCD8CC22250}"/>
    <cellStyle name="20% - Accent1 9" xfId="2264" xr:uid="{00000000-0005-0000-0000-00009E000000}"/>
    <cellStyle name="20% - Accent1 9 2" xfId="6570" xr:uid="{00000000-0005-0000-0000-00009F000000}"/>
    <cellStyle name="20% - Accent1 9 2 2" xfId="15020" xr:uid="{F2DA2D24-6283-4729-B784-405FA8E805CC}"/>
    <cellStyle name="20% - Accent1 9 2 3" xfId="23454" xr:uid="{F130E3A8-4459-434F-8593-64224AB794AB}"/>
    <cellStyle name="20% - Accent1 9 3" xfId="10802" xr:uid="{DC81C427-A6EB-4BEB-9C61-1646C48454BC}"/>
    <cellStyle name="20% - Accent1 9 4" xfId="19237" xr:uid="{075B5564-A032-4826-B8AA-0EA06D0F991D}"/>
    <cellStyle name="20% - Accent2" xfId="9" builtinId="34" customBuiltin="1"/>
    <cellStyle name="20% - Accent2 10" xfId="4512" xr:uid="{00000000-0005-0000-0000-0000A1000000}"/>
    <cellStyle name="20% - Accent2 10 2" xfId="12962" xr:uid="{5846C69A-2D01-44CF-AAB0-47D9DDAF559B}"/>
    <cellStyle name="20% - Accent2 10 3" xfId="21396" xr:uid="{FAA3F1C3-F203-4BE8-ACFE-3741B3F356D4}"/>
    <cellStyle name="20% - Accent2 11" xfId="8744" xr:uid="{672786B4-ECD0-4DB6-97B5-DD4DECD4DD8A}"/>
    <cellStyle name="20% - Accent2 12" xfId="17179" xr:uid="{1EC99824-415A-4A57-922D-320E06BEE81D}"/>
    <cellStyle name="20% - Accent2 2" xfId="10" xr:uid="{00000000-0005-0000-0000-0000A2000000}"/>
    <cellStyle name="20% - Accent2 2 10" xfId="8745" xr:uid="{519A9DCD-00A0-4929-B59E-D131F48D52FA}"/>
    <cellStyle name="20% - Accent2 2 11" xfId="17180" xr:uid="{4FA7D04F-29AE-41CA-9524-B301CCC85D50}"/>
    <cellStyle name="20% - Accent2 2 2" xfId="11" xr:uid="{00000000-0005-0000-0000-0000A3000000}"/>
    <cellStyle name="20% - Accent2 2 2 10" xfId="17181" xr:uid="{C06930E8-B98C-4C26-8A83-7E00384D1408}"/>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9C942467-6FFC-432F-963F-65F9FF137765}"/>
    <cellStyle name="20% - Accent2 2 2 2 2 2 2 3" xfId="23958" xr:uid="{4C66F4B7-44F3-442D-A952-D647061D6034}"/>
    <cellStyle name="20% - Accent2 2 2 2 2 2 3" xfId="11306" xr:uid="{4A40C583-9240-499C-BD5A-6C96E6CFCCAB}"/>
    <cellStyle name="20% - Accent2 2 2 2 2 2 4" xfId="19741" xr:uid="{87DBE626-26AF-46BE-BEC4-02048FB6D2EC}"/>
    <cellStyle name="20% - Accent2 2 2 2 2 3" xfId="4929" xr:uid="{00000000-0005-0000-0000-0000A8000000}"/>
    <cellStyle name="20% - Accent2 2 2 2 2 3 2" xfId="13379" xr:uid="{0504ABCF-E7F1-4B6C-90CF-59DDE21A3308}"/>
    <cellStyle name="20% - Accent2 2 2 2 2 3 3" xfId="21813" xr:uid="{49F1A559-C46C-43F2-84E2-854109C0B181}"/>
    <cellStyle name="20% - Accent2 2 2 2 2 4" xfId="9161" xr:uid="{13633671-8775-4F04-A87F-6D5893D80712}"/>
    <cellStyle name="20% - Accent2 2 2 2 2 5" xfId="17596" xr:uid="{B2D432EB-7282-4878-8B87-E5BDF303146F}"/>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4ED3F478-4CB0-4BDE-BE8A-EAF3C28BB3D1}"/>
    <cellStyle name="20% - Accent2 2 2 2 3 2 2 3" xfId="24371" xr:uid="{D5872DD2-99C1-44CE-9DA6-31BAC8B2E7F7}"/>
    <cellStyle name="20% - Accent2 2 2 2 3 2 3" xfId="11719" xr:uid="{C602A344-4137-4605-9A46-AE0EACF525A1}"/>
    <cellStyle name="20% - Accent2 2 2 2 3 2 4" xfId="20154" xr:uid="{02E1432D-37CD-4EB1-9BC6-A9B809414DE0}"/>
    <cellStyle name="20% - Accent2 2 2 2 3 3" xfId="5342" xr:uid="{00000000-0005-0000-0000-0000AC000000}"/>
    <cellStyle name="20% - Accent2 2 2 2 3 3 2" xfId="13792" xr:uid="{0F1731A2-3FB8-4C95-A5A7-5EA7106C4C82}"/>
    <cellStyle name="20% - Accent2 2 2 2 3 3 3" xfId="22226" xr:uid="{B611D039-0E49-4CD6-8947-D00A58A81B56}"/>
    <cellStyle name="20% - Accent2 2 2 2 3 4" xfId="9574" xr:uid="{ED186965-425A-4FBB-AD08-57E61DA063E4}"/>
    <cellStyle name="20% - Accent2 2 2 2 3 5" xfId="18009" xr:uid="{8226F993-69A5-464B-81DB-6218EFBBA4E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DE8271C2-C665-4AF7-B187-1C6C4D1B7CB7}"/>
    <cellStyle name="20% - Accent2 2 2 2 4 2 2 3" xfId="24784" xr:uid="{52ECBFD7-A508-4693-BFE1-93F4CF522498}"/>
    <cellStyle name="20% - Accent2 2 2 2 4 2 3" xfId="12132" xr:uid="{6833F6E4-BC8E-40C9-8A5A-CC14F3899E8D}"/>
    <cellStyle name="20% - Accent2 2 2 2 4 2 4" xfId="20567" xr:uid="{8900A574-C680-4AEB-A391-EEB034560207}"/>
    <cellStyle name="20% - Accent2 2 2 2 4 3" xfId="5755" xr:uid="{00000000-0005-0000-0000-0000B0000000}"/>
    <cellStyle name="20% - Accent2 2 2 2 4 3 2" xfId="14205" xr:uid="{8A1573C8-A0F7-449A-87F8-A1BB963E16A3}"/>
    <cellStyle name="20% - Accent2 2 2 2 4 3 3" xfId="22639" xr:uid="{13AE8D7A-4C52-4446-91A2-B65027DEC11E}"/>
    <cellStyle name="20% - Accent2 2 2 2 4 4" xfId="9987" xr:uid="{2D5CCBAE-7B4E-4061-ADCD-7812A958E6D1}"/>
    <cellStyle name="20% - Accent2 2 2 2 4 5" xfId="18422" xr:uid="{841CADD1-5794-4C2C-8942-2FC58FA38532}"/>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691297E4-BB43-40A4-9CA7-A13CA295BFA2}"/>
    <cellStyle name="20% - Accent2 2 2 2 5 2 2 3" xfId="25197" xr:uid="{6C9941CC-61D2-4C64-A827-80D3E9AADE5C}"/>
    <cellStyle name="20% - Accent2 2 2 2 5 2 3" xfId="12545" xr:uid="{C6442EB9-83ED-49A0-A900-2322BEF22484}"/>
    <cellStyle name="20% - Accent2 2 2 2 5 2 4" xfId="20980" xr:uid="{B8170BE9-BC3F-46B1-A7F7-B64AF3AD1436}"/>
    <cellStyle name="20% - Accent2 2 2 2 5 3" xfId="6168" xr:uid="{00000000-0005-0000-0000-0000B4000000}"/>
    <cellStyle name="20% - Accent2 2 2 2 5 3 2" xfId="14618" xr:uid="{0879A005-2075-4C4F-B83B-46B3BC2470A4}"/>
    <cellStyle name="20% - Accent2 2 2 2 5 3 3" xfId="23052" xr:uid="{AB1BD288-971C-4ED2-89A8-33F4C8490C96}"/>
    <cellStyle name="20% - Accent2 2 2 2 5 4" xfId="10400" xr:uid="{98322BFA-1EB0-4084-8547-FCB5D30D320C}"/>
    <cellStyle name="20% - Accent2 2 2 2 5 5" xfId="18835" xr:uid="{7C1BB93E-4E76-497C-9423-B8203E02FE61}"/>
    <cellStyle name="20% - Accent2 2 2 2 6" xfId="2275" xr:uid="{00000000-0005-0000-0000-0000B5000000}"/>
    <cellStyle name="20% - Accent2 2 2 2 6 2" xfId="6581" xr:uid="{00000000-0005-0000-0000-0000B6000000}"/>
    <cellStyle name="20% - Accent2 2 2 2 6 2 2" xfId="15031" xr:uid="{0A6B92A3-94DF-4AF4-B85A-78C90FC80143}"/>
    <cellStyle name="20% - Accent2 2 2 2 6 2 3" xfId="23465" xr:uid="{1B033860-3287-41F3-97EA-D1B0F73F7A6C}"/>
    <cellStyle name="20% - Accent2 2 2 2 6 3" xfId="10813" xr:uid="{7168FFDB-1BA7-444E-B745-0827BFE5F52F}"/>
    <cellStyle name="20% - Accent2 2 2 2 6 4" xfId="19248" xr:uid="{DCEDEBED-392C-4D86-8D77-14B87CF3145B}"/>
    <cellStyle name="20% - Accent2 2 2 2 7" xfId="4515" xr:uid="{00000000-0005-0000-0000-0000B7000000}"/>
    <cellStyle name="20% - Accent2 2 2 2 7 2" xfId="12965" xr:uid="{6AED30AE-05C8-47F0-836C-7A35A0D55824}"/>
    <cellStyle name="20% - Accent2 2 2 2 7 3" xfId="21399" xr:uid="{C5A6696B-57C9-425E-9EAB-31B8F1B48FC2}"/>
    <cellStyle name="20% - Accent2 2 2 2 8" xfId="8747" xr:uid="{556CE352-FC29-4BDF-94B5-D0EAB84F8437}"/>
    <cellStyle name="20% - Accent2 2 2 2 9" xfId="17182" xr:uid="{67A32325-651A-4F52-8F04-BB7841E8BD2B}"/>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0ED67E82-573E-4662-92C0-1D246F901ADE}"/>
    <cellStyle name="20% - Accent2 2 2 3 2 2 3" xfId="23957" xr:uid="{C0A58B4F-B70A-4968-88EC-71BD66DC6DA9}"/>
    <cellStyle name="20% - Accent2 2 2 3 2 3" xfId="11305" xr:uid="{83850B01-93AE-4CB3-B7DD-0C1DF6329D3A}"/>
    <cellStyle name="20% - Accent2 2 2 3 2 4" xfId="19740" xr:uid="{41EE6BCF-3722-45B9-B7BB-6ABDAB153E07}"/>
    <cellStyle name="20% - Accent2 2 2 3 3" xfId="4928" xr:uid="{00000000-0005-0000-0000-0000BB000000}"/>
    <cellStyle name="20% - Accent2 2 2 3 3 2" xfId="13378" xr:uid="{3997E83A-F8C9-4035-B42A-59495E3E3101}"/>
    <cellStyle name="20% - Accent2 2 2 3 3 3" xfId="21812" xr:uid="{B64F7540-66E9-4A9C-81FC-32100F370A48}"/>
    <cellStyle name="20% - Accent2 2 2 3 4" xfId="9160" xr:uid="{01EC8E8D-151A-4D95-A9B6-534F599EE266}"/>
    <cellStyle name="20% - Accent2 2 2 3 5" xfId="17595" xr:uid="{25824F02-E3B0-4358-8B76-3EEF8B8E95E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DD4FFC20-A400-47E6-B2EC-0EDF339A99C2}"/>
    <cellStyle name="20% - Accent2 2 2 4 2 2 3" xfId="24370" xr:uid="{7BFFB05F-99CA-407D-9C0D-3BF61F563EE0}"/>
    <cellStyle name="20% - Accent2 2 2 4 2 3" xfId="11718" xr:uid="{BBF56ECC-BCE2-44B6-A6D1-2B9680EEE933}"/>
    <cellStyle name="20% - Accent2 2 2 4 2 4" xfId="20153" xr:uid="{21017BD8-D6B4-4DCD-885C-AD975D250F05}"/>
    <cellStyle name="20% - Accent2 2 2 4 3" xfId="5341" xr:uid="{00000000-0005-0000-0000-0000BF000000}"/>
    <cellStyle name="20% - Accent2 2 2 4 3 2" xfId="13791" xr:uid="{5A393693-3D6E-43D5-86B3-8025733CADD3}"/>
    <cellStyle name="20% - Accent2 2 2 4 3 3" xfId="22225" xr:uid="{F526DAD2-28A2-4131-B19F-B85989D2E90B}"/>
    <cellStyle name="20% - Accent2 2 2 4 4" xfId="9573" xr:uid="{92EB9F70-3FA2-4A3E-855B-155B3FEC8DDF}"/>
    <cellStyle name="20% - Accent2 2 2 4 5" xfId="18008" xr:uid="{1F999717-BA82-4366-839C-9D17604D4CA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257F4F61-DBC2-4004-AC3A-D1F32C4451DD}"/>
    <cellStyle name="20% - Accent2 2 2 5 2 2 3" xfId="24783" xr:uid="{63DCB358-101A-4EBA-B00C-08D779B11E2A}"/>
    <cellStyle name="20% - Accent2 2 2 5 2 3" xfId="12131" xr:uid="{F3EC3850-AFE2-4D09-82E7-CF06356968C1}"/>
    <cellStyle name="20% - Accent2 2 2 5 2 4" xfId="20566" xr:uid="{8DD1E96E-A21C-464B-B9C4-B7DFC62FBD3F}"/>
    <cellStyle name="20% - Accent2 2 2 5 3" xfId="5754" xr:uid="{00000000-0005-0000-0000-0000C3000000}"/>
    <cellStyle name="20% - Accent2 2 2 5 3 2" xfId="14204" xr:uid="{92F54A41-5629-47EC-83E0-81FCB34589F6}"/>
    <cellStyle name="20% - Accent2 2 2 5 3 3" xfId="22638" xr:uid="{5D7EA976-7DE1-444A-96BE-C4AB8C6F3129}"/>
    <cellStyle name="20% - Accent2 2 2 5 4" xfId="9986" xr:uid="{04868599-A552-4941-8239-031846C3699B}"/>
    <cellStyle name="20% - Accent2 2 2 5 5" xfId="18421" xr:uid="{5943AEA6-68D7-4AEB-BE9A-D62C745A451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5A8AB5C1-C126-46DC-9A3C-F8EB352010C5}"/>
    <cellStyle name="20% - Accent2 2 2 6 2 2 3" xfId="25196" xr:uid="{0B82EA94-54D7-4A1C-8667-CB4196636EDC}"/>
    <cellStyle name="20% - Accent2 2 2 6 2 3" xfId="12544" xr:uid="{3188DBA9-98CC-4BC5-A96E-BD71FF0FCC3B}"/>
    <cellStyle name="20% - Accent2 2 2 6 2 4" xfId="20979" xr:uid="{F9D034AB-B490-469D-BCFD-A47CAB52F18E}"/>
    <cellStyle name="20% - Accent2 2 2 6 3" xfId="6167" xr:uid="{00000000-0005-0000-0000-0000C7000000}"/>
    <cellStyle name="20% - Accent2 2 2 6 3 2" xfId="14617" xr:uid="{3EDFBB36-6C19-4F81-8BCC-299CF879ACA4}"/>
    <cellStyle name="20% - Accent2 2 2 6 3 3" xfId="23051" xr:uid="{5A977F5C-B609-4E06-8C0B-DF2CFD8BDA98}"/>
    <cellStyle name="20% - Accent2 2 2 6 4" xfId="10399" xr:uid="{B159DCC8-5F61-4DC2-AE0C-D405018A5721}"/>
    <cellStyle name="20% - Accent2 2 2 6 5" xfId="18834" xr:uid="{29DB1A56-CDF4-4C8C-A388-0F31EA4ADA8C}"/>
    <cellStyle name="20% - Accent2 2 2 7" xfId="2274" xr:uid="{00000000-0005-0000-0000-0000C8000000}"/>
    <cellStyle name="20% - Accent2 2 2 7 2" xfId="6580" xr:uid="{00000000-0005-0000-0000-0000C9000000}"/>
    <cellStyle name="20% - Accent2 2 2 7 2 2" xfId="15030" xr:uid="{7A832FC5-EC72-4A18-9BB7-95B199E580EE}"/>
    <cellStyle name="20% - Accent2 2 2 7 2 3" xfId="23464" xr:uid="{74ED0FD0-5C2D-426B-B4A9-C0461DB7C4D5}"/>
    <cellStyle name="20% - Accent2 2 2 7 3" xfId="10812" xr:uid="{96C4CDC7-8088-4D0E-8CFE-91217FED8FB1}"/>
    <cellStyle name="20% - Accent2 2 2 7 4" xfId="19247" xr:uid="{48B36DB1-783D-4DA0-A280-D75DCE8F1542}"/>
    <cellStyle name="20% - Accent2 2 2 8" xfId="4514" xr:uid="{00000000-0005-0000-0000-0000CA000000}"/>
    <cellStyle name="20% - Accent2 2 2 8 2" xfId="12964" xr:uid="{16BF42CE-701F-4E5B-96CE-1D92AD0840C9}"/>
    <cellStyle name="20% - Accent2 2 2 8 3" xfId="21398" xr:uid="{2B61243F-4BE9-4BAF-9D99-D85977BDE149}"/>
    <cellStyle name="20% - Accent2 2 2 9" xfId="8746" xr:uid="{CB323C6B-E699-4BE9-A3AF-D51ED468C9DC}"/>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DD4163C7-3A25-4335-8EB9-F24AE5697AD6}"/>
    <cellStyle name="20% - Accent2 2 3 2 2 2 3" xfId="23959" xr:uid="{A28F3B89-C7E5-49E6-B4D0-6F392E7C2485}"/>
    <cellStyle name="20% - Accent2 2 3 2 2 3" xfId="11307" xr:uid="{2ACAFE0F-F76A-4AA4-97BB-82A93BF0806A}"/>
    <cellStyle name="20% - Accent2 2 3 2 2 4" xfId="19742" xr:uid="{3E3D7B5C-FCE5-43F3-9A8E-6B12163C4DEA}"/>
    <cellStyle name="20% - Accent2 2 3 2 3" xfId="4930" xr:uid="{00000000-0005-0000-0000-0000CF000000}"/>
    <cellStyle name="20% - Accent2 2 3 2 3 2" xfId="13380" xr:uid="{1E1C1A0B-AB35-48E3-959A-1BBBE0EE21E6}"/>
    <cellStyle name="20% - Accent2 2 3 2 3 3" xfId="21814" xr:uid="{D06FA2EE-5D46-4874-9848-688F4E912854}"/>
    <cellStyle name="20% - Accent2 2 3 2 4" xfId="9162" xr:uid="{A4AD88D6-DF6B-49B0-B10F-18CDB9005A7D}"/>
    <cellStyle name="20% - Accent2 2 3 2 5" xfId="17597" xr:uid="{811414A8-71F0-492F-A874-0F7AE53D4FBA}"/>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84B307E2-D915-4A0B-AF76-387D651A2B62}"/>
    <cellStyle name="20% - Accent2 2 3 3 2 2 3" xfId="24372" xr:uid="{8B024BFB-C48F-4943-A31C-9E4EB3CF9B63}"/>
    <cellStyle name="20% - Accent2 2 3 3 2 3" xfId="11720" xr:uid="{3240B818-D27E-4EDC-8D6D-B9E9372EEB1C}"/>
    <cellStyle name="20% - Accent2 2 3 3 2 4" xfId="20155" xr:uid="{83310600-25A2-40CB-A641-2BC3A674FE40}"/>
    <cellStyle name="20% - Accent2 2 3 3 3" xfId="5343" xr:uid="{00000000-0005-0000-0000-0000D3000000}"/>
    <cellStyle name="20% - Accent2 2 3 3 3 2" xfId="13793" xr:uid="{F9687F1E-44D6-4A1B-9779-AE29F47594F1}"/>
    <cellStyle name="20% - Accent2 2 3 3 3 3" xfId="22227" xr:uid="{2F4ABFB8-05D5-4CBC-A671-8C64BC574167}"/>
    <cellStyle name="20% - Accent2 2 3 3 4" xfId="9575" xr:uid="{74754DDA-FD85-4100-B470-224220437B75}"/>
    <cellStyle name="20% - Accent2 2 3 3 5" xfId="18010" xr:uid="{A1C44F8A-114C-49A4-BC81-AE9A13A76F6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0EC504CA-5EB6-467B-B200-B57109DA3578}"/>
    <cellStyle name="20% - Accent2 2 3 4 2 2 3" xfId="24785" xr:uid="{D962F4C7-A28D-484C-BE04-A63D4EEE2157}"/>
    <cellStyle name="20% - Accent2 2 3 4 2 3" xfId="12133" xr:uid="{ED1EDBAC-7495-4153-B68C-3EB86D5C4B88}"/>
    <cellStyle name="20% - Accent2 2 3 4 2 4" xfId="20568" xr:uid="{B90E75FD-6058-41C6-A0B5-B47DD0586399}"/>
    <cellStyle name="20% - Accent2 2 3 4 3" xfId="5756" xr:uid="{00000000-0005-0000-0000-0000D7000000}"/>
    <cellStyle name="20% - Accent2 2 3 4 3 2" xfId="14206" xr:uid="{52163F4C-468F-4B14-99B2-F7D2CD013711}"/>
    <cellStyle name="20% - Accent2 2 3 4 3 3" xfId="22640" xr:uid="{CB5C49E8-327E-462A-89F2-163BC9D4B748}"/>
    <cellStyle name="20% - Accent2 2 3 4 4" xfId="9988" xr:uid="{12D365DC-85B4-42CC-8FD0-3A98409CD331}"/>
    <cellStyle name="20% - Accent2 2 3 4 5" xfId="18423" xr:uid="{42E2C841-8833-427C-9709-A77ECCA7C738}"/>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6532E730-D1EC-4AF5-9BD9-11C971C030D2}"/>
    <cellStyle name="20% - Accent2 2 3 5 2 2 3" xfId="25198" xr:uid="{B0A14E97-CDC4-42F6-B143-B52A292E7919}"/>
    <cellStyle name="20% - Accent2 2 3 5 2 3" xfId="12546" xr:uid="{5C768699-5EB3-48BD-A53C-4329BD5C238E}"/>
    <cellStyle name="20% - Accent2 2 3 5 2 4" xfId="20981" xr:uid="{3A23F726-1A66-4331-827D-C4AA24B96A73}"/>
    <cellStyle name="20% - Accent2 2 3 5 3" xfId="6169" xr:uid="{00000000-0005-0000-0000-0000DB000000}"/>
    <cellStyle name="20% - Accent2 2 3 5 3 2" xfId="14619" xr:uid="{A3445731-0E47-40A2-B700-EE62B584882F}"/>
    <cellStyle name="20% - Accent2 2 3 5 3 3" xfId="23053" xr:uid="{EC855EED-B575-4085-8612-E06635DC39BC}"/>
    <cellStyle name="20% - Accent2 2 3 5 4" xfId="10401" xr:uid="{A46ABFF9-FC14-4ACA-BD70-33542C070FDE}"/>
    <cellStyle name="20% - Accent2 2 3 5 5" xfId="18836" xr:uid="{90071B4D-7FAD-4CD7-AA33-0B83D2279395}"/>
    <cellStyle name="20% - Accent2 2 3 6" xfId="2276" xr:uid="{00000000-0005-0000-0000-0000DC000000}"/>
    <cellStyle name="20% - Accent2 2 3 6 2" xfId="6582" xr:uid="{00000000-0005-0000-0000-0000DD000000}"/>
    <cellStyle name="20% - Accent2 2 3 6 2 2" xfId="15032" xr:uid="{F08975F6-20E0-4EF9-A468-A73697DF85D6}"/>
    <cellStyle name="20% - Accent2 2 3 6 2 3" xfId="23466" xr:uid="{DEDE6FC6-F259-4F44-8B29-9B5833C9E25D}"/>
    <cellStyle name="20% - Accent2 2 3 6 3" xfId="10814" xr:uid="{0A3332FB-60F4-4DAD-BA49-B961080C2042}"/>
    <cellStyle name="20% - Accent2 2 3 6 4" xfId="19249" xr:uid="{0C2E55D8-82E6-454A-B127-3D61DF97A3A4}"/>
    <cellStyle name="20% - Accent2 2 3 7" xfId="4516" xr:uid="{00000000-0005-0000-0000-0000DE000000}"/>
    <cellStyle name="20% - Accent2 2 3 7 2" xfId="12966" xr:uid="{03096004-303B-4A51-8022-6027C2BDBF25}"/>
    <cellStyle name="20% - Accent2 2 3 7 3" xfId="21400" xr:uid="{787F3739-1AF9-475F-B1AD-0D7FF29CFB52}"/>
    <cellStyle name="20% - Accent2 2 3 8" xfId="8748" xr:uid="{B7742CA2-8736-45A2-A8D5-269049CEC24B}"/>
    <cellStyle name="20% - Accent2 2 3 9" xfId="17183" xr:uid="{909E4935-C147-40FE-80FD-C696BB79725F}"/>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E991D5C5-AD9A-4AE2-AC14-73C3794F7F05}"/>
    <cellStyle name="20% - Accent2 2 4 2 2 3" xfId="23956" xr:uid="{644EC93F-A6BF-4212-B023-5B423D3D7653}"/>
    <cellStyle name="20% - Accent2 2 4 2 3" xfId="11304" xr:uid="{A2E015C9-D31B-428E-BEAD-7DFE772AC1CD}"/>
    <cellStyle name="20% - Accent2 2 4 2 4" xfId="19739" xr:uid="{68C215DD-2335-4921-9AA1-CDF2E5F433DE}"/>
    <cellStyle name="20% - Accent2 2 4 3" xfId="4927" xr:uid="{00000000-0005-0000-0000-0000E2000000}"/>
    <cellStyle name="20% - Accent2 2 4 3 2" xfId="13377" xr:uid="{A8049BCB-CA9A-42C2-BD0D-F3975AB2A49A}"/>
    <cellStyle name="20% - Accent2 2 4 3 3" xfId="21811" xr:uid="{27A57C89-70EB-4CE1-A21B-2D554286DAE5}"/>
    <cellStyle name="20% - Accent2 2 4 4" xfId="9159" xr:uid="{C64E24C3-0474-4DFB-8665-1407C0A98B86}"/>
    <cellStyle name="20% - Accent2 2 4 5" xfId="17594" xr:uid="{FD76F56A-1452-4401-9546-B1DDF36FB290}"/>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D74F50DB-1AFD-46F3-8A53-D0F6F9FFD1D8}"/>
    <cellStyle name="20% - Accent2 2 5 2 2 3" xfId="24369" xr:uid="{99745114-8AFB-4F3C-B7C7-484420245DC3}"/>
    <cellStyle name="20% - Accent2 2 5 2 3" xfId="11717" xr:uid="{F58FFBFF-2495-4EAC-939D-482EE019E15A}"/>
    <cellStyle name="20% - Accent2 2 5 2 4" xfId="20152" xr:uid="{F8D0EFCA-9161-4CEF-9005-636294D7FA17}"/>
    <cellStyle name="20% - Accent2 2 5 3" xfId="5340" xr:uid="{00000000-0005-0000-0000-0000E6000000}"/>
    <cellStyle name="20% - Accent2 2 5 3 2" xfId="13790" xr:uid="{BF4B623C-0B03-4777-B3E0-D46608A10D85}"/>
    <cellStyle name="20% - Accent2 2 5 3 3" xfId="22224" xr:uid="{A6AD826E-B5EB-4D56-952E-DB2BF79886D2}"/>
    <cellStyle name="20% - Accent2 2 5 4" xfId="9572" xr:uid="{DDFAEBB8-F18B-4C51-865C-91DC2021861B}"/>
    <cellStyle name="20% - Accent2 2 5 5" xfId="18007" xr:uid="{DF83907B-BF49-495A-879E-549733CCF72E}"/>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65FBE359-84C9-4128-AF33-CA24C8F3416F}"/>
    <cellStyle name="20% - Accent2 2 6 2 2 3" xfId="24782" xr:uid="{A519B3D8-6B43-4784-9A48-05476D447285}"/>
    <cellStyle name="20% - Accent2 2 6 2 3" xfId="12130" xr:uid="{087835F9-1031-43B4-8216-8843F6B567AA}"/>
    <cellStyle name="20% - Accent2 2 6 2 4" xfId="20565" xr:uid="{EB611BB6-829D-4FAC-B818-934B8734E212}"/>
    <cellStyle name="20% - Accent2 2 6 3" xfId="5753" xr:uid="{00000000-0005-0000-0000-0000EA000000}"/>
    <cellStyle name="20% - Accent2 2 6 3 2" xfId="14203" xr:uid="{B8B11D50-C66A-487C-BE6B-57878FDE1902}"/>
    <cellStyle name="20% - Accent2 2 6 3 3" xfId="22637" xr:uid="{37F21083-3D99-470B-998B-3916710670DA}"/>
    <cellStyle name="20% - Accent2 2 6 4" xfId="9985" xr:uid="{E5E77550-D880-478F-A953-ADDC18F53C38}"/>
    <cellStyle name="20% - Accent2 2 6 5" xfId="18420" xr:uid="{E4638C2E-BBFB-4541-A015-C61BFB600FD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B5AA89C2-BA49-484F-BBA9-21A8B5329A6C}"/>
    <cellStyle name="20% - Accent2 2 7 2 2 3" xfId="25195" xr:uid="{69601540-37AE-45B6-A4E0-9FE55E7BD7F6}"/>
    <cellStyle name="20% - Accent2 2 7 2 3" xfId="12543" xr:uid="{938A331C-8E51-451F-9517-C328140774F9}"/>
    <cellStyle name="20% - Accent2 2 7 2 4" xfId="20978" xr:uid="{7CAB218F-CE22-4202-9E9E-E481206667B4}"/>
    <cellStyle name="20% - Accent2 2 7 3" xfId="6166" xr:uid="{00000000-0005-0000-0000-0000EE000000}"/>
    <cellStyle name="20% - Accent2 2 7 3 2" xfId="14616" xr:uid="{C488B24D-4F29-4A73-97E0-7C20334A09B2}"/>
    <cellStyle name="20% - Accent2 2 7 3 3" xfId="23050" xr:uid="{DE9F8B20-1022-4B76-9E57-B00DB8A747DD}"/>
    <cellStyle name="20% - Accent2 2 7 4" xfId="10398" xr:uid="{DB7F606A-D742-4EEA-A762-6B8645707660}"/>
    <cellStyle name="20% - Accent2 2 7 5" xfId="18833" xr:uid="{7D2EC748-9E6E-4AB5-BD43-5B66642355CF}"/>
    <cellStyle name="20% - Accent2 2 8" xfId="2273" xr:uid="{00000000-0005-0000-0000-0000EF000000}"/>
    <cellStyle name="20% - Accent2 2 8 2" xfId="6579" xr:uid="{00000000-0005-0000-0000-0000F0000000}"/>
    <cellStyle name="20% - Accent2 2 8 2 2" xfId="15029" xr:uid="{589DDC1D-8D12-4961-94B9-BD680A3022FB}"/>
    <cellStyle name="20% - Accent2 2 8 2 3" xfId="23463" xr:uid="{4F5084B0-0D27-43E3-AAAF-BB41B429B20A}"/>
    <cellStyle name="20% - Accent2 2 8 3" xfId="10811" xr:uid="{4F8B769F-DDB6-4E78-B6A5-3EEF1055BD48}"/>
    <cellStyle name="20% - Accent2 2 8 4" xfId="19246" xr:uid="{239029E6-EDF1-4848-A484-2F3592C014D2}"/>
    <cellStyle name="20% - Accent2 2 9" xfId="4513" xr:uid="{00000000-0005-0000-0000-0000F1000000}"/>
    <cellStyle name="20% - Accent2 2 9 2" xfId="12963" xr:uid="{E1AB9644-2281-41DA-872F-A70C0772742F}"/>
    <cellStyle name="20% - Accent2 2 9 3" xfId="21397" xr:uid="{9C42AC1E-F089-4DD8-B553-E15866BA0B44}"/>
    <cellStyle name="20% - Accent2 3" xfId="14" xr:uid="{00000000-0005-0000-0000-0000F2000000}"/>
    <cellStyle name="20% - Accent2 3 10" xfId="17184" xr:uid="{F46113C3-9940-4BD6-B829-F272F4468A64}"/>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8B0DB5B5-4212-46FE-B19D-831878A4411A}"/>
    <cellStyle name="20% - Accent2 3 2 2 2 2 3" xfId="23961" xr:uid="{84C9FB7B-36E0-4D65-A0FB-0BDA864926ED}"/>
    <cellStyle name="20% - Accent2 3 2 2 2 3" xfId="11309" xr:uid="{D28222D6-E940-407D-B24D-8E4FD3608C87}"/>
    <cellStyle name="20% - Accent2 3 2 2 2 4" xfId="19744" xr:uid="{2B287140-12A4-4FC8-8A62-95D4AC20A5C8}"/>
    <cellStyle name="20% - Accent2 3 2 2 3" xfId="4932" xr:uid="{00000000-0005-0000-0000-0000F7000000}"/>
    <cellStyle name="20% - Accent2 3 2 2 3 2" xfId="13382" xr:uid="{D67DADDC-2E32-4837-917E-C5026CE6DE80}"/>
    <cellStyle name="20% - Accent2 3 2 2 3 3" xfId="21816" xr:uid="{ABA808A0-2671-4E3E-98AD-16905B5DDDA1}"/>
    <cellStyle name="20% - Accent2 3 2 2 4" xfId="9164" xr:uid="{CED615DE-57E6-4426-987F-0025E7110EDA}"/>
    <cellStyle name="20% - Accent2 3 2 2 5" xfId="17599" xr:uid="{C96B3111-7856-4A3C-A6E8-0CDCB1CAEA20}"/>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25812767-FB55-4EE8-BD68-909716E23B59}"/>
    <cellStyle name="20% - Accent2 3 2 3 2 2 3" xfId="24374" xr:uid="{9DD64C77-C294-4531-84D3-753F567D8D7D}"/>
    <cellStyle name="20% - Accent2 3 2 3 2 3" xfId="11722" xr:uid="{9D3F611F-573C-40F4-A744-8F49FAFAA407}"/>
    <cellStyle name="20% - Accent2 3 2 3 2 4" xfId="20157" xr:uid="{F32B026A-C944-49FB-90F7-07AA2D37E4CE}"/>
    <cellStyle name="20% - Accent2 3 2 3 3" xfId="5345" xr:uid="{00000000-0005-0000-0000-0000FB000000}"/>
    <cellStyle name="20% - Accent2 3 2 3 3 2" xfId="13795" xr:uid="{67691F7B-8512-45C2-91DA-2AAF56779C4E}"/>
    <cellStyle name="20% - Accent2 3 2 3 3 3" xfId="22229" xr:uid="{679F4408-55FC-4993-8ABF-913FEDDCDA62}"/>
    <cellStyle name="20% - Accent2 3 2 3 4" xfId="9577" xr:uid="{081A0B55-D265-4397-A118-EE92BA1F6A57}"/>
    <cellStyle name="20% - Accent2 3 2 3 5" xfId="18012" xr:uid="{3D3D9F70-1DB8-4EDA-B85C-ABEFD0BC7DB1}"/>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879CD125-AD75-4EB8-9052-DC5CC0E7BB1F}"/>
    <cellStyle name="20% - Accent2 3 2 4 2 2 3" xfId="24787" xr:uid="{316E6188-1620-4E85-A3CA-9473ACDE317B}"/>
    <cellStyle name="20% - Accent2 3 2 4 2 3" xfId="12135" xr:uid="{8245EE58-D00B-41C2-BCC1-03F65C3AD59F}"/>
    <cellStyle name="20% - Accent2 3 2 4 2 4" xfId="20570" xr:uid="{5C179575-9C13-45E9-95B4-55AE745A6BA3}"/>
    <cellStyle name="20% - Accent2 3 2 4 3" xfId="5758" xr:uid="{00000000-0005-0000-0000-0000FF000000}"/>
    <cellStyle name="20% - Accent2 3 2 4 3 2" xfId="14208" xr:uid="{D0291975-CEFB-4E2D-B844-B1A174B47689}"/>
    <cellStyle name="20% - Accent2 3 2 4 3 3" xfId="22642" xr:uid="{7B1B1524-9482-44C0-AF5C-F14C568993D2}"/>
    <cellStyle name="20% - Accent2 3 2 4 4" xfId="9990" xr:uid="{E5D962ED-75DC-4AF7-A814-EAF827DB3462}"/>
    <cellStyle name="20% - Accent2 3 2 4 5" xfId="18425" xr:uid="{284E01AD-3F24-476B-9235-2BDFE12A6D0A}"/>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D3ED00E2-B302-4045-B40B-292ADE23D32B}"/>
    <cellStyle name="20% - Accent2 3 2 5 2 2 3" xfId="25200" xr:uid="{7E28858B-D0D3-4B03-8125-7F5C45550D48}"/>
    <cellStyle name="20% - Accent2 3 2 5 2 3" xfId="12548" xr:uid="{755821E0-D29A-4EB3-8E8C-86E450B7C919}"/>
    <cellStyle name="20% - Accent2 3 2 5 2 4" xfId="20983" xr:uid="{FED794DA-C670-4111-BC31-2F4C577FB80C}"/>
    <cellStyle name="20% - Accent2 3 2 5 3" xfId="6171" xr:uid="{00000000-0005-0000-0000-000003010000}"/>
    <cellStyle name="20% - Accent2 3 2 5 3 2" xfId="14621" xr:uid="{8A9A9EB2-6137-4752-BD19-3FA476C1C011}"/>
    <cellStyle name="20% - Accent2 3 2 5 3 3" xfId="23055" xr:uid="{698AAD6E-BF17-422B-94D3-67BC8E302718}"/>
    <cellStyle name="20% - Accent2 3 2 5 4" xfId="10403" xr:uid="{19B8AF78-47F8-4100-9B3A-6029CB1906E8}"/>
    <cellStyle name="20% - Accent2 3 2 5 5" xfId="18838" xr:uid="{AD26984E-FF08-450A-A121-0F0F04D84C69}"/>
    <cellStyle name="20% - Accent2 3 2 6" xfId="2278" xr:uid="{00000000-0005-0000-0000-000004010000}"/>
    <cellStyle name="20% - Accent2 3 2 6 2" xfId="6584" xr:uid="{00000000-0005-0000-0000-000005010000}"/>
    <cellStyle name="20% - Accent2 3 2 6 2 2" xfId="15034" xr:uid="{6901677B-B6C6-4353-8D49-B2445EF2D7FE}"/>
    <cellStyle name="20% - Accent2 3 2 6 2 3" xfId="23468" xr:uid="{D0D15A93-5FC5-45CA-AD0F-BB38B40D7BC0}"/>
    <cellStyle name="20% - Accent2 3 2 6 3" xfId="10816" xr:uid="{E28B41B5-FE29-45CF-92A4-9DEA1EAE49FB}"/>
    <cellStyle name="20% - Accent2 3 2 6 4" xfId="19251" xr:uid="{4630A8D9-B085-41DD-B141-9897E36E5F78}"/>
    <cellStyle name="20% - Accent2 3 2 7" xfId="4518" xr:uid="{00000000-0005-0000-0000-000006010000}"/>
    <cellStyle name="20% - Accent2 3 2 7 2" xfId="12968" xr:uid="{2DF32BC5-E553-4782-B67E-419113692AE7}"/>
    <cellStyle name="20% - Accent2 3 2 7 3" xfId="21402" xr:uid="{53ACB65B-3CF3-4FAE-9B8E-20E9D1886D0D}"/>
    <cellStyle name="20% - Accent2 3 2 8" xfId="8750" xr:uid="{77EA1FE6-162F-4E16-B21F-B69E82473AF0}"/>
    <cellStyle name="20% - Accent2 3 2 9" xfId="17185" xr:uid="{3EBFD8CD-2432-4427-B076-6E741F6E2151}"/>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E7193DD0-9823-4EB8-ADA7-59B475625795}"/>
    <cellStyle name="20% - Accent2 3 3 2 2 3" xfId="23960" xr:uid="{42A4AA3B-F09F-4172-9383-473F20C7B742}"/>
    <cellStyle name="20% - Accent2 3 3 2 3" xfId="11308" xr:uid="{0F79C0B7-0922-44FB-B4F1-9DF3CBFF23F0}"/>
    <cellStyle name="20% - Accent2 3 3 2 4" xfId="19743" xr:uid="{0AC1E354-BBF3-4E67-B704-33849314AFDA}"/>
    <cellStyle name="20% - Accent2 3 3 3" xfId="4931" xr:uid="{00000000-0005-0000-0000-00000A010000}"/>
    <cellStyle name="20% - Accent2 3 3 3 2" xfId="13381" xr:uid="{DE144122-3507-4DCF-81A4-A6177451B8E8}"/>
    <cellStyle name="20% - Accent2 3 3 3 3" xfId="21815" xr:uid="{3E931045-4316-40D8-87CF-8EC6B1229ADF}"/>
    <cellStyle name="20% - Accent2 3 3 4" xfId="9163" xr:uid="{1B88F242-DB21-4822-B90F-49A390060463}"/>
    <cellStyle name="20% - Accent2 3 3 5" xfId="17598" xr:uid="{B5DB03C8-67DB-4F77-B7F6-F7FBC73B757B}"/>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9AFE2CDD-E2EC-4593-AB7B-160898C18803}"/>
    <cellStyle name="20% - Accent2 3 4 2 2 3" xfId="24373" xr:uid="{0FD843F8-972D-4173-9F02-3D78FDB45355}"/>
    <cellStyle name="20% - Accent2 3 4 2 3" xfId="11721" xr:uid="{4FFFD1D1-5AC5-4757-9722-A6C79C9C317E}"/>
    <cellStyle name="20% - Accent2 3 4 2 4" xfId="20156" xr:uid="{5F4E4FEC-06D2-4496-83CD-5775DCE0246B}"/>
    <cellStyle name="20% - Accent2 3 4 3" xfId="5344" xr:uid="{00000000-0005-0000-0000-00000E010000}"/>
    <cellStyle name="20% - Accent2 3 4 3 2" xfId="13794" xr:uid="{95A9EF03-01BF-4696-874C-CF0ED80E5A97}"/>
    <cellStyle name="20% - Accent2 3 4 3 3" xfId="22228" xr:uid="{4B6A26EF-83B4-401A-8055-7145EB7A47DB}"/>
    <cellStyle name="20% - Accent2 3 4 4" xfId="9576" xr:uid="{80A21F32-310C-43D7-ADCA-CD1EC0B56F2B}"/>
    <cellStyle name="20% - Accent2 3 4 5" xfId="18011" xr:uid="{42354AE5-5604-4120-B468-1AEF26AB5335}"/>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28598126-5CF9-47B5-BAB5-4CB30C3163AD}"/>
    <cellStyle name="20% - Accent2 3 5 2 2 3" xfId="24786" xr:uid="{8D8DDD71-E793-4F59-B399-713CBD0D6E83}"/>
    <cellStyle name="20% - Accent2 3 5 2 3" xfId="12134" xr:uid="{66B1C1C4-D627-4800-B4B4-7DFF3BFB5356}"/>
    <cellStyle name="20% - Accent2 3 5 2 4" xfId="20569" xr:uid="{F4621C13-5FB2-4D66-862B-A95438C6904A}"/>
    <cellStyle name="20% - Accent2 3 5 3" xfId="5757" xr:uid="{00000000-0005-0000-0000-000012010000}"/>
    <cellStyle name="20% - Accent2 3 5 3 2" xfId="14207" xr:uid="{AA8A6351-FDA8-48F2-84EC-B0013E271AB8}"/>
    <cellStyle name="20% - Accent2 3 5 3 3" xfId="22641" xr:uid="{A2B258A0-E0CE-4EB8-9B91-1E43E177D9C9}"/>
    <cellStyle name="20% - Accent2 3 5 4" xfId="9989" xr:uid="{90CE0DA5-0720-42ED-9816-ECCCFB3CA80B}"/>
    <cellStyle name="20% - Accent2 3 5 5" xfId="18424" xr:uid="{076BE081-D8DB-4A16-BACB-84593DF54245}"/>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87F7D48A-1E02-4B64-9A2A-2CDA54E4596C}"/>
    <cellStyle name="20% - Accent2 3 6 2 2 3" xfId="25199" xr:uid="{9C50EEE7-F28F-4F12-BEF7-5C5107D86C75}"/>
    <cellStyle name="20% - Accent2 3 6 2 3" xfId="12547" xr:uid="{D62215BC-F111-4647-98D7-562E167A38A1}"/>
    <cellStyle name="20% - Accent2 3 6 2 4" xfId="20982" xr:uid="{FA93845C-4A44-4EC8-9275-1F6D86B4BD82}"/>
    <cellStyle name="20% - Accent2 3 6 3" xfId="6170" xr:uid="{00000000-0005-0000-0000-000016010000}"/>
    <cellStyle name="20% - Accent2 3 6 3 2" xfId="14620" xr:uid="{FA1F9C9A-B1CD-4E08-8EB0-36D8C336B433}"/>
    <cellStyle name="20% - Accent2 3 6 3 3" xfId="23054" xr:uid="{84FD5015-EAB9-4A5C-A6C6-E88B80F75A21}"/>
    <cellStyle name="20% - Accent2 3 6 4" xfId="10402" xr:uid="{E5BB3FEE-B614-4ED3-8E2E-87E988EB4482}"/>
    <cellStyle name="20% - Accent2 3 6 5" xfId="18837" xr:uid="{BF6E5F37-5FAF-4C7B-B669-D090184CA0E5}"/>
    <cellStyle name="20% - Accent2 3 7" xfId="2277" xr:uid="{00000000-0005-0000-0000-000017010000}"/>
    <cellStyle name="20% - Accent2 3 7 2" xfId="6583" xr:uid="{00000000-0005-0000-0000-000018010000}"/>
    <cellStyle name="20% - Accent2 3 7 2 2" xfId="15033" xr:uid="{CC4D0D66-F361-41AE-9F0E-36D6FEE7D937}"/>
    <cellStyle name="20% - Accent2 3 7 2 3" xfId="23467" xr:uid="{2E382BC1-0F95-4842-B426-52CCD1BA9337}"/>
    <cellStyle name="20% - Accent2 3 7 3" xfId="10815" xr:uid="{6B9444FC-394F-499F-AD7B-87CC9A6AE557}"/>
    <cellStyle name="20% - Accent2 3 7 4" xfId="19250" xr:uid="{D0F6D65B-17B7-4B6A-B6D8-4DC3007B2FEF}"/>
    <cellStyle name="20% - Accent2 3 8" xfId="4517" xr:uid="{00000000-0005-0000-0000-000019010000}"/>
    <cellStyle name="20% - Accent2 3 8 2" xfId="12967" xr:uid="{3BDB1CBB-E570-4DB2-BC12-F7666469ACD8}"/>
    <cellStyle name="20% - Accent2 3 8 3" xfId="21401" xr:uid="{6AED0C8F-F295-4B44-8CFB-694B15B04DE0}"/>
    <cellStyle name="20% - Accent2 3 9" xfId="8749" xr:uid="{E0CFBC1B-9BD6-4720-93E3-EBA005A9357A}"/>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F3747552-C5D9-454A-AB3D-F5D332F47C28}"/>
    <cellStyle name="20% - Accent2 4 2 2 2 3" xfId="23962" xr:uid="{997479D5-B125-4D70-A041-6E76598C4E02}"/>
    <cellStyle name="20% - Accent2 4 2 2 3" xfId="11310" xr:uid="{556A81B0-6293-4B84-801D-535A0CF5D503}"/>
    <cellStyle name="20% - Accent2 4 2 2 4" xfId="19745" xr:uid="{C1BDC2C5-16D1-4FE7-A928-A7B85EB431CD}"/>
    <cellStyle name="20% - Accent2 4 2 3" xfId="4933" xr:uid="{00000000-0005-0000-0000-00001E010000}"/>
    <cellStyle name="20% - Accent2 4 2 3 2" xfId="13383" xr:uid="{1856AB7F-07E6-4C57-BE4C-5E23F9AF5308}"/>
    <cellStyle name="20% - Accent2 4 2 3 3" xfId="21817" xr:uid="{C882E47A-498C-49BE-AC96-001DB9DD0510}"/>
    <cellStyle name="20% - Accent2 4 2 4" xfId="9165" xr:uid="{8F3A6948-680C-4672-8B66-997A64F7EA4C}"/>
    <cellStyle name="20% - Accent2 4 2 5" xfId="17600" xr:uid="{B404BC41-3A92-42F1-B322-360C777221BF}"/>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36D53977-444A-42E0-8DE8-C58BD72CF9A5}"/>
    <cellStyle name="20% - Accent2 4 3 2 2 3" xfId="24375" xr:uid="{8C85C650-5A3E-49F6-B6B0-8DF20EB770C6}"/>
    <cellStyle name="20% - Accent2 4 3 2 3" xfId="11723" xr:uid="{16D9FF49-0B16-4674-845A-33BB06D73EB9}"/>
    <cellStyle name="20% - Accent2 4 3 2 4" xfId="20158" xr:uid="{15972252-08F8-49F6-8888-6594CC6B980A}"/>
    <cellStyle name="20% - Accent2 4 3 3" xfId="5346" xr:uid="{00000000-0005-0000-0000-000022010000}"/>
    <cellStyle name="20% - Accent2 4 3 3 2" xfId="13796" xr:uid="{641366BD-A9E4-4D80-82C9-81631D3B10A6}"/>
    <cellStyle name="20% - Accent2 4 3 3 3" xfId="22230" xr:uid="{597A141C-0EEF-4D03-9FBB-7174A7702E15}"/>
    <cellStyle name="20% - Accent2 4 3 4" xfId="9578" xr:uid="{AF7D06A8-5350-42F9-B5E4-182DEB16C0EE}"/>
    <cellStyle name="20% - Accent2 4 3 5" xfId="18013" xr:uid="{84231BBC-EE0E-47F9-AA01-D8F8F8925794}"/>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56BF8283-E8FC-4AFA-B1D6-97D8B41DFAD8}"/>
    <cellStyle name="20% - Accent2 4 4 2 2 3" xfId="24788" xr:uid="{C28F9C29-D75F-43F4-9052-A227606CFF9D}"/>
    <cellStyle name="20% - Accent2 4 4 2 3" xfId="12136" xr:uid="{26CC11AC-41E6-49BF-865A-FBAA130B9F0D}"/>
    <cellStyle name="20% - Accent2 4 4 2 4" xfId="20571" xr:uid="{869E7D88-669A-43B6-BC43-5F2FCF3F8605}"/>
    <cellStyle name="20% - Accent2 4 4 3" xfId="5759" xr:uid="{00000000-0005-0000-0000-000026010000}"/>
    <cellStyle name="20% - Accent2 4 4 3 2" xfId="14209" xr:uid="{5BD73A17-9C0A-4AB4-B3DA-ED62CE4ADA4B}"/>
    <cellStyle name="20% - Accent2 4 4 3 3" xfId="22643" xr:uid="{5808FF21-45B8-499A-B03A-B69174BB8716}"/>
    <cellStyle name="20% - Accent2 4 4 4" xfId="9991" xr:uid="{B42A7E9D-3CA2-48C6-A864-6656490ABA6E}"/>
    <cellStyle name="20% - Accent2 4 4 5" xfId="18426" xr:uid="{386B037C-FDEA-4AD2-9C3D-9B5A43513D2D}"/>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1201B1D1-2759-4922-BBC7-200F7D108D81}"/>
    <cellStyle name="20% - Accent2 4 5 2 2 3" xfId="25201" xr:uid="{D62127DD-0B03-48B0-99AF-7D93169C7B18}"/>
    <cellStyle name="20% - Accent2 4 5 2 3" xfId="12549" xr:uid="{CCD89B1C-B99D-4C4E-B7FE-2D0BF7337616}"/>
    <cellStyle name="20% - Accent2 4 5 2 4" xfId="20984" xr:uid="{39F9ACA4-1591-4679-8F32-91C6BA6A6DE4}"/>
    <cellStyle name="20% - Accent2 4 5 3" xfId="6172" xr:uid="{00000000-0005-0000-0000-00002A010000}"/>
    <cellStyle name="20% - Accent2 4 5 3 2" xfId="14622" xr:uid="{EE2EE939-5696-4256-8153-840431370FFA}"/>
    <cellStyle name="20% - Accent2 4 5 3 3" xfId="23056" xr:uid="{2BB19AF9-0002-4B76-A110-4D64A4259E5E}"/>
    <cellStyle name="20% - Accent2 4 5 4" xfId="10404" xr:uid="{A1BA35E4-D64C-4716-9704-CD69F8E9A985}"/>
    <cellStyle name="20% - Accent2 4 5 5" xfId="18839" xr:uid="{84BEB9D6-50F0-4498-B597-CB4D83DDD0F8}"/>
    <cellStyle name="20% - Accent2 4 6" xfId="2279" xr:uid="{00000000-0005-0000-0000-00002B010000}"/>
    <cellStyle name="20% - Accent2 4 6 2" xfId="6585" xr:uid="{00000000-0005-0000-0000-00002C010000}"/>
    <cellStyle name="20% - Accent2 4 6 2 2" xfId="15035" xr:uid="{6B3B3441-2D18-4CE1-B63E-9B588555EDB0}"/>
    <cellStyle name="20% - Accent2 4 6 2 3" xfId="23469" xr:uid="{AE26D049-124F-4C9F-B8F6-03D6899AC11D}"/>
    <cellStyle name="20% - Accent2 4 6 3" xfId="10817" xr:uid="{38F7CE1B-DF0F-4635-9D2D-85F469AB691E}"/>
    <cellStyle name="20% - Accent2 4 6 4" xfId="19252" xr:uid="{70D1FEDE-42D3-4D91-86C3-39BA020EB3A3}"/>
    <cellStyle name="20% - Accent2 4 7" xfId="4519" xr:uid="{00000000-0005-0000-0000-00002D010000}"/>
    <cellStyle name="20% - Accent2 4 7 2" xfId="12969" xr:uid="{39B2FE01-E286-41CC-B15A-BC8F2CA84C97}"/>
    <cellStyle name="20% - Accent2 4 7 3" xfId="21403" xr:uid="{3F6B8F64-429A-4208-B5D4-75280D6996F9}"/>
    <cellStyle name="20% - Accent2 4 8" xfId="8751" xr:uid="{7A9F91FA-B76B-43E9-8B8C-A2B9031236B5}"/>
    <cellStyle name="20% - Accent2 4 9" xfId="17186" xr:uid="{08264E35-8DC0-4739-A252-3A0ACA762771}"/>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189C8C8A-2D94-48C1-9834-D0DFA644DDF3}"/>
    <cellStyle name="20% - Accent2 5 2 2 3" xfId="23955" xr:uid="{00F097F3-6E6D-453A-A411-FA41DE2DDC5F}"/>
    <cellStyle name="20% - Accent2 5 2 3" xfId="11303" xr:uid="{936B02C2-7983-490A-88B2-33FF529B484D}"/>
    <cellStyle name="20% - Accent2 5 2 4" xfId="19738" xr:uid="{6F5A1D6F-EA52-4C2B-9AA1-44E2DA7DB792}"/>
    <cellStyle name="20% - Accent2 5 3" xfId="4926" xr:uid="{00000000-0005-0000-0000-000031010000}"/>
    <cellStyle name="20% - Accent2 5 3 2" xfId="13376" xr:uid="{5E395D45-32AC-4097-8FB0-445D8125901A}"/>
    <cellStyle name="20% - Accent2 5 3 3" xfId="21810" xr:uid="{2F6F0732-609D-4ED7-9547-5904DD4958D8}"/>
    <cellStyle name="20% - Accent2 5 4" xfId="9158" xr:uid="{2FB19211-93D6-41DB-AA1D-4468238DE578}"/>
    <cellStyle name="20% - Accent2 5 5" xfId="17593" xr:uid="{90FB338C-8091-4FCA-B5E0-257C05F03403}"/>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354A736B-DCED-491E-9EFB-3F3A97E3B9D6}"/>
    <cellStyle name="20% - Accent2 6 2 2 3" xfId="24368" xr:uid="{4B54069C-FB84-4E13-86F9-B098A213A502}"/>
    <cellStyle name="20% - Accent2 6 2 3" xfId="11716" xr:uid="{11F4760E-06B7-49FE-A803-FF833EA282C0}"/>
    <cellStyle name="20% - Accent2 6 2 4" xfId="20151" xr:uid="{69C0E124-45C0-4DB5-9F32-58E21AB67566}"/>
    <cellStyle name="20% - Accent2 6 3" xfId="5339" xr:uid="{00000000-0005-0000-0000-000035010000}"/>
    <cellStyle name="20% - Accent2 6 3 2" xfId="13789" xr:uid="{8DF3CB85-CE9F-454C-A15B-C542FF822170}"/>
    <cellStyle name="20% - Accent2 6 3 3" xfId="22223" xr:uid="{9DB2A09A-42B8-4F83-9EF1-167D83E77DDE}"/>
    <cellStyle name="20% - Accent2 6 4" xfId="9571" xr:uid="{AB1F5239-DC27-419F-9669-06612FE29189}"/>
    <cellStyle name="20% - Accent2 6 5" xfId="18006" xr:uid="{BF3D7874-82A0-47AD-9406-5E4F7F8B41BD}"/>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46ABC425-B58F-48AF-A109-37119BD4B73B}"/>
    <cellStyle name="20% - Accent2 7 2 2 3" xfId="24781" xr:uid="{BB8A798F-5633-4899-90CA-AEE84108D41A}"/>
    <cellStyle name="20% - Accent2 7 2 3" xfId="12129" xr:uid="{C148BEAA-05A1-41B5-84D0-D152F117E974}"/>
    <cellStyle name="20% - Accent2 7 2 4" xfId="20564" xr:uid="{572BA66E-88F0-4A87-8BF9-66D77BA09F71}"/>
    <cellStyle name="20% - Accent2 7 3" xfId="5752" xr:uid="{00000000-0005-0000-0000-000039010000}"/>
    <cellStyle name="20% - Accent2 7 3 2" xfId="14202" xr:uid="{9192A636-13DB-41D7-8E20-84A700EBCAE2}"/>
    <cellStyle name="20% - Accent2 7 3 3" xfId="22636" xr:uid="{0D123448-26F1-4C72-8C81-264D7D531317}"/>
    <cellStyle name="20% - Accent2 7 4" xfId="9984" xr:uid="{C7D49705-150C-457C-8D71-9FA042818436}"/>
    <cellStyle name="20% - Accent2 7 5" xfId="18419" xr:uid="{0BE94F97-8874-4165-8C1A-8E7322225711}"/>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A9130E58-CB7F-4761-87A6-31BFDDA70E45}"/>
    <cellStyle name="20% - Accent2 8 2 2 3" xfId="25194" xr:uid="{2D8F7E30-EBD5-4C1A-866A-C74A81239135}"/>
    <cellStyle name="20% - Accent2 8 2 3" xfId="12542" xr:uid="{A3F57765-E281-4507-BE2A-56FEBA993F3E}"/>
    <cellStyle name="20% - Accent2 8 2 4" xfId="20977" xr:uid="{217DB1C3-3E09-41AC-AAFA-D7221EED6F2D}"/>
    <cellStyle name="20% - Accent2 8 3" xfId="6165" xr:uid="{00000000-0005-0000-0000-00003D010000}"/>
    <cellStyle name="20% - Accent2 8 3 2" xfId="14615" xr:uid="{A9B71DB2-3543-4205-973B-9AD3769FEB8F}"/>
    <cellStyle name="20% - Accent2 8 3 3" xfId="23049" xr:uid="{72E08929-030B-42D1-BE37-80648F19B8CE}"/>
    <cellStyle name="20% - Accent2 8 4" xfId="10397" xr:uid="{F3436555-5265-44A1-8819-4FDCC4FFE902}"/>
    <cellStyle name="20% - Accent2 8 5" xfId="18832" xr:uid="{201BA5BE-38F9-42BC-9F16-72CC9D671154}"/>
    <cellStyle name="20% - Accent2 9" xfId="2272" xr:uid="{00000000-0005-0000-0000-00003E010000}"/>
    <cellStyle name="20% - Accent2 9 2" xfId="6578" xr:uid="{00000000-0005-0000-0000-00003F010000}"/>
    <cellStyle name="20% - Accent2 9 2 2" xfId="15028" xr:uid="{9E363CB3-8C50-4307-B0AD-E4A308D8A14C}"/>
    <cellStyle name="20% - Accent2 9 2 3" xfId="23462" xr:uid="{38FF393D-92CC-4E96-AC22-1987C54F8BA6}"/>
    <cellStyle name="20% - Accent2 9 3" xfId="10810" xr:uid="{CDD9F67A-F47B-4C29-B85A-B352BA94DB63}"/>
    <cellStyle name="20% - Accent2 9 4" xfId="19245" xr:uid="{1632285C-DB2B-4D4F-B3C3-0CA209E82F50}"/>
    <cellStyle name="20% - Accent3" xfId="17" builtinId="38" customBuiltin="1"/>
    <cellStyle name="20% - Accent3 10" xfId="4520" xr:uid="{00000000-0005-0000-0000-000041010000}"/>
    <cellStyle name="20% - Accent3 10 2" xfId="12970" xr:uid="{053A4101-6FA4-4401-B86A-D771CCDEB85A}"/>
    <cellStyle name="20% - Accent3 10 3" xfId="21404" xr:uid="{FBB701A9-F224-47FA-9B75-13D64D5ED305}"/>
    <cellStyle name="20% - Accent3 11" xfId="8752" xr:uid="{49DD7D84-1C59-4812-8EBA-A020BBFB39FF}"/>
    <cellStyle name="20% - Accent3 12" xfId="17187" xr:uid="{4CD8E09C-485A-4D10-B9BE-2D5384C2F076}"/>
    <cellStyle name="20% - Accent3 2" xfId="18" xr:uid="{00000000-0005-0000-0000-000042010000}"/>
    <cellStyle name="20% - Accent3 2 10" xfId="8753" xr:uid="{728113BF-9ACC-415D-9FA8-6BD3A94423D7}"/>
    <cellStyle name="20% - Accent3 2 11" xfId="17188" xr:uid="{91CABF66-6A86-4895-B4FE-5E7CBD5875C1}"/>
    <cellStyle name="20% - Accent3 2 2" xfId="19" xr:uid="{00000000-0005-0000-0000-000043010000}"/>
    <cellStyle name="20% - Accent3 2 2 10" xfId="17189" xr:uid="{90AAA6ED-6DFC-481B-A5A1-B38A0838A729}"/>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65BA5E94-5293-4D1F-AF2E-CBBBFF5EDC2F}"/>
    <cellStyle name="20% - Accent3 2 2 2 2 2 2 3" xfId="23966" xr:uid="{650CC897-84A9-4B1B-935E-6584FB3242B5}"/>
    <cellStyle name="20% - Accent3 2 2 2 2 2 3" xfId="11314" xr:uid="{0A15561C-2AA6-43BF-A8A6-E65A4A62EC0F}"/>
    <cellStyle name="20% - Accent3 2 2 2 2 2 4" xfId="19749" xr:uid="{9ADE4DD4-D085-4E4C-AAB7-85DBF400AFD9}"/>
    <cellStyle name="20% - Accent3 2 2 2 2 3" xfId="4937" xr:uid="{00000000-0005-0000-0000-000048010000}"/>
    <cellStyle name="20% - Accent3 2 2 2 2 3 2" xfId="13387" xr:uid="{CF6A8846-B5BF-4804-BE1A-0CF91F8B127A}"/>
    <cellStyle name="20% - Accent3 2 2 2 2 3 3" xfId="21821" xr:uid="{567D9051-6DC1-4E45-947B-4C886044A0C0}"/>
    <cellStyle name="20% - Accent3 2 2 2 2 4" xfId="9169" xr:uid="{80133D21-1311-42FB-A815-28D252E17FDB}"/>
    <cellStyle name="20% - Accent3 2 2 2 2 5" xfId="17604" xr:uid="{B962858C-F07E-4FA5-AF29-CDD90521653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DDC522E0-F095-4EF4-98E3-F198AAC4E156}"/>
    <cellStyle name="20% - Accent3 2 2 2 3 2 2 3" xfId="24379" xr:uid="{08D43C0B-9916-42FE-B69E-1FF553EE1B12}"/>
    <cellStyle name="20% - Accent3 2 2 2 3 2 3" xfId="11727" xr:uid="{58116685-7737-43F0-9E3D-D7EA9FA047AA}"/>
    <cellStyle name="20% - Accent3 2 2 2 3 2 4" xfId="20162" xr:uid="{B929CD4E-610A-4A71-95A8-FB1ECEF8334C}"/>
    <cellStyle name="20% - Accent3 2 2 2 3 3" xfId="5350" xr:uid="{00000000-0005-0000-0000-00004C010000}"/>
    <cellStyle name="20% - Accent3 2 2 2 3 3 2" xfId="13800" xr:uid="{0F9D56A4-0D47-4B2B-975C-E648057931A1}"/>
    <cellStyle name="20% - Accent3 2 2 2 3 3 3" xfId="22234" xr:uid="{DCB5B11B-D536-4872-A350-651A5CF24A8B}"/>
    <cellStyle name="20% - Accent3 2 2 2 3 4" xfId="9582" xr:uid="{B22A268A-0AA8-4AEC-9680-E7165942AFE4}"/>
    <cellStyle name="20% - Accent3 2 2 2 3 5" xfId="18017" xr:uid="{7EB4E5C9-06C0-470A-9C6B-7E0A9E744D4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1F7A906E-24FC-48F7-B869-2F3EE5A2ED4D}"/>
    <cellStyle name="20% - Accent3 2 2 2 4 2 2 3" xfId="24792" xr:uid="{9AEA65FD-E7BD-4640-9C8E-506361C6F005}"/>
    <cellStyle name="20% - Accent3 2 2 2 4 2 3" xfId="12140" xr:uid="{DEA19D6D-DD3B-445F-AC59-F9E79A3F92F1}"/>
    <cellStyle name="20% - Accent3 2 2 2 4 2 4" xfId="20575" xr:uid="{DADE4AA4-BFC5-4D7A-901A-CB1CDD6CCBA6}"/>
    <cellStyle name="20% - Accent3 2 2 2 4 3" xfId="5763" xr:uid="{00000000-0005-0000-0000-000050010000}"/>
    <cellStyle name="20% - Accent3 2 2 2 4 3 2" xfId="14213" xr:uid="{FC5D2944-43BF-4A0B-9CEF-9126BD2B6E89}"/>
    <cellStyle name="20% - Accent3 2 2 2 4 3 3" xfId="22647" xr:uid="{C98D3B33-294F-4F16-8A1E-5BE2F46BB844}"/>
    <cellStyle name="20% - Accent3 2 2 2 4 4" xfId="9995" xr:uid="{1C3B4368-CD7D-4D78-B4E6-933D1BB010E1}"/>
    <cellStyle name="20% - Accent3 2 2 2 4 5" xfId="18430" xr:uid="{EA0F53E6-1CCB-4708-8C42-C05C7138A0F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E3972262-7812-471A-9A39-61FF58F2F2B7}"/>
    <cellStyle name="20% - Accent3 2 2 2 5 2 2 3" xfId="25205" xr:uid="{68ADC5AF-D63E-41B4-90CE-ADB06713FAF7}"/>
    <cellStyle name="20% - Accent3 2 2 2 5 2 3" xfId="12553" xr:uid="{67E828E0-E28F-4B2E-B297-19DEE16AF818}"/>
    <cellStyle name="20% - Accent3 2 2 2 5 2 4" xfId="20988" xr:uid="{A592F739-3225-41C6-B352-1B99638A2B2E}"/>
    <cellStyle name="20% - Accent3 2 2 2 5 3" xfId="6176" xr:uid="{00000000-0005-0000-0000-000054010000}"/>
    <cellStyle name="20% - Accent3 2 2 2 5 3 2" xfId="14626" xr:uid="{28BE983E-E3E5-4066-B8CA-0D60BEB3C579}"/>
    <cellStyle name="20% - Accent3 2 2 2 5 3 3" xfId="23060" xr:uid="{CE4FCC69-B506-4854-BC2E-F731AAD59BA8}"/>
    <cellStyle name="20% - Accent3 2 2 2 5 4" xfId="10408" xr:uid="{F86BF7B0-5AF3-40D9-98E0-9D10CF5B91E1}"/>
    <cellStyle name="20% - Accent3 2 2 2 5 5" xfId="18843" xr:uid="{C5F09106-46AA-4501-9414-9CF853BF9320}"/>
    <cellStyle name="20% - Accent3 2 2 2 6" xfId="2283" xr:uid="{00000000-0005-0000-0000-000055010000}"/>
    <cellStyle name="20% - Accent3 2 2 2 6 2" xfId="6589" xr:uid="{00000000-0005-0000-0000-000056010000}"/>
    <cellStyle name="20% - Accent3 2 2 2 6 2 2" xfId="15039" xr:uid="{B8677AA3-DAFF-4ECC-9580-E8188327A982}"/>
    <cellStyle name="20% - Accent3 2 2 2 6 2 3" xfId="23473" xr:uid="{21DC42C3-C026-4B6B-A705-700454779B1F}"/>
    <cellStyle name="20% - Accent3 2 2 2 6 3" xfId="10821" xr:uid="{37221339-378B-43FE-9B68-F8C5FF3421D0}"/>
    <cellStyle name="20% - Accent3 2 2 2 6 4" xfId="19256" xr:uid="{A2B69A19-1315-4C5E-B471-C160EBB6770A}"/>
    <cellStyle name="20% - Accent3 2 2 2 7" xfId="4523" xr:uid="{00000000-0005-0000-0000-000057010000}"/>
    <cellStyle name="20% - Accent3 2 2 2 7 2" xfId="12973" xr:uid="{3938B8B8-222C-49AE-8F35-81DC4BED5F14}"/>
    <cellStyle name="20% - Accent3 2 2 2 7 3" xfId="21407" xr:uid="{6C1DCEB6-43CF-4B9D-AE8D-131CE6A6F6D9}"/>
    <cellStyle name="20% - Accent3 2 2 2 8" xfId="8755" xr:uid="{BA386A36-C0AE-42F5-893A-76ED6B664183}"/>
    <cellStyle name="20% - Accent3 2 2 2 9" xfId="17190" xr:uid="{9D2DDD6D-FBE8-4354-B5B9-906B8435C3AC}"/>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859D1B8B-8356-4EE2-9E86-D171EBC71B5D}"/>
    <cellStyle name="20% - Accent3 2 2 3 2 2 3" xfId="23965" xr:uid="{B93AD8C2-1012-4CC3-99C8-3D584EDDA319}"/>
    <cellStyle name="20% - Accent3 2 2 3 2 3" xfId="11313" xr:uid="{BC29A281-95ED-4450-8DED-7C1235512DDD}"/>
    <cellStyle name="20% - Accent3 2 2 3 2 4" xfId="19748" xr:uid="{040A13D8-1A25-43EA-87BD-7BCB1FF72A89}"/>
    <cellStyle name="20% - Accent3 2 2 3 3" xfId="4936" xr:uid="{00000000-0005-0000-0000-00005B010000}"/>
    <cellStyle name="20% - Accent3 2 2 3 3 2" xfId="13386" xr:uid="{4574BBC2-FE87-4F4E-BCA7-E7A56C1C5408}"/>
    <cellStyle name="20% - Accent3 2 2 3 3 3" xfId="21820" xr:uid="{F6B9A823-D68E-455A-A412-B38F782F2414}"/>
    <cellStyle name="20% - Accent3 2 2 3 4" xfId="9168" xr:uid="{B3273E37-5BCA-46C9-AC9D-7D3877277AE1}"/>
    <cellStyle name="20% - Accent3 2 2 3 5" xfId="17603" xr:uid="{AA8C5705-15B6-4B75-ACD1-09A907828751}"/>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AE5FF857-8BD6-4B5B-9B3A-B0D2973F5036}"/>
    <cellStyle name="20% - Accent3 2 2 4 2 2 3" xfId="24378" xr:uid="{6A4222C8-5698-442E-B522-A95F68544D26}"/>
    <cellStyle name="20% - Accent3 2 2 4 2 3" xfId="11726" xr:uid="{B43AE3F8-E41B-47D8-A2F0-1FEA1AB818F0}"/>
    <cellStyle name="20% - Accent3 2 2 4 2 4" xfId="20161" xr:uid="{C9B9BF2E-0D56-4E2D-BF05-37E630B14724}"/>
    <cellStyle name="20% - Accent3 2 2 4 3" xfId="5349" xr:uid="{00000000-0005-0000-0000-00005F010000}"/>
    <cellStyle name="20% - Accent3 2 2 4 3 2" xfId="13799" xr:uid="{73778294-AB88-410A-B258-EBF05E1FF626}"/>
    <cellStyle name="20% - Accent3 2 2 4 3 3" xfId="22233" xr:uid="{42CC93FA-16F2-443B-9D0B-2E15833F5722}"/>
    <cellStyle name="20% - Accent3 2 2 4 4" xfId="9581" xr:uid="{21F31738-BFC1-4DCB-9352-2446C0959DF8}"/>
    <cellStyle name="20% - Accent3 2 2 4 5" xfId="18016" xr:uid="{7646447A-5C95-4669-9525-3BAA5D5D8F99}"/>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5585C494-7C4B-48CF-971D-00BDCEA00251}"/>
    <cellStyle name="20% - Accent3 2 2 5 2 2 3" xfId="24791" xr:uid="{C72D753E-3910-41A0-AED8-2D07C3374C4E}"/>
    <cellStyle name="20% - Accent3 2 2 5 2 3" xfId="12139" xr:uid="{5BA63981-84BC-4996-8925-C592E937331A}"/>
    <cellStyle name="20% - Accent3 2 2 5 2 4" xfId="20574" xr:uid="{F3991008-F1D1-4F5A-915C-B1F5014E0DF0}"/>
    <cellStyle name="20% - Accent3 2 2 5 3" xfId="5762" xr:uid="{00000000-0005-0000-0000-000063010000}"/>
    <cellStyle name="20% - Accent3 2 2 5 3 2" xfId="14212" xr:uid="{2DEA4345-FD23-412A-96BA-E10BE3B90867}"/>
    <cellStyle name="20% - Accent3 2 2 5 3 3" xfId="22646" xr:uid="{ED4F5FFA-0A28-43B1-9D0D-46A7DD4E93AC}"/>
    <cellStyle name="20% - Accent3 2 2 5 4" xfId="9994" xr:uid="{7A59E363-1CB1-4013-B52B-D34D59A98782}"/>
    <cellStyle name="20% - Accent3 2 2 5 5" xfId="18429" xr:uid="{95F42D09-AB7C-4981-A764-32845B6AD7D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387489A9-C6A6-49F6-B375-6BE07B31DB25}"/>
    <cellStyle name="20% - Accent3 2 2 6 2 2 3" xfId="25204" xr:uid="{BF1807BF-F4DE-48E2-958E-2A4EF67DA2B1}"/>
    <cellStyle name="20% - Accent3 2 2 6 2 3" xfId="12552" xr:uid="{CF7BE514-1BEB-41B1-8FCD-81CC63188D79}"/>
    <cellStyle name="20% - Accent3 2 2 6 2 4" xfId="20987" xr:uid="{38C4D973-EFCE-490C-993F-3D84D0829640}"/>
    <cellStyle name="20% - Accent3 2 2 6 3" xfId="6175" xr:uid="{00000000-0005-0000-0000-000067010000}"/>
    <cellStyle name="20% - Accent3 2 2 6 3 2" xfId="14625" xr:uid="{7934CF73-6418-49B5-BB41-E9571FD7D8AA}"/>
    <cellStyle name="20% - Accent3 2 2 6 3 3" xfId="23059" xr:uid="{6B18CE5B-6722-4221-8502-4AE4D1207E53}"/>
    <cellStyle name="20% - Accent3 2 2 6 4" xfId="10407" xr:uid="{868A14FA-A6B7-4D6C-8324-C13D7B67C5CE}"/>
    <cellStyle name="20% - Accent3 2 2 6 5" xfId="18842" xr:uid="{800CC890-BBE2-45E5-8544-A13A064D74A6}"/>
    <cellStyle name="20% - Accent3 2 2 7" xfId="2282" xr:uid="{00000000-0005-0000-0000-000068010000}"/>
    <cellStyle name="20% - Accent3 2 2 7 2" xfId="6588" xr:uid="{00000000-0005-0000-0000-000069010000}"/>
    <cellStyle name="20% - Accent3 2 2 7 2 2" xfId="15038" xr:uid="{F9E46D05-7BC1-4E0C-ABF8-AE7E924592C7}"/>
    <cellStyle name="20% - Accent3 2 2 7 2 3" xfId="23472" xr:uid="{E74F2F2A-03D0-4FEF-BCE4-C032D6F76431}"/>
    <cellStyle name="20% - Accent3 2 2 7 3" xfId="10820" xr:uid="{AEB31BC2-7438-4FF3-987E-E35C1ACC9CEF}"/>
    <cellStyle name="20% - Accent3 2 2 7 4" xfId="19255" xr:uid="{E6ABAAE0-BBD3-4C4E-8DC3-B67B712BCCFD}"/>
    <cellStyle name="20% - Accent3 2 2 8" xfId="4522" xr:uid="{00000000-0005-0000-0000-00006A010000}"/>
    <cellStyle name="20% - Accent3 2 2 8 2" xfId="12972" xr:uid="{19B3A883-074D-4F1E-82BC-A7DE28923FE7}"/>
    <cellStyle name="20% - Accent3 2 2 8 3" xfId="21406" xr:uid="{8E49089D-B917-4F93-A408-D21F01E00A23}"/>
    <cellStyle name="20% - Accent3 2 2 9" xfId="8754" xr:uid="{DB07BD8F-447A-442F-9788-2B2DA4B82DBE}"/>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34D2B212-8422-4B56-80CE-C3BAF949FB63}"/>
    <cellStyle name="20% - Accent3 2 3 2 2 2 3" xfId="23967" xr:uid="{CF1C5DB2-7B97-449F-AF17-B5B2AB474636}"/>
    <cellStyle name="20% - Accent3 2 3 2 2 3" xfId="11315" xr:uid="{51D099FB-6578-4E6A-B6EB-9196B7F4ED16}"/>
    <cellStyle name="20% - Accent3 2 3 2 2 4" xfId="19750" xr:uid="{371F829D-4497-4EB9-8B7C-BEAA15E2F0DE}"/>
    <cellStyle name="20% - Accent3 2 3 2 3" xfId="4938" xr:uid="{00000000-0005-0000-0000-00006F010000}"/>
    <cellStyle name="20% - Accent3 2 3 2 3 2" xfId="13388" xr:uid="{DEE4C49D-9B45-4503-A2A7-1E8CA4E8F9B3}"/>
    <cellStyle name="20% - Accent3 2 3 2 3 3" xfId="21822" xr:uid="{52B19833-A7D7-45F7-8AD4-CC356FA2AB93}"/>
    <cellStyle name="20% - Accent3 2 3 2 4" xfId="9170" xr:uid="{E1B98E02-687C-422E-B03A-CE857248383A}"/>
    <cellStyle name="20% - Accent3 2 3 2 5" xfId="17605" xr:uid="{3186367E-DEC0-4F00-8D76-27DF574F100D}"/>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7A8FC103-BCBD-4620-9FDF-C39C346B86E0}"/>
    <cellStyle name="20% - Accent3 2 3 3 2 2 3" xfId="24380" xr:uid="{81698DA7-998D-4360-9759-D89ED72E2AA3}"/>
    <cellStyle name="20% - Accent3 2 3 3 2 3" xfId="11728" xr:uid="{80B0675D-695E-42FB-96F0-0F19B4629EAA}"/>
    <cellStyle name="20% - Accent3 2 3 3 2 4" xfId="20163" xr:uid="{AFEF5FDF-282E-4ACC-B015-043930F7BD72}"/>
    <cellStyle name="20% - Accent3 2 3 3 3" xfId="5351" xr:uid="{00000000-0005-0000-0000-000073010000}"/>
    <cellStyle name="20% - Accent3 2 3 3 3 2" xfId="13801" xr:uid="{ABF661E7-596A-4DD7-A34E-794466B1CD2D}"/>
    <cellStyle name="20% - Accent3 2 3 3 3 3" xfId="22235" xr:uid="{69BA29B3-0965-485D-A699-4791FA3ADB22}"/>
    <cellStyle name="20% - Accent3 2 3 3 4" xfId="9583" xr:uid="{4019A741-56BC-4CE3-9075-C63D3776F421}"/>
    <cellStyle name="20% - Accent3 2 3 3 5" xfId="18018" xr:uid="{6F0DB9B7-601B-4CC7-A475-D8C9AB67D74C}"/>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3D4669BD-F2AB-4BB2-BC0D-F3B4DF76B1C3}"/>
    <cellStyle name="20% - Accent3 2 3 4 2 2 3" xfId="24793" xr:uid="{9577258E-927D-4ABC-AC35-8DF69BFAAB88}"/>
    <cellStyle name="20% - Accent3 2 3 4 2 3" xfId="12141" xr:uid="{E76EC5E8-D107-4EE5-826A-AE9ECBA25A08}"/>
    <cellStyle name="20% - Accent3 2 3 4 2 4" xfId="20576" xr:uid="{89CFF601-35E9-4127-B5BD-4E4206D57B99}"/>
    <cellStyle name="20% - Accent3 2 3 4 3" xfId="5764" xr:uid="{00000000-0005-0000-0000-000077010000}"/>
    <cellStyle name="20% - Accent3 2 3 4 3 2" xfId="14214" xr:uid="{AB7E6036-A477-454F-808C-E80AFCA66E3A}"/>
    <cellStyle name="20% - Accent3 2 3 4 3 3" xfId="22648" xr:uid="{0AD8C42E-19D3-4A81-8DEE-381FF4027026}"/>
    <cellStyle name="20% - Accent3 2 3 4 4" xfId="9996" xr:uid="{F86A01D7-69C0-4425-BE1C-48E145C4B469}"/>
    <cellStyle name="20% - Accent3 2 3 4 5" xfId="18431" xr:uid="{D168022E-EAC1-4797-8603-31403DBD76B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4C7DBE81-A487-47C1-A255-AA638E9A9247}"/>
    <cellStyle name="20% - Accent3 2 3 5 2 2 3" xfId="25206" xr:uid="{CB755BF4-0496-4BE9-B002-582B424CFD9D}"/>
    <cellStyle name="20% - Accent3 2 3 5 2 3" xfId="12554" xr:uid="{7FE58554-F866-45B9-A127-E778FA7ADB4C}"/>
    <cellStyle name="20% - Accent3 2 3 5 2 4" xfId="20989" xr:uid="{75476801-7487-40C6-94E5-7760F359082F}"/>
    <cellStyle name="20% - Accent3 2 3 5 3" xfId="6177" xr:uid="{00000000-0005-0000-0000-00007B010000}"/>
    <cellStyle name="20% - Accent3 2 3 5 3 2" xfId="14627" xr:uid="{C368D989-3119-4FB5-9D0D-9956F2DB2483}"/>
    <cellStyle name="20% - Accent3 2 3 5 3 3" xfId="23061" xr:uid="{0B6835E9-EADA-4060-887E-B9B206D484F5}"/>
    <cellStyle name="20% - Accent3 2 3 5 4" xfId="10409" xr:uid="{F72CE3A2-DE83-4FB0-96DE-E7DED67F9CBB}"/>
    <cellStyle name="20% - Accent3 2 3 5 5" xfId="18844" xr:uid="{540294E0-167A-4DE7-966C-70D6D6732244}"/>
    <cellStyle name="20% - Accent3 2 3 6" xfId="2284" xr:uid="{00000000-0005-0000-0000-00007C010000}"/>
    <cellStyle name="20% - Accent3 2 3 6 2" xfId="6590" xr:uid="{00000000-0005-0000-0000-00007D010000}"/>
    <cellStyle name="20% - Accent3 2 3 6 2 2" xfId="15040" xr:uid="{DCDA810A-97DC-42A1-9743-00585BAC740A}"/>
    <cellStyle name="20% - Accent3 2 3 6 2 3" xfId="23474" xr:uid="{46405039-932A-4406-A110-C3AAAD6B6EDB}"/>
    <cellStyle name="20% - Accent3 2 3 6 3" xfId="10822" xr:uid="{DD823543-DECF-495A-9B49-BA235715D554}"/>
    <cellStyle name="20% - Accent3 2 3 6 4" xfId="19257" xr:uid="{B46C1FF7-95CC-4DE0-A226-A45754D3E106}"/>
    <cellStyle name="20% - Accent3 2 3 7" xfId="4524" xr:uid="{00000000-0005-0000-0000-00007E010000}"/>
    <cellStyle name="20% - Accent3 2 3 7 2" xfId="12974" xr:uid="{EF789008-3D65-4F02-8DE8-89B07F357434}"/>
    <cellStyle name="20% - Accent3 2 3 7 3" xfId="21408" xr:uid="{DBA9DD01-C73E-422C-9E6E-FF699AC85419}"/>
    <cellStyle name="20% - Accent3 2 3 8" xfId="8756" xr:uid="{3F1B3D3F-586B-41E6-9C02-578092C6D014}"/>
    <cellStyle name="20% - Accent3 2 3 9" xfId="17191" xr:uid="{A4D7A0EC-3DA9-4F49-8306-5B544C13DD6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8F88C85C-9CD4-4A48-9409-D6B61724EE62}"/>
    <cellStyle name="20% - Accent3 2 4 2 2 3" xfId="23964" xr:uid="{486F4F7F-7272-4128-AFC7-04FDC3BEB1AB}"/>
    <cellStyle name="20% - Accent3 2 4 2 3" xfId="11312" xr:uid="{4982343B-9AC9-4B4D-934C-30AB780F64F5}"/>
    <cellStyle name="20% - Accent3 2 4 2 4" xfId="19747" xr:uid="{9AF61432-6BBC-4310-A1B7-807C80C2C98E}"/>
    <cellStyle name="20% - Accent3 2 4 3" xfId="4935" xr:uid="{00000000-0005-0000-0000-000082010000}"/>
    <cellStyle name="20% - Accent3 2 4 3 2" xfId="13385" xr:uid="{3F39C428-B022-451E-9453-63CF7FB26753}"/>
    <cellStyle name="20% - Accent3 2 4 3 3" xfId="21819" xr:uid="{64FFB833-6648-4838-99D0-67E06D2F8929}"/>
    <cellStyle name="20% - Accent3 2 4 4" xfId="9167" xr:uid="{CF430F1E-0BD6-4B89-963F-BDC84BC46DCB}"/>
    <cellStyle name="20% - Accent3 2 4 5" xfId="17602" xr:uid="{9D9E8187-9608-4319-A3B8-03C458FA2C9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488F2C66-D54D-45EB-AE67-7B183CB43B44}"/>
    <cellStyle name="20% - Accent3 2 5 2 2 3" xfId="24377" xr:uid="{889A4329-3A22-4111-AD0A-AE5B210D8562}"/>
    <cellStyle name="20% - Accent3 2 5 2 3" xfId="11725" xr:uid="{D88FF5F2-8AFD-488F-953F-BB2999A1DA1E}"/>
    <cellStyle name="20% - Accent3 2 5 2 4" xfId="20160" xr:uid="{40FE938C-E334-419C-A8C6-52F8516F0010}"/>
    <cellStyle name="20% - Accent3 2 5 3" xfId="5348" xr:uid="{00000000-0005-0000-0000-000086010000}"/>
    <cellStyle name="20% - Accent3 2 5 3 2" xfId="13798" xr:uid="{E1B67B74-99DB-494E-B647-6E7F57DF97BF}"/>
    <cellStyle name="20% - Accent3 2 5 3 3" xfId="22232" xr:uid="{F7A3A15B-67A4-4ED7-8330-AD4F2D9BB62B}"/>
    <cellStyle name="20% - Accent3 2 5 4" xfId="9580" xr:uid="{77E00705-9D5D-4645-84F5-5667D11480C4}"/>
    <cellStyle name="20% - Accent3 2 5 5" xfId="18015" xr:uid="{F9BD6785-78A6-4E45-9FFE-005A37D0051E}"/>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FD9DC1FD-4004-4606-9075-16914B529CDF}"/>
    <cellStyle name="20% - Accent3 2 6 2 2 3" xfId="24790" xr:uid="{6D8D44A9-EA74-40E4-852E-345E373736F2}"/>
    <cellStyle name="20% - Accent3 2 6 2 3" xfId="12138" xr:uid="{BBC1CDA5-1F19-4796-8E79-82E529C6C353}"/>
    <cellStyle name="20% - Accent3 2 6 2 4" xfId="20573" xr:uid="{FD14DFBB-71F0-41C1-8EDF-EC9BE2C53EBE}"/>
    <cellStyle name="20% - Accent3 2 6 3" xfId="5761" xr:uid="{00000000-0005-0000-0000-00008A010000}"/>
    <cellStyle name="20% - Accent3 2 6 3 2" xfId="14211" xr:uid="{65C8FBDB-2940-4D9E-B589-7F08ADD07A1C}"/>
    <cellStyle name="20% - Accent3 2 6 3 3" xfId="22645" xr:uid="{8DDFC3A6-FFE2-4BA9-8C2F-C42F3614D9B3}"/>
    <cellStyle name="20% - Accent3 2 6 4" xfId="9993" xr:uid="{75A0AE7D-A19B-4490-B5C0-C5CF87367E88}"/>
    <cellStyle name="20% - Accent3 2 6 5" xfId="18428" xr:uid="{5F8BE951-F48B-46B3-9F23-C5DD45E99FE7}"/>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43473106-2E9F-4CCF-A331-A3AB515A4688}"/>
    <cellStyle name="20% - Accent3 2 7 2 2 3" xfId="25203" xr:uid="{45FCF822-8F39-4F60-AE23-2DE6DC7CBFCB}"/>
    <cellStyle name="20% - Accent3 2 7 2 3" xfId="12551" xr:uid="{18522F36-C0E8-4FDE-B769-597648FE07DF}"/>
    <cellStyle name="20% - Accent3 2 7 2 4" xfId="20986" xr:uid="{F3A7912E-C45D-46D7-B659-94F1DA570308}"/>
    <cellStyle name="20% - Accent3 2 7 3" xfId="6174" xr:uid="{00000000-0005-0000-0000-00008E010000}"/>
    <cellStyle name="20% - Accent3 2 7 3 2" xfId="14624" xr:uid="{25E2141C-4863-44C9-8126-31A4B69C41B4}"/>
    <cellStyle name="20% - Accent3 2 7 3 3" xfId="23058" xr:uid="{52492B67-2B4B-4BE3-A778-28BC87B28ABB}"/>
    <cellStyle name="20% - Accent3 2 7 4" xfId="10406" xr:uid="{69CA15FA-3915-484B-B5B2-870E572A0618}"/>
    <cellStyle name="20% - Accent3 2 7 5" xfId="18841" xr:uid="{7600C617-CF89-4069-BD68-2E37898383F6}"/>
    <cellStyle name="20% - Accent3 2 8" xfId="2281" xr:uid="{00000000-0005-0000-0000-00008F010000}"/>
    <cellStyle name="20% - Accent3 2 8 2" xfId="6587" xr:uid="{00000000-0005-0000-0000-000090010000}"/>
    <cellStyle name="20% - Accent3 2 8 2 2" xfId="15037" xr:uid="{C36BC54D-864B-4C72-BE31-2ED245CC1682}"/>
    <cellStyle name="20% - Accent3 2 8 2 3" xfId="23471" xr:uid="{07D74879-9CE6-45A2-9868-E03847CA4CC3}"/>
    <cellStyle name="20% - Accent3 2 8 3" xfId="10819" xr:uid="{D14F83DB-F8B5-4C50-83CB-167C9250983D}"/>
    <cellStyle name="20% - Accent3 2 8 4" xfId="19254" xr:uid="{EA4D82F9-47DE-4DFE-8215-F26FD924C221}"/>
    <cellStyle name="20% - Accent3 2 9" xfId="4521" xr:uid="{00000000-0005-0000-0000-000091010000}"/>
    <cellStyle name="20% - Accent3 2 9 2" xfId="12971" xr:uid="{A42BC004-D376-4B3E-A351-F4ECF34CB685}"/>
    <cellStyle name="20% - Accent3 2 9 3" xfId="21405" xr:uid="{090CCAD9-C982-4D7B-B02E-DBC7D46CE663}"/>
    <cellStyle name="20% - Accent3 3" xfId="22" xr:uid="{00000000-0005-0000-0000-000092010000}"/>
    <cellStyle name="20% - Accent3 3 10" xfId="17192" xr:uid="{3D9AE99C-2C3A-4619-9619-32EEEB864329}"/>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FA8665AD-F1D6-4AE4-BFAC-A30F01E073D0}"/>
    <cellStyle name="20% - Accent3 3 2 2 2 2 3" xfId="23969" xr:uid="{DFF6901C-741F-4026-97CC-145B3801CFCA}"/>
    <cellStyle name="20% - Accent3 3 2 2 2 3" xfId="11317" xr:uid="{63AE1A1D-61DD-4F6C-BB69-29D49025EA22}"/>
    <cellStyle name="20% - Accent3 3 2 2 2 4" xfId="19752" xr:uid="{2E841BF8-FE96-4917-86D5-5E2B798C6714}"/>
    <cellStyle name="20% - Accent3 3 2 2 3" xfId="4940" xr:uid="{00000000-0005-0000-0000-000097010000}"/>
    <cellStyle name="20% - Accent3 3 2 2 3 2" xfId="13390" xr:uid="{F6B1837F-CE47-4B5F-AA88-80133CFED14F}"/>
    <cellStyle name="20% - Accent3 3 2 2 3 3" xfId="21824" xr:uid="{E2D82809-B47E-478E-9C76-E9354644AE9D}"/>
    <cellStyle name="20% - Accent3 3 2 2 4" xfId="9172" xr:uid="{3BE52C5F-D458-4D11-828D-00EF1438B06E}"/>
    <cellStyle name="20% - Accent3 3 2 2 5" xfId="17607" xr:uid="{FDB96366-BB3B-4E14-B5A3-E4AA3F42AB4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1DD79B77-85EE-4285-8DD7-F5B112B00D89}"/>
    <cellStyle name="20% - Accent3 3 2 3 2 2 3" xfId="24382" xr:uid="{68FD761F-1970-4EE5-B50C-D382B588B174}"/>
    <cellStyle name="20% - Accent3 3 2 3 2 3" xfId="11730" xr:uid="{E2B702CC-8535-4D3D-81DD-96E7944F86AC}"/>
    <cellStyle name="20% - Accent3 3 2 3 2 4" xfId="20165" xr:uid="{C63802D4-A4D5-4A7B-BB1C-51BC9A8680DA}"/>
    <cellStyle name="20% - Accent3 3 2 3 3" xfId="5353" xr:uid="{00000000-0005-0000-0000-00009B010000}"/>
    <cellStyle name="20% - Accent3 3 2 3 3 2" xfId="13803" xr:uid="{3962775B-E783-4BC4-B152-3156711E5550}"/>
    <cellStyle name="20% - Accent3 3 2 3 3 3" xfId="22237" xr:uid="{8E8FEAD9-C1E3-4A52-8D8F-31CD1BF49D08}"/>
    <cellStyle name="20% - Accent3 3 2 3 4" xfId="9585" xr:uid="{50867631-C675-48B4-97BC-EF1A0108E33D}"/>
    <cellStyle name="20% - Accent3 3 2 3 5" xfId="18020" xr:uid="{E01C79EC-0C3C-431A-8472-A0E7F234BE0E}"/>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79917B46-D26A-40FF-9EF8-4AA37C24E407}"/>
    <cellStyle name="20% - Accent3 3 2 4 2 2 3" xfId="24795" xr:uid="{0C8115B5-F1FE-470D-A282-AB785A78BB1F}"/>
    <cellStyle name="20% - Accent3 3 2 4 2 3" xfId="12143" xr:uid="{59F4FE2B-8CBA-4396-A7A6-0BF66EF01F58}"/>
    <cellStyle name="20% - Accent3 3 2 4 2 4" xfId="20578" xr:uid="{31C1348A-AF29-46B2-A8B3-4EDA17A13BA0}"/>
    <cellStyle name="20% - Accent3 3 2 4 3" xfId="5766" xr:uid="{00000000-0005-0000-0000-00009F010000}"/>
    <cellStyle name="20% - Accent3 3 2 4 3 2" xfId="14216" xr:uid="{C7C6A720-1F4D-440E-8D45-2F1EE2605AC3}"/>
    <cellStyle name="20% - Accent3 3 2 4 3 3" xfId="22650" xr:uid="{FD70999D-B8E2-476F-B21D-FE830D09A2BF}"/>
    <cellStyle name="20% - Accent3 3 2 4 4" xfId="9998" xr:uid="{3B3BFA3B-5F01-4256-83DB-3025D3E3C3EB}"/>
    <cellStyle name="20% - Accent3 3 2 4 5" xfId="18433" xr:uid="{FA44B8EC-BAFF-4EE7-ABE4-1B6D6DDAEC6A}"/>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345E54F8-C280-4791-931D-D01BB80B85B9}"/>
    <cellStyle name="20% - Accent3 3 2 5 2 2 3" xfId="25208" xr:uid="{51E53608-3647-417A-9637-49C0B233D2EF}"/>
    <cellStyle name="20% - Accent3 3 2 5 2 3" xfId="12556" xr:uid="{DBD701F4-9C74-404A-A1C0-6B533AA4CB0D}"/>
    <cellStyle name="20% - Accent3 3 2 5 2 4" xfId="20991" xr:uid="{3EA80872-F5DF-4836-AF9D-0B293519BAB6}"/>
    <cellStyle name="20% - Accent3 3 2 5 3" xfId="6179" xr:uid="{00000000-0005-0000-0000-0000A3010000}"/>
    <cellStyle name="20% - Accent3 3 2 5 3 2" xfId="14629" xr:uid="{882B4260-F5D8-4ADA-BF22-6496411BC2FA}"/>
    <cellStyle name="20% - Accent3 3 2 5 3 3" xfId="23063" xr:uid="{76FF0B5D-0978-491E-A6A6-196F61CA0D0E}"/>
    <cellStyle name="20% - Accent3 3 2 5 4" xfId="10411" xr:uid="{29C2A721-5864-4C87-B81B-2FCBFF13EECB}"/>
    <cellStyle name="20% - Accent3 3 2 5 5" xfId="18846" xr:uid="{37E571FA-97DA-4EE3-A1E4-868DAED06DD3}"/>
    <cellStyle name="20% - Accent3 3 2 6" xfId="2286" xr:uid="{00000000-0005-0000-0000-0000A4010000}"/>
    <cellStyle name="20% - Accent3 3 2 6 2" xfId="6592" xr:uid="{00000000-0005-0000-0000-0000A5010000}"/>
    <cellStyle name="20% - Accent3 3 2 6 2 2" xfId="15042" xr:uid="{D907836B-4491-447C-B5C2-1B3C39976EB3}"/>
    <cellStyle name="20% - Accent3 3 2 6 2 3" xfId="23476" xr:uid="{EAEF8F96-7DBC-4801-AD82-96C8C7E95680}"/>
    <cellStyle name="20% - Accent3 3 2 6 3" xfId="10824" xr:uid="{A036BD74-0860-4336-B589-8F1AEA9CCE16}"/>
    <cellStyle name="20% - Accent3 3 2 6 4" xfId="19259" xr:uid="{B9513B98-053A-4FF5-ADED-4429DC5A0D31}"/>
    <cellStyle name="20% - Accent3 3 2 7" xfId="4526" xr:uid="{00000000-0005-0000-0000-0000A6010000}"/>
    <cellStyle name="20% - Accent3 3 2 7 2" xfId="12976" xr:uid="{594B18DB-CBC5-4C47-86A0-B37AD0D29606}"/>
    <cellStyle name="20% - Accent3 3 2 7 3" xfId="21410" xr:uid="{4D837D3A-5D1E-4A62-BA6B-8FCEC5403B2F}"/>
    <cellStyle name="20% - Accent3 3 2 8" xfId="8758" xr:uid="{2C4715BD-BFFD-4C79-B218-1C7083E8D356}"/>
    <cellStyle name="20% - Accent3 3 2 9" xfId="17193" xr:uid="{9C77CDF6-0CB3-4973-AC88-D9CD266D11E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33D0FC09-255C-49CA-B4D2-5D66B16E6E68}"/>
    <cellStyle name="20% - Accent3 3 3 2 2 3" xfId="23968" xr:uid="{CF795442-8ABC-4BEB-BC3A-5264DF526967}"/>
    <cellStyle name="20% - Accent3 3 3 2 3" xfId="11316" xr:uid="{12C4A122-C381-4E64-A9ED-8DAC63CE1EE5}"/>
    <cellStyle name="20% - Accent3 3 3 2 4" xfId="19751" xr:uid="{0DDADF82-4B47-48EC-A123-9EB2704EFDB1}"/>
    <cellStyle name="20% - Accent3 3 3 3" xfId="4939" xr:uid="{00000000-0005-0000-0000-0000AA010000}"/>
    <cellStyle name="20% - Accent3 3 3 3 2" xfId="13389" xr:uid="{B101401C-1620-4AE0-A5D9-0B91AECEF663}"/>
    <cellStyle name="20% - Accent3 3 3 3 3" xfId="21823" xr:uid="{BA4B72C7-AAD8-4E71-8159-0738D56DC91C}"/>
    <cellStyle name="20% - Accent3 3 3 4" xfId="9171" xr:uid="{6863BC8F-DB2B-4329-925F-498E4598FCFE}"/>
    <cellStyle name="20% - Accent3 3 3 5" xfId="17606" xr:uid="{0A94FCAB-199F-411B-A834-8FA9B9F55781}"/>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B6BBF6A0-BAAD-43A2-BFF9-AB688876BC7B}"/>
    <cellStyle name="20% - Accent3 3 4 2 2 3" xfId="24381" xr:uid="{270121EE-9219-4106-87C5-4016B68B082E}"/>
    <cellStyle name="20% - Accent3 3 4 2 3" xfId="11729" xr:uid="{201457B4-1395-4AB7-8761-00F42258D92D}"/>
    <cellStyle name="20% - Accent3 3 4 2 4" xfId="20164" xr:uid="{3C9189F0-98E1-4E51-9DA6-A10B66F7398B}"/>
    <cellStyle name="20% - Accent3 3 4 3" xfId="5352" xr:uid="{00000000-0005-0000-0000-0000AE010000}"/>
    <cellStyle name="20% - Accent3 3 4 3 2" xfId="13802" xr:uid="{65496ADF-895B-4BA0-9B02-C8C15D10C365}"/>
    <cellStyle name="20% - Accent3 3 4 3 3" xfId="22236" xr:uid="{579C7901-AF47-4280-825E-F34D6E92CD6D}"/>
    <cellStyle name="20% - Accent3 3 4 4" xfId="9584" xr:uid="{9E167DC9-9FE7-4CAD-8283-EC7DA62DF0BC}"/>
    <cellStyle name="20% - Accent3 3 4 5" xfId="18019" xr:uid="{15483F60-3EDA-449E-B0E6-0035115333C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CE05EAA8-13F0-4BC9-AD8A-92ECABD73B72}"/>
    <cellStyle name="20% - Accent3 3 5 2 2 3" xfId="24794" xr:uid="{71F784CD-462C-41E2-BCCB-E148C24F70ED}"/>
    <cellStyle name="20% - Accent3 3 5 2 3" xfId="12142" xr:uid="{92C8DFC9-AC1A-4B78-978A-4CF48872EA92}"/>
    <cellStyle name="20% - Accent3 3 5 2 4" xfId="20577" xr:uid="{6D4046EB-52AF-454F-B040-111A3D106463}"/>
    <cellStyle name="20% - Accent3 3 5 3" xfId="5765" xr:uid="{00000000-0005-0000-0000-0000B2010000}"/>
    <cellStyle name="20% - Accent3 3 5 3 2" xfId="14215" xr:uid="{B69798A9-18A7-469F-8D77-28FC68B79032}"/>
    <cellStyle name="20% - Accent3 3 5 3 3" xfId="22649" xr:uid="{A20AC2C8-9276-4BED-9051-B2E9FED95E03}"/>
    <cellStyle name="20% - Accent3 3 5 4" xfId="9997" xr:uid="{C0D9368B-7C9B-4916-AB9C-FAAC6CD00CD6}"/>
    <cellStyle name="20% - Accent3 3 5 5" xfId="18432" xr:uid="{20916038-3549-49B3-AD4D-8475CC9BE6C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A7B0A349-794B-427B-9C33-E4F59C93758C}"/>
    <cellStyle name="20% - Accent3 3 6 2 2 3" xfId="25207" xr:uid="{2E749F4A-6CAE-44C4-9C97-48CD41B4B0DC}"/>
    <cellStyle name="20% - Accent3 3 6 2 3" xfId="12555" xr:uid="{FB3D0E0B-0108-467B-ACF0-A234ADE72FFD}"/>
    <cellStyle name="20% - Accent3 3 6 2 4" xfId="20990" xr:uid="{B7ACB7B3-FB48-4455-A6E4-44092528F875}"/>
    <cellStyle name="20% - Accent3 3 6 3" xfId="6178" xr:uid="{00000000-0005-0000-0000-0000B6010000}"/>
    <cellStyle name="20% - Accent3 3 6 3 2" xfId="14628" xr:uid="{6A00D824-7AEB-4B85-BB71-4FBD38413FBD}"/>
    <cellStyle name="20% - Accent3 3 6 3 3" xfId="23062" xr:uid="{6E8F6073-774E-493D-B4FA-5770E67D3BC8}"/>
    <cellStyle name="20% - Accent3 3 6 4" xfId="10410" xr:uid="{F5508EE2-22D2-4232-87F8-723BEBAE1809}"/>
    <cellStyle name="20% - Accent3 3 6 5" xfId="18845" xr:uid="{8BD7DA08-19E6-4EAE-945E-CBAFC095F5BF}"/>
    <cellStyle name="20% - Accent3 3 7" xfId="2285" xr:uid="{00000000-0005-0000-0000-0000B7010000}"/>
    <cellStyle name="20% - Accent3 3 7 2" xfId="6591" xr:uid="{00000000-0005-0000-0000-0000B8010000}"/>
    <cellStyle name="20% - Accent3 3 7 2 2" xfId="15041" xr:uid="{D91A9C0A-0F81-4C71-B885-D8C88EFE5DD3}"/>
    <cellStyle name="20% - Accent3 3 7 2 3" xfId="23475" xr:uid="{62B220D8-9C36-48B5-8815-77C14470D4A8}"/>
    <cellStyle name="20% - Accent3 3 7 3" xfId="10823" xr:uid="{508A6BE5-F054-41B4-96AC-0DE6A68D2613}"/>
    <cellStyle name="20% - Accent3 3 7 4" xfId="19258" xr:uid="{CBD37CF4-B7AE-458C-A014-1696CE3F63A0}"/>
    <cellStyle name="20% - Accent3 3 8" xfId="4525" xr:uid="{00000000-0005-0000-0000-0000B9010000}"/>
    <cellStyle name="20% - Accent3 3 8 2" xfId="12975" xr:uid="{933D33C6-D380-450C-8DCE-F3B0CF8CBA1C}"/>
    <cellStyle name="20% - Accent3 3 8 3" xfId="21409" xr:uid="{6DCB8EC0-EFE4-494F-A0FB-A74A9BEA92B2}"/>
    <cellStyle name="20% - Accent3 3 9" xfId="8757" xr:uid="{CC2A0A1C-6456-49C3-9033-DBA796780E9B}"/>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429C44B4-C9CD-4039-8CF2-C0D2CBC84789}"/>
    <cellStyle name="20% - Accent3 4 2 2 2 3" xfId="23970" xr:uid="{741244A3-6B73-4B8A-B9AD-1C21898D51AF}"/>
    <cellStyle name="20% - Accent3 4 2 2 3" xfId="11318" xr:uid="{8188D64D-F0FD-46B4-9CBD-A56B6B8D22A9}"/>
    <cellStyle name="20% - Accent3 4 2 2 4" xfId="19753" xr:uid="{ACD60765-A886-462F-8DE2-381337426B4D}"/>
    <cellStyle name="20% - Accent3 4 2 3" xfId="4941" xr:uid="{00000000-0005-0000-0000-0000BE010000}"/>
    <cellStyle name="20% - Accent3 4 2 3 2" xfId="13391" xr:uid="{E7F6A8EF-CE0E-419E-B2DD-0FE7C0F2CC39}"/>
    <cellStyle name="20% - Accent3 4 2 3 3" xfId="21825" xr:uid="{322811B0-8637-45E6-9F84-74C0283DCA8E}"/>
    <cellStyle name="20% - Accent3 4 2 4" xfId="9173" xr:uid="{6EF2D6B0-B5F4-41AB-ADDE-8AB95C455239}"/>
    <cellStyle name="20% - Accent3 4 2 5" xfId="17608" xr:uid="{879CB7AE-6999-46FE-97C4-C5F9FC5D155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E9E230BC-68E3-43EF-A528-CE07DAB4B7C2}"/>
    <cellStyle name="20% - Accent3 4 3 2 2 3" xfId="24383" xr:uid="{27E2F140-ADCE-46C1-B83C-07A62A30A9D5}"/>
    <cellStyle name="20% - Accent3 4 3 2 3" xfId="11731" xr:uid="{4CD866AA-675A-4B7B-BC48-A0CDB7E09042}"/>
    <cellStyle name="20% - Accent3 4 3 2 4" xfId="20166" xr:uid="{A235C11E-1EDC-4472-B3FF-06C3650209A3}"/>
    <cellStyle name="20% - Accent3 4 3 3" xfId="5354" xr:uid="{00000000-0005-0000-0000-0000C2010000}"/>
    <cellStyle name="20% - Accent3 4 3 3 2" xfId="13804" xr:uid="{18FC9339-65A0-4581-A8F6-7F8CADB1309F}"/>
    <cellStyle name="20% - Accent3 4 3 3 3" xfId="22238" xr:uid="{0595DC8F-2F71-4BC1-9CAF-B5EC26634E5C}"/>
    <cellStyle name="20% - Accent3 4 3 4" xfId="9586" xr:uid="{748A8A64-6DAA-4056-8CCB-4EA490070585}"/>
    <cellStyle name="20% - Accent3 4 3 5" xfId="18021" xr:uid="{A077A18E-BF65-41E7-8F8D-026208DF9E4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1085768E-71CE-45BE-8595-E20CFA4DBD94}"/>
    <cellStyle name="20% - Accent3 4 4 2 2 3" xfId="24796" xr:uid="{AD6917D4-996F-4FB4-ABAE-CE661D1CA156}"/>
    <cellStyle name="20% - Accent3 4 4 2 3" xfId="12144" xr:uid="{4591344F-495B-4100-A919-8C2C3C1AA8BD}"/>
    <cellStyle name="20% - Accent3 4 4 2 4" xfId="20579" xr:uid="{5C6B88E0-C960-4DAE-910C-461FD49D3C4B}"/>
    <cellStyle name="20% - Accent3 4 4 3" xfId="5767" xr:uid="{00000000-0005-0000-0000-0000C6010000}"/>
    <cellStyle name="20% - Accent3 4 4 3 2" xfId="14217" xr:uid="{A7A36F14-4768-431D-A582-46D1F819EE07}"/>
    <cellStyle name="20% - Accent3 4 4 3 3" xfId="22651" xr:uid="{657BFA96-0733-4F7B-A61F-7D4602716B03}"/>
    <cellStyle name="20% - Accent3 4 4 4" xfId="9999" xr:uid="{C43B83FD-D086-4EF2-8E56-5622EAF2060C}"/>
    <cellStyle name="20% - Accent3 4 4 5" xfId="18434" xr:uid="{BB57A774-9C7A-47DB-B739-9AB57001CA73}"/>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3295D51A-F360-4686-8982-309CE01152AB}"/>
    <cellStyle name="20% - Accent3 4 5 2 2 3" xfId="25209" xr:uid="{FC7E5C08-44FA-4985-B0DB-E535DE199754}"/>
    <cellStyle name="20% - Accent3 4 5 2 3" xfId="12557" xr:uid="{7DAF6A32-C451-4F17-8CCA-A622FD888E3C}"/>
    <cellStyle name="20% - Accent3 4 5 2 4" xfId="20992" xr:uid="{9296B4CF-ACEF-4FBA-A4BD-408257C7353A}"/>
    <cellStyle name="20% - Accent3 4 5 3" xfId="6180" xr:uid="{00000000-0005-0000-0000-0000CA010000}"/>
    <cellStyle name="20% - Accent3 4 5 3 2" xfId="14630" xr:uid="{FE255117-6430-428E-9192-E0008350335A}"/>
    <cellStyle name="20% - Accent3 4 5 3 3" xfId="23064" xr:uid="{A2995493-8B9F-4E66-9175-BC6108D8845B}"/>
    <cellStyle name="20% - Accent3 4 5 4" xfId="10412" xr:uid="{47F313B5-9CCE-48E2-B6D7-3D0DCAFBF679}"/>
    <cellStyle name="20% - Accent3 4 5 5" xfId="18847" xr:uid="{2FAFC9FC-7191-4ACF-AB38-CBAA47A61C0B}"/>
    <cellStyle name="20% - Accent3 4 6" xfId="2287" xr:uid="{00000000-0005-0000-0000-0000CB010000}"/>
    <cellStyle name="20% - Accent3 4 6 2" xfId="6593" xr:uid="{00000000-0005-0000-0000-0000CC010000}"/>
    <cellStyle name="20% - Accent3 4 6 2 2" xfId="15043" xr:uid="{6917BFD9-B3C6-4494-BA5C-EC69A9E0F7E9}"/>
    <cellStyle name="20% - Accent3 4 6 2 3" xfId="23477" xr:uid="{B28419AC-13BD-492D-ABE5-A7CD7E298F19}"/>
    <cellStyle name="20% - Accent3 4 6 3" xfId="10825" xr:uid="{654B21A8-CC7D-43AD-8AA6-58CE3B9BD171}"/>
    <cellStyle name="20% - Accent3 4 6 4" xfId="19260" xr:uid="{0CF6C6EF-D111-4640-B337-051380078758}"/>
    <cellStyle name="20% - Accent3 4 7" xfId="4527" xr:uid="{00000000-0005-0000-0000-0000CD010000}"/>
    <cellStyle name="20% - Accent3 4 7 2" xfId="12977" xr:uid="{6EC8759E-CA7A-4CE7-A54C-3394AA054A54}"/>
    <cellStyle name="20% - Accent3 4 7 3" xfId="21411" xr:uid="{5EC2BE79-CD5D-42CA-A203-138145D200D7}"/>
    <cellStyle name="20% - Accent3 4 8" xfId="8759" xr:uid="{F7E59578-EEEB-4B1E-8DC3-F2FA7730023E}"/>
    <cellStyle name="20% - Accent3 4 9" xfId="17194" xr:uid="{78BAD9A7-3757-4B92-9EC8-339527DC01EF}"/>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37512C59-FFA8-4AA6-9C57-D7E1F99CE0BB}"/>
    <cellStyle name="20% - Accent3 5 2 2 3" xfId="23963" xr:uid="{F25D5F9C-EB80-43AF-A518-401B95DBB426}"/>
    <cellStyle name="20% - Accent3 5 2 3" xfId="11311" xr:uid="{867D6A75-F2BE-4E37-9077-3C47D1D78C17}"/>
    <cellStyle name="20% - Accent3 5 2 4" xfId="19746" xr:uid="{C2BCDA7F-C122-4ACE-858A-F6F051ABD4C7}"/>
    <cellStyle name="20% - Accent3 5 3" xfId="4934" xr:uid="{00000000-0005-0000-0000-0000D1010000}"/>
    <cellStyle name="20% - Accent3 5 3 2" xfId="13384" xr:uid="{2B2E40F6-6A3C-4F0E-8778-DEA1DC4E243E}"/>
    <cellStyle name="20% - Accent3 5 3 3" xfId="21818" xr:uid="{C54737FA-BA89-40BC-872D-578BDF8CE57F}"/>
    <cellStyle name="20% - Accent3 5 4" xfId="9166" xr:uid="{A352E96F-24D1-4EF3-B64E-F73195A49247}"/>
    <cellStyle name="20% - Accent3 5 5" xfId="17601" xr:uid="{A153B8CF-A19D-4929-9AF7-452147CB9C03}"/>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DB2FE1F3-8F46-456F-AE23-2D0CE547CEAC}"/>
    <cellStyle name="20% - Accent3 6 2 2 3" xfId="24376" xr:uid="{0DFE44E8-0FD5-46B8-932F-F0FFE08B62E7}"/>
    <cellStyle name="20% - Accent3 6 2 3" xfId="11724" xr:uid="{4A44E529-BB8D-4A9D-AC28-CA2A0ADA347A}"/>
    <cellStyle name="20% - Accent3 6 2 4" xfId="20159" xr:uid="{2FF0A6A2-6C42-4055-B549-E13984EE333D}"/>
    <cellStyle name="20% - Accent3 6 3" xfId="5347" xr:uid="{00000000-0005-0000-0000-0000D5010000}"/>
    <cellStyle name="20% - Accent3 6 3 2" xfId="13797" xr:uid="{110D3EB3-1375-4321-92C9-B4CD81980A96}"/>
    <cellStyle name="20% - Accent3 6 3 3" xfId="22231" xr:uid="{3BFB9D6D-4151-4CE8-82B5-CAD0C19C383B}"/>
    <cellStyle name="20% - Accent3 6 4" xfId="9579" xr:uid="{CB75530A-2ADD-4CE9-A650-16B65DC53E94}"/>
    <cellStyle name="20% - Accent3 6 5" xfId="18014" xr:uid="{D95C4B01-82E6-4161-8B61-61EE6F1D0DF1}"/>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83563CAC-FB15-4922-8CD5-AA7CF34DDA18}"/>
    <cellStyle name="20% - Accent3 7 2 2 3" xfId="24789" xr:uid="{8FBA1D51-5A37-4C47-B99C-2C47AC9D7038}"/>
    <cellStyle name="20% - Accent3 7 2 3" xfId="12137" xr:uid="{9CDAEB6B-F944-43CB-BF3A-FE24DD2070E0}"/>
    <cellStyle name="20% - Accent3 7 2 4" xfId="20572" xr:uid="{2825833C-9DF6-4144-86F3-90C7A07C437E}"/>
    <cellStyle name="20% - Accent3 7 3" xfId="5760" xr:uid="{00000000-0005-0000-0000-0000D9010000}"/>
    <cellStyle name="20% - Accent3 7 3 2" xfId="14210" xr:uid="{49BE5145-4656-4A40-8017-A13068EF309B}"/>
    <cellStyle name="20% - Accent3 7 3 3" xfId="22644" xr:uid="{B53D4689-6F1E-441C-8A40-EBF7564BC812}"/>
    <cellStyle name="20% - Accent3 7 4" xfId="9992" xr:uid="{5F94B27F-C6E9-4152-A978-070D6B76D4EF}"/>
    <cellStyle name="20% - Accent3 7 5" xfId="18427" xr:uid="{C568FB6A-C340-4054-B5EA-BBF46A72BDA9}"/>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5702EBA8-BA72-498A-AB28-06F386D7CB72}"/>
    <cellStyle name="20% - Accent3 8 2 2 3" xfId="25202" xr:uid="{5D1988CE-9540-4989-885F-66EB3589FFD3}"/>
    <cellStyle name="20% - Accent3 8 2 3" xfId="12550" xr:uid="{F5AB3DB1-2D48-4C0B-B96F-CA8AF1FE7226}"/>
    <cellStyle name="20% - Accent3 8 2 4" xfId="20985" xr:uid="{13C755D9-3522-48C8-824F-CB0265039D4D}"/>
    <cellStyle name="20% - Accent3 8 3" xfId="6173" xr:uid="{00000000-0005-0000-0000-0000DD010000}"/>
    <cellStyle name="20% - Accent3 8 3 2" xfId="14623" xr:uid="{FA0F9B32-0060-4500-96A4-F0DAAA0ADEE7}"/>
    <cellStyle name="20% - Accent3 8 3 3" xfId="23057" xr:uid="{D06B0351-21E3-4359-B585-B04A0E18D26C}"/>
    <cellStyle name="20% - Accent3 8 4" xfId="10405" xr:uid="{59863276-DE80-42D8-B6A2-41F32BCDD5D6}"/>
    <cellStyle name="20% - Accent3 8 5" xfId="18840" xr:uid="{25ECBE88-97D5-4EA1-B542-08B3A0B77D4B}"/>
    <cellStyle name="20% - Accent3 9" xfId="2280" xr:uid="{00000000-0005-0000-0000-0000DE010000}"/>
    <cellStyle name="20% - Accent3 9 2" xfId="6586" xr:uid="{00000000-0005-0000-0000-0000DF010000}"/>
    <cellStyle name="20% - Accent3 9 2 2" xfId="15036" xr:uid="{5700DEB9-B9DC-4E8E-AFD2-F27C18E7386B}"/>
    <cellStyle name="20% - Accent3 9 2 3" xfId="23470" xr:uid="{BC355BC5-33BF-4C77-9EE8-3CA127B9FA77}"/>
    <cellStyle name="20% - Accent3 9 3" xfId="10818" xr:uid="{8A051912-C2C3-4C96-AA67-F0524999382E}"/>
    <cellStyle name="20% - Accent3 9 4" xfId="19253" xr:uid="{AAFA3E94-4D02-4781-B6FC-C1311D55699B}"/>
    <cellStyle name="20% - Accent4" xfId="25" builtinId="42" customBuiltin="1"/>
    <cellStyle name="20% - Accent4 10" xfId="4528" xr:uid="{00000000-0005-0000-0000-0000E1010000}"/>
    <cellStyle name="20% - Accent4 10 2" xfId="12978" xr:uid="{240B4A55-967C-4D01-880C-0E54F9A4754D}"/>
    <cellStyle name="20% - Accent4 10 3" xfId="21412" xr:uid="{1DC8020D-3C9C-44FB-98FA-78E62909472D}"/>
    <cellStyle name="20% - Accent4 11" xfId="8760" xr:uid="{0AB9E406-8E52-4CC9-9720-E7E7133266CF}"/>
    <cellStyle name="20% - Accent4 12" xfId="17195" xr:uid="{A84C8F0F-05B8-439B-A067-0126C44C6D76}"/>
    <cellStyle name="20% - Accent4 2" xfId="26" xr:uid="{00000000-0005-0000-0000-0000E2010000}"/>
    <cellStyle name="20% - Accent4 2 10" xfId="8761" xr:uid="{D583DC0C-7DB9-44AC-8CAF-7F9431BBF7D9}"/>
    <cellStyle name="20% - Accent4 2 11" xfId="17196" xr:uid="{13E14797-058F-4A80-AC31-98AF00A3C195}"/>
    <cellStyle name="20% - Accent4 2 2" xfId="27" xr:uid="{00000000-0005-0000-0000-0000E3010000}"/>
    <cellStyle name="20% - Accent4 2 2 10" xfId="17197" xr:uid="{E1A7488B-4181-458E-B561-88D70404B816}"/>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FA0D93A3-1DF0-4CE3-9463-354A2CEC3473}"/>
    <cellStyle name="20% - Accent4 2 2 2 2 2 2 3" xfId="23974" xr:uid="{BD83D773-D896-4E70-B749-0C8821D69A99}"/>
    <cellStyle name="20% - Accent4 2 2 2 2 2 3" xfId="11322" xr:uid="{A2628707-7399-4F10-9D74-A3333204EDAB}"/>
    <cellStyle name="20% - Accent4 2 2 2 2 2 4" xfId="19757" xr:uid="{56DCCFCB-4290-4C66-BE65-76DE49B742BE}"/>
    <cellStyle name="20% - Accent4 2 2 2 2 3" xfId="4945" xr:uid="{00000000-0005-0000-0000-0000E8010000}"/>
    <cellStyle name="20% - Accent4 2 2 2 2 3 2" xfId="13395" xr:uid="{14118C80-D526-4739-8514-8DC2132ECA86}"/>
    <cellStyle name="20% - Accent4 2 2 2 2 3 3" xfId="21829" xr:uid="{B1A29715-0AD1-4965-90E0-57921C27BE44}"/>
    <cellStyle name="20% - Accent4 2 2 2 2 4" xfId="9177" xr:uid="{36A1403B-8960-495B-81A3-DB3019B992A1}"/>
    <cellStyle name="20% - Accent4 2 2 2 2 5" xfId="17612" xr:uid="{BFFB87D4-80F4-489B-A194-F22097994B09}"/>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C8169649-02CE-4002-B9D5-0C16DAE70FC8}"/>
    <cellStyle name="20% - Accent4 2 2 2 3 2 2 3" xfId="24387" xr:uid="{1E08E1B2-0606-4C14-8016-EBF8F85E8C35}"/>
    <cellStyle name="20% - Accent4 2 2 2 3 2 3" xfId="11735" xr:uid="{8ED7FAC3-1500-445E-906B-1C481A4E64C3}"/>
    <cellStyle name="20% - Accent4 2 2 2 3 2 4" xfId="20170" xr:uid="{5D0AF65D-F7C7-4664-9887-55EDCDD58432}"/>
    <cellStyle name="20% - Accent4 2 2 2 3 3" xfId="5358" xr:uid="{00000000-0005-0000-0000-0000EC010000}"/>
    <cellStyle name="20% - Accent4 2 2 2 3 3 2" xfId="13808" xr:uid="{250B24AD-E871-45FD-AFD7-A3E64B2A4449}"/>
    <cellStyle name="20% - Accent4 2 2 2 3 3 3" xfId="22242" xr:uid="{14A4812C-74D9-464E-9498-DF6362845B79}"/>
    <cellStyle name="20% - Accent4 2 2 2 3 4" xfId="9590" xr:uid="{EE2A4387-D288-4610-AD2E-2D17F2B2DF9C}"/>
    <cellStyle name="20% - Accent4 2 2 2 3 5" xfId="18025" xr:uid="{6D0EB0A1-9C68-4B64-8554-018FD6C2EF6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E1D76061-8F6D-4F13-9132-8C142A9ADC41}"/>
    <cellStyle name="20% - Accent4 2 2 2 4 2 2 3" xfId="24800" xr:uid="{59EBC32B-459A-4429-B146-377BDB2AFB6D}"/>
    <cellStyle name="20% - Accent4 2 2 2 4 2 3" xfId="12148" xr:uid="{EAD1C330-C12E-4E1C-BCAE-29ADFEFE4A4A}"/>
    <cellStyle name="20% - Accent4 2 2 2 4 2 4" xfId="20583" xr:uid="{AFD5B561-CAD2-4930-9B04-584DBE590D59}"/>
    <cellStyle name="20% - Accent4 2 2 2 4 3" xfId="5771" xr:uid="{00000000-0005-0000-0000-0000F0010000}"/>
    <cellStyle name="20% - Accent4 2 2 2 4 3 2" xfId="14221" xr:uid="{90A89535-3603-4262-AF98-1D320E1E1568}"/>
    <cellStyle name="20% - Accent4 2 2 2 4 3 3" xfId="22655" xr:uid="{EAF3BBF5-E965-4F44-AECD-8C9D414009FD}"/>
    <cellStyle name="20% - Accent4 2 2 2 4 4" xfId="10003" xr:uid="{474A891B-E3AB-47D4-B1DE-F71870F67E97}"/>
    <cellStyle name="20% - Accent4 2 2 2 4 5" xfId="18438" xr:uid="{5A950E99-67C6-45EF-B02A-13C6FA1CED3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C94C735-0761-4A6E-9ABF-5F170394B9CD}"/>
    <cellStyle name="20% - Accent4 2 2 2 5 2 2 3" xfId="25213" xr:uid="{857C3578-CACF-4B8D-AD37-C2DE5F278475}"/>
    <cellStyle name="20% - Accent4 2 2 2 5 2 3" xfId="12561" xr:uid="{BC092E37-BCC3-4774-914B-E35BD2923B36}"/>
    <cellStyle name="20% - Accent4 2 2 2 5 2 4" xfId="20996" xr:uid="{899C7D35-FF82-4592-B6CB-827621329DB3}"/>
    <cellStyle name="20% - Accent4 2 2 2 5 3" xfId="6184" xr:uid="{00000000-0005-0000-0000-0000F4010000}"/>
    <cellStyle name="20% - Accent4 2 2 2 5 3 2" xfId="14634" xr:uid="{AD402A8B-1F11-40E1-B1A6-8915F39DAA44}"/>
    <cellStyle name="20% - Accent4 2 2 2 5 3 3" xfId="23068" xr:uid="{CA4E49DC-8E29-4010-B9EB-29D61452BAE9}"/>
    <cellStyle name="20% - Accent4 2 2 2 5 4" xfId="10416" xr:uid="{12FC7407-A90E-4472-A784-19DE058BD384}"/>
    <cellStyle name="20% - Accent4 2 2 2 5 5" xfId="18851" xr:uid="{7F9589E7-DDF8-479E-8177-487D9D729A36}"/>
    <cellStyle name="20% - Accent4 2 2 2 6" xfId="2291" xr:uid="{00000000-0005-0000-0000-0000F5010000}"/>
    <cellStyle name="20% - Accent4 2 2 2 6 2" xfId="6597" xr:uid="{00000000-0005-0000-0000-0000F6010000}"/>
    <cellStyle name="20% - Accent4 2 2 2 6 2 2" xfId="15047" xr:uid="{0A5535D4-90DF-48B7-99D4-5333C1C1B1AE}"/>
    <cellStyle name="20% - Accent4 2 2 2 6 2 3" xfId="23481" xr:uid="{D3583A26-8D7C-4DCF-B37F-B5F81187E3CD}"/>
    <cellStyle name="20% - Accent4 2 2 2 6 3" xfId="10829" xr:uid="{F9A75CD8-5F00-4C62-9A74-7C281D93935D}"/>
    <cellStyle name="20% - Accent4 2 2 2 6 4" xfId="19264" xr:uid="{2A968E15-98CA-4964-B145-079F3F2D7848}"/>
    <cellStyle name="20% - Accent4 2 2 2 7" xfId="4531" xr:uid="{00000000-0005-0000-0000-0000F7010000}"/>
    <cellStyle name="20% - Accent4 2 2 2 7 2" xfId="12981" xr:uid="{7694A10C-63E0-4C40-BE2E-FA45F8D9295D}"/>
    <cellStyle name="20% - Accent4 2 2 2 7 3" xfId="21415" xr:uid="{FB893204-1B8F-4B6E-9F18-67CDFE74DC03}"/>
    <cellStyle name="20% - Accent4 2 2 2 8" xfId="8763" xr:uid="{F105DEA5-F5CC-45F9-8D65-63BE7EACC8B7}"/>
    <cellStyle name="20% - Accent4 2 2 2 9" xfId="17198" xr:uid="{FED9229F-406D-46E1-A71C-10D7F2FABBD8}"/>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994B127A-D412-4B16-9C15-A075C561C773}"/>
    <cellStyle name="20% - Accent4 2 2 3 2 2 3" xfId="23973" xr:uid="{7B91EE9A-B84E-429A-BE24-6114535B383C}"/>
    <cellStyle name="20% - Accent4 2 2 3 2 3" xfId="11321" xr:uid="{D40D93FE-1214-4728-BD6C-2EB4744124A1}"/>
    <cellStyle name="20% - Accent4 2 2 3 2 4" xfId="19756" xr:uid="{7657011A-9403-4A8D-B74C-6E24625391A1}"/>
    <cellStyle name="20% - Accent4 2 2 3 3" xfId="4944" xr:uid="{00000000-0005-0000-0000-0000FB010000}"/>
    <cellStyle name="20% - Accent4 2 2 3 3 2" xfId="13394" xr:uid="{4FBC4BE3-5783-4AD9-93D9-EF2E376591FF}"/>
    <cellStyle name="20% - Accent4 2 2 3 3 3" xfId="21828" xr:uid="{BEDCF1CC-9F4A-4489-A1FD-BEB5BAA1615E}"/>
    <cellStyle name="20% - Accent4 2 2 3 4" xfId="9176" xr:uid="{F91D73F0-9F2E-4359-8171-11FCF1E2198C}"/>
    <cellStyle name="20% - Accent4 2 2 3 5" xfId="17611" xr:uid="{6D49A986-A184-436E-B3FD-A6DC5229216A}"/>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FEA9046C-37F1-4B06-AF46-EB6ADAD9B221}"/>
    <cellStyle name="20% - Accent4 2 2 4 2 2 3" xfId="24386" xr:uid="{64F5C5FE-FE9D-40DF-8A7E-4AB12238202C}"/>
    <cellStyle name="20% - Accent4 2 2 4 2 3" xfId="11734" xr:uid="{9588EC94-5F78-4E50-BA9F-C7F57A221BFC}"/>
    <cellStyle name="20% - Accent4 2 2 4 2 4" xfId="20169" xr:uid="{93129B3C-BC53-445A-BFD0-282ACD63584E}"/>
    <cellStyle name="20% - Accent4 2 2 4 3" xfId="5357" xr:uid="{00000000-0005-0000-0000-0000FF010000}"/>
    <cellStyle name="20% - Accent4 2 2 4 3 2" xfId="13807" xr:uid="{C5795E20-D0D8-4B2C-8C3F-20FAB4822EE9}"/>
    <cellStyle name="20% - Accent4 2 2 4 3 3" xfId="22241" xr:uid="{F21933D2-C415-40EA-B1B0-1A15FA859177}"/>
    <cellStyle name="20% - Accent4 2 2 4 4" xfId="9589" xr:uid="{BE383359-2305-47D3-9ECF-3E9B2FCA10BE}"/>
    <cellStyle name="20% - Accent4 2 2 4 5" xfId="18024" xr:uid="{0E92595B-352F-40E9-AD31-0BCA64A66098}"/>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852F37BD-9467-4B77-A430-7634091228FF}"/>
    <cellStyle name="20% - Accent4 2 2 5 2 2 3" xfId="24799" xr:uid="{48223DF7-3B35-4B8E-AECC-C11B0CC57876}"/>
    <cellStyle name="20% - Accent4 2 2 5 2 3" xfId="12147" xr:uid="{223DD22B-82ED-40ED-ACE5-081020A4BD48}"/>
    <cellStyle name="20% - Accent4 2 2 5 2 4" xfId="20582" xr:uid="{8AD2C753-C78B-4974-97A2-8C5132BA54F0}"/>
    <cellStyle name="20% - Accent4 2 2 5 3" xfId="5770" xr:uid="{00000000-0005-0000-0000-000003020000}"/>
    <cellStyle name="20% - Accent4 2 2 5 3 2" xfId="14220" xr:uid="{B8B9420E-9F9A-400E-80A0-60A4E570E88F}"/>
    <cellStyle name="20% - Accent4 2 2 5 3 3" xfId="22654" xr:uid="{23C97900-EA2C-4050-908E-9FFE35C3D9A8}"/>
    <cellStyle name="20% - Accent4 2 2 5 4" xfId="10002" xr:uid="{88EA900B-74FF-4FB4-9851-1FF07BCD8732}"/>
    <cellStyle name="20% - Accent4 2 2 5 5" xfId="18437" xr:uid="{CD3A6F5B-F9B3-4926-9CB6-BD1A0316ACC7}"/>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AA993B07-FA7C-400E-BA68-36E667D55083}"/>
    <cellStyle name="20% - Accent4 2 2 6 2 2 3" xfId="25212" xr:uid="{1118B9C3-FBF4-4FAE-BFAB-020CA4963112}"/>
    <cellStyle name="20% - Accent4 2 2 6 2 3" xfId="12560" xr:uid="{C7EC3794-FC06-4FB1-B695-73407D9A4DE9}"/>
    <cellStyle name="20% - Accent4 2 2 6 2 4" xfId="20995" xr:uid="{0AA6B96E-FD6F-4540-85B3-B091F7700C4A}"/>
    <cellStyle name="20% - Accent4 2 2 6 3" xfId="6183" xr:uid="{00000000-0005-0000-0000-000007020000}"/>
    <cellStyle name="20% - Accent4 2 2 6 3 2" xfId="14633" xr:uid="{7BCEDAEF-ED4D-4168-97F8-F0200385B598}"/>
    <cellStyle name="20% - Accent4 2 2 6 3 3" xfId="23067" xr:uid="{DBF3E520-D920-4D45-AAC5-782F3C58C6BD}"/>
    <cellStyle name="20% - Accent4 2 2 6 4" xfId="10415" xr:uid="{362EE43E-9A72-4007-BE2E-093AD9ABCA51}"/>
    <cellStyle name="20% - Accent4 2 2 6 5" xfId="18850" xr:uid="{23095589-87C2-474A-BB7F-45E0AFD19147}"/>
    <cellStyle name="20% - Accent4 2 2 7" xfId="2290" xr:uid="{00000000-0005-0000-0000-000008020000}"/>
    <cellStyle name="20% - Accent4 2 2 7 2" xfId="6596" xr:uid="{00000000-0005-0000-0000-000009020000}"/>
    <cellStyle name="20% - Accent4 2 2 7 2 2" xfId="15046" xr:uid="{B5AF7874-FD89-41A5-B12B-8ECDCA15D83A}"/>
    <cellStyle name="20% - Accent4 2 2 7 2 3" xfId="23480" xr:uid="{316A0EF2-D86D-43B9-A962-A8705CDD6BE5}"/>
    <cellStyle name="20% - Accent4 2 2 7 3" xfId="10828" xr:uid="{FAA82817-EE6E-4AC7-B2FC-54FD993444F0}"/>
    <cellStyle name="20% - Accent4 2 2 7 4" xfId="19263" xr:uid="{E709C566-EC6C-45DE-91C8-870283C92CE5}"/>
    <cellStyle name="20% - Accent4 2 2 8" xfId="4530" xr:uid="{00000000-0005-0000-0000-00000A020000}"/>
    <cellStyle name="20% - Accent4 2 2 8 2" xfId="12980" xr:uid="{D002489B-2E46-4E0D-A07F-23BFDF615F2A}"/>
    <cellStyle name="20% - Accent4 2 2 8 3" xfId="21414" xr:uid="{70E01038-1654-4810-9A49-BDD486F44D0A}"/>
    <cellStyle name="20% - Accent4 2 2 9" xfId="8762" xr:uid="{40091FCB-AA12-4FC0-92AF-595237A601C8}"/>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03E84E7F-6105-4055-9FE3-4CE232E2B30C}"/>
    <cellStyle name="20% - Accent4 2 3 2 2 2 3" xfId="23975" xr:uid="{40B0CEFF-40AF-4702-B123-13BBC41223AD}"/>
    <cellStyle name="20% - Accent4 2 3 2 2 3" xfId="11323" xr:uid="{07FDCC1C-777B-40E9-8678-628834F908F0}"/>
    <cellStyle name="20% - Accent4 2 3 2 2 4" xfId="19758" xr:uid="{76A36505-3EA3-4C98-BB92-FB1C71DAB758}"/>
    <cellStyle name="20% - Accent4 2 3 2 3" xfId="4946" xr:uid="{00000000-0005-0000-0000-00000F020000}"/>
    <cellStyle name="20% - Accent4 2 3 2 3 2" xfId="13396" xr:uid="{822550F0-BFF4-460D-A7B4-2F5C32DA6D53}"/>
    <cellStyle name="20% - Accent4 2 3 2 3 3" xfId="21830" xr:uid="{6C2A8CAC-604D-47A0-8992-E97D0CEFACDE}"/>
    <cellStyle name="20% - Accent4 2 3 2 4" xfId="9178" xr:uid="{C6267552-447C-4434-86EE-9B741F7CDAE7}"/>
    <cellStyle name="20% - Accent4 2 3 2 5" xfId="17613" xr:uid="{2236C775-1B6A-4412-A86F-18B6B796D12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163A65B0-6584-45E2-B7BA-9E1251F803A9}"/>
    <cellStyle name="20% - Accent4 2 3 3 2 2 3" xfId="24388" xr:uid="{BC4142E1-4D9B-47F5-9025-DC1E2DF0E24B}"/>
    <cellStyle name="20% - Accent4 2 3 3 2 3" xfId="11736" xr:uid="{809F5664-D026-4697-94AF-F359DED1270D}"/>
    <cellStyle name="20% - Accent4 2 3 3 2 4" xfId="20171" xr:uid="{6330BCE5-EAF5-408C-8DFB-D76BCFF1BC16}"/>
    <cellStyle name="20% - Accent4 2 3 3 3" xfId="5359" xr:uid="{00000000-0005-0000-0000-000013020000}"/>
    <cellStyle name="20% - Accent4 2 3 3 3 2" xfId="13809" xr:uid="{CD094C5F-684C-43B2-A5A3-05BDD2C4BC9C}"/>
    <cellStyle name="20% - Accent4 2 3 3 3 3" xfId="22243" xr:uid="{69C3E0FB-10AD-4B9A-8EED-42115374F070}"/>
    <cellStyle name="20% - Accent4 2 3 3 4" xfId="9591" xr:uid="{835593FD-0EA9-4E52-84A4-6ADEDBEFFC6C}"/>
    <cellStyle name="20% - Accent4 2 3 3 5" xfId="18026" xr:uid="{98EC700A-4912-4B4C-84C8-F0DC4EC418CB}"/>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CE7750C1-A2BF-4109-BC10-631EAF5F8BD7}"/>
    <cellStyle name="20% - Accent4 2 3 4 2 2 3" xfId="24801" xr:uid="{F85A6A71-CC83-4152-862A-BD43F0BEC42F}"/>
    <cellStyle name="20% - Accent4 2 3 4 2 3" xfId="12149" xr:uid="{8155DDA9-7D48-482B-8B28-7484C817F59B}"/>
    <cellStyle name="20% - Accent4 2 3 4 2 4" xfId="20584" xr:uid="{12E60954-964C-462F-8ED2-C395A41AED1C}"/>
    <cellStyle name="20% - Accent4 2 3 4 3" xfId="5772" xr:uid="{00000000-0005-0000-0000-000017020000}"/>
    <cellStyle name="20% - Accent4 2 3 4 3 2" xfId="14222" xr:uid="{7F11BEED-D1C4-4885-999A-BC0D7C4A9949}"/>
    <cellStyle name="20% - Accent4 2 3 4 3 3" xfId="22656" xr:uid="{8912084B-8C7E-42E2-9A3A-89D2F735E1C1}"/>
    <cellStyle name="20% - Accent4 2 3 4 4" xfId="10004" xr:uid="{F104159A-A8C1-4FCB-AA1D-4BF44612E193}"/>
    <cellStyle name="20% - Accent4 2 3 4 5" xfId="18439" xr:uid="{58F14C4D-1FAD-4282-8A6C-CDDFAA460587}"/>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910ABF80-58BC-413F-8C68-710CAB10FF19}"/>
    <cellStyle name="20% - Accent4 2 3 5 2 2 3" xfId="25214" xr:uid="{2EA5A1BF-C463-4A3A-9C1F-35CCC34B002C}"/>
    <cellStyle name="20% - Accent4 2 3 5 2 3" xfId="12562" xr:uid="{72BE701D-A93D-49AA-BE7F-C76B5A41A46A}"/>
    <cellStyle name="20% - Accent4 2 3 5 2 4" xfId="20997" xr:uid="{248EB7F2-0AB9-4C94-AC90-EB082D6BA5CF}"/>
    <cellStyle name="20% - Accent4 2 3 5 3" xfId="6185" xr:uid="{00000000-0005-0000-0000-00001B020000}"/>
    <cellStyle name="20% - Accent4 2 3 5 3 2" xfId="14635" xr:uid="{4961FD87-6A52-4D3C-8C88-640ADA6AEBE2}"/>
    <cellStyle name="20% - Accent4 2 3 5 3 3" xfId="23069" xr:uid="{6A628199-9C4B-4294-AA9C-79C2911AEBFA}"/>
    <cellStyle name="20% - Accent4 2 3 5 4" xfId="10417" xr:uid="{2B21035B-036E-4F45-ADC7-D730ACE913E0}"/>
    <cellStyle name="20% - Accent4 2 3 5 5" xfId="18852" xr:uid="{D7916ABC-DAC1-437C-8AE0-9BC7F3522A6B}"/>
    <cellStyle name="20% - Accent4 2 3 6" xfId="2292" xr:uid="{00000000-0005-0000-0000-00001C020000}"/>
    <cellStyle name="20% - Accent4 2 3 6 2" xfId="6598" xr:uid="{00000000-0005-0000-0000-00001D020000}"/>
    <cellStyle name="20% - Accent4 2 3 6 2 2" xfId="15048" xr:uid="{C29D83F9-482A-4360-B0F9-6EA34D71D151}"/>
    <cellStyle name="20% - Accent4 2 3 6 2 3" xfId="23482" xr:uid="{320261CB-49F3-44F1-9B51-D0DB03B02902}"/>
    <cellStyle name="20% - Accent4 2 3 6 3" xfId="10830" xr:uid="{D6B53A18-E6B7-4850-B28D-6A29EC30674D}"/>
    <cellStyle name="20% - Accent4 2 3 6 4" xfId="19265" xr:uid="{2F98179D-530C-4024-8F63-D9E260DFCF53}"/>
    <cellStyle name="20% - Accent4 2 3 7" xfId="4532" xr:uid="{00000000-0005-0000-0000-00001E020000}"/>
    <cellStyle name="20% - Accent4 2 3 7 2" xfId="12982" xr:uid="{3F6A6C09-A35B-4B9D-85F5-CFDA7F37799B}"/>
    <cellStyle name="20% - Accent4 2 3 7 3" xfId="21416" xr:uid="{F22642AA-3EEF-441F-9FEC-E1C6190C10FB}"/>
    <cellStyle name="20% - Accent4 2 3 8" xfId="8764" xr:uid="{B124098B-51A0-4CCE-AFDC-1D3A3634D6BF}"/>
    <cellStyle name="20% - Accent4 2 3 9" xfId="17199" xr:uid="{B2E9CA78-14C9-4297-8FBC-D1BD46A1914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0113FC53-83A0-48C8-A0CF-279ACAD19581}"/>
    <cellStyle name="20% - Accent4 2 4 2 2 3" xfId="23972" xr:uid="{63FD9439-344A-4F29-BF8C-F8D4ECE33BBA}"/>
    <cellStyle name="20% - Accent4 2 4 2 3" xfId="11320" xr:uid="{8A1DD959-0054-4B2F-A2B2-E95200135937}"/>
    <cellStyle name="20% - Accent4 2 4 2 4" xfId="19755" xr:uid="{C6B04F57-E3AB-48E6-8636-CCF827E2B2DE}"/>
    <cellStyle name="20% - Accent4 2 4 3" xfId="4943" xr:uid="{00000000-0005-0000-0000-000022020000}"/>
    <cellStyle name="20% - Accent4 2 4 3 2" xfId="13393" xr:uid="{B1D2B57A-4A64-4A9B-B443-F2EE201D77D1}"/>
    <cellStyle name="20% - Accent4 2 4 3 3" xfId="21827" xr:uid="{BAE226C0-0B6F-4F78-B3A2-38826017952D}"/>
    <cellStyle name="20% - Accent4 2 4 4" xfId="9175" xr:uid="{46F9127A-0C80-4C78-9FD4-D77D96DD7172}"/>
    <cellStyle name="20% - Accent4 2 4 5" xfId="17610" xr:uid="{046A22CF-5B04-4CB9-A1AC-46859653D909}"/>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A9766C2A-7E9D-4291-9AD4-22CB1B1B9CF0}"/>
    <cellStyle name="20% - Accent4 2 5 2 2 3" xfId="24385" xr:uid="{4BC2D6BE-42D1-4422-9E05-4B5847064B16}"/>
    <cellStyle name="20% - Accent4 2 5 2 3" xfId="11733" xr:uid="{E5E07916-2F78-4A21-9349-5716297112D9}"/>
    <cellStyle name="20% - Accent4 2 5 2 4" xfId="20168" xr:uid="{3D9DB8A9-97EF-4F5C-9CF6-B51EA7FB362B}"/>
    <cellStyle name="20% - Accent4 2 5 3" xfId="5356" xr:uid="{00000000-0005-0000-0000-000026020000}"/>
    <cellStyle name="20% - Accent4 2 5 3 2" xfId="13806" xr:uid="{6DFC3FAB-D5F5-41BA-928E-D07EFDED3D92}"/>
    <cellStyle name="20% - Accent4 2 5 3 3" xfId="22240" xr:uid="{BF2A6B58-FEDD-4D95-8FDD-1037E37CEB38}"/>
    <cellStyle name="20% - Accent4 2 5 4" xfId="9588" xr:uid="{DBDD0AD5-F168-4844-BD78-A3A1A050A7B3}"/>
    <cellStyle name="20% - Accent4 2 5 5" xfId="18023" xr:uid="{7C72AE67-ED63-40F8-AA79-1C7D09FF8E79}"/>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6D7753E9-D6D8-48C3-BC97-4E3DC2562112}"/>
    <cellStyle name="20% - Accent4 2 6 2 2 3" xfId="24798" xr:uid="{4AB42F00-3B3B-448B-ADCB-E25026C84E6C}"/>
    <cellStyle name="20% - Accent4 2 6 2 3" xfId="12146" xr:uid="{D3702EEC-C925-4B76-B845-30603587F2DF}"/>
    <cellStyle name="20% - Accent4 2 6 2 4" xfId="20581" xr:uid="{9163CEC6-C369-4AA0-980C-ED4EEF1C4902}"/>
    <cellStyle name="20% - Accent4 2 6 3" xfId="5769" xr:uid="{00000000-0005-0000-0000-00002A020000}"/>
    <cellStyle name="20% - Accent4 2 6 3 2" xfId="14219" xr:uid="{20181EE3-580F-4DBE-8FF6-814E367D32A6}"/>
    <cellStyle name="20% - Accent4 2 6 3 3" xfId="22653" xr:uid="{9CF638D5-EE93-455C-9C4E-2594D179191C}"/>
    <cellStyle name="20% - Accent4 2 6 4" xfId="10001" xr:uid="{8CBBD19B-8058-44E3-B8D9-FF3A2A2979CF}"/>
    <cellStyle name="20% - Accent4 2 6 5" xfId="18436" xr:uid="{081B2111-E495-4C42-B418-62E78AF7F4DA}"/>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A6D4FA1A-836B-4586-BBC0-F09B266EC009}"/>
    <cellStyle name="20% - Accent4 2 7 2 2 3" xfId="25211" xr:uid="{92A09388-ECDC-4B6E-9525-C839B2C69C7F}"/>
    <cellStyle name="20% - Accent4 2 7 2 3" xfId="12559" xr:uid="{EDFF9094-BDEA-4AED-A817-980A25F6893F}"/>
    <cellStyle name="20% - Accent4 2 7 2 4" xfId="20994" xr:uid="{05B1BD99-82A3-45D6-B072-4242A5291DEA}"/>
    <cellStyle name="20% - Accent4 2 7 3" xfId="6182" xr:uid="{00000000-0005-0000-0000-00002E020000}"/>
    <cellStyle name="20% - Accent4 2 7 3 2" xfId="14632" xr:uid="{86BA6493-C2C2-45A5-9F01-F96ACF05450D}"/>
    <cellStyle name="20% - Accent4 2 7 3 3" xfId="23066" xr:uid="{323F830A-D503-4DFB-A20C-36ACC0C749AD}"/>
    <cellStyle name="20% - Accent4 2 7 4" xfId="10414" xr:uid="{CE25CA4A-D7AB-4EF3-8891-8A60D24D7240}"/>
    <cellStyle name="20% - Accent4 2 7 5" xfId="18849" xr:uid="{4E731D26-D5F3-4C5C-8662-0EA66A4626C4}"/>
    <cellStyle name="20% - Accent4 2 8" xfId="2289" xr:uid="{00000000-0005-0000-0000-00002F020000}"/>
    <cellStyle name="20% - Accent4 2 8 2" xfId="6595" xr:uid="{00000000-0005-0000-0000-000030020000}"/>
    <cellStyle name="20% - Accent4 2 8 2 2" xfId="15045" xr:uid="{D2DB7D8D-2058-4A67-9EA0-64BAE777B947}"/>
    <cellStyle name="20% - Accent4 2 8 2 3" xfId="23479" xr:uid="{BF8BC0C8-22E6-45AD-A8DB-20542E25BA7C}"/>
    <cellStyle name="20% - Accent4 2 8 3" xfId="10827" xr:uid="{07F65A14-18AB-406F-BC2A-28066DD7405E}"/>
    <cellStyle name="20% - Accent4 2 8 4" xfId="19262" xr:uid="{373247F4-D9AE-45C3-B1CE-2E38F0C41A75}"/>
    <cellStyle name="20% - Accent4 2 9" xfId="4529" xr:uid="{00000000-0005-0000-0000-000031020000}"/>
    <cellStyle name="20% - Accent4 2 9 2" xfId="12979" xr:uid="{65C5C8AD-9CF5-4D8B-9EAE-5F271E411109}"/>
    <cellStyle name="20% - Accent4 2 9 3" xfId="21413" xr:uid="{53082EE0-3BE8-4AA9-924C-4B11CAA36AB2}"/>
    <cellStyle name="20% - Accent4 3" xfId="30" xr:uid="{00000000-0005-0000-0000-000032020000}"/>
    <cellStyle name="20% - Accent4 3 10" xfId="17200" xr:uid="{C9649E6F-A80F-477A-82EE-883068514D6E}"/>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0ED9A63F-E5BE-439E-A618-AB603EB078ED}"/>
    <cellStyle name="20% - Accent4 3 2 2 2 2 3" xfId="23977" xr:uid="{D45A6A08-47E6-440A-9042-F43558E8DF89}"/>
    <cellStyle name="20% - Accent4 3 2 2 2 3" xfId="11325" xr:uid="{CD22119A-9BCD-4A37-B192-C28DEEB5FB1E}"/>
    <cellStyle name="20% - Accent4 3 2 2 2 4" xfId="19760" xr:uid="{AA74451E-AC20-4425-A232-DABBC6EA3B8E}"/>
    <cellStyle name="20% - Accent4 3 2 2 3" xfId="4948" xr:uid="{00000000-0005-0000-0000-000037020000}"/>
    <cellStyle name="20% - Accent4 3 2 2 3 2" xfId="13398" xr:uid="{5BCF920F-C69E-48AE-8C82-5DA1017CD860}"/>
    <cellStyle name="20% - Accent4 3 2 2 3 3" xfId="21832" xr:uid="{44445FF6-5771-469E-BA56-FB169209A31B}"/>
    <cellStyle name="20% - Accent4 3 2 2 4" xfId="9180" xr:uid="{E305BFA9-A055-4236-AB66-A4E8891895E8}"/>
    <cellStyle name="20% - Accent4 3 2 2 5" xfId="17615" xr:uid="{07160CA7-6353-4840-A49B-EBE48B137EF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D78C2B15-6DAD-4967-B360-79408FD90586}"/>
    <cellStyle name="20% - Accent4 3 2 3 2 2 3" xfId="24390" xr:uid="{B6B8B7B4-4260-4905-B359-381B2266A9B2}"/>
    <cellStyle name="20% - Accent4 3 2 3 2 3" xfId="11738" xr:uid="{363C1804-841E-45EC-8F45-C6716ECFC6AF}"/>
    <cellStyle name="20% - Accent4 3 2 3 2 4" xfId="20173" xr:uid="{9B78F10E-402E-4D8A-A079-803A226B7CE0}"/>
    <cellStyle name="20% - Accent4 3 2 3 3" xfId="5361" xr:uid="{00000000-0005-0000-0000-00003B020000}"/>
    <cellStyle name="20% - Accent4 3 2 3 3 2" xfId="13811" xr:uid="{7D2AA5D6-D33F-48F0-B0B7-D0929F15AE17}"/>
    <cellStyle name="20% - Accent4 3 2 3 3 3" xfId="22245" xr:uid="{D55DE9F3-E291-479D-ACB7-E6CBACC60554}"/>
    <cellStyle name="20% - Accent4 3 2 3 4" xfId="9593" xr:uid="{04381D7E-9A92-4386-B9AE-BA168671CDE4}"/>
    <cellStyle name="20% - Accent4 3 2 3 5" xfId="18028" xr:uid="{8608D81E-A52A-4587-A757-BBAFF81C8698}"/>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968E9DBC-DFE0-41A0-AB3F-60A7D6F0CE96}"/>
    <cellStyle name="20% - Accent4 3 2 4 2 2 3" xfId="24803" xr:uid="{67BA6AA2-6170-4709-8001-E1A2DE564F29}"/>
    <cellStyle name="20% - Accent4 3 2 4 2 3" xfId="12151" xr:uid="{F2E78FBB-AC7E-4693-AEE5-98C50A62E196}"/>
    <cellStyle name="20% - Accent4 3 2 4 2 4" xfId="20586" xr:uid="{D12426A4-DE3E-4D59-A68C-55A43C38F371}"/>
    <cellStyle name="20% - Accent4 3 2 4 3" xfId="5774" xr:uid="{00000000-0005-0000-0000-00003F020000}"/>
    <cellStyle name="20% - Accent4 3 2 4 3 2" xfId="14224" xr:uid="{2069C9A5-5BAE-484E-AAB9-069A6B382008}"/>
    <cellStyle name="20% - Accent4 3 2 4 3 3" xfId="22658" xr:uid="{D3C5FC7B-BF9F-4A44-9139-58FDFD3B3D28}"/>
    <cellStyle name="20% - Accent4 3 2 4 4" xfId="10006" xr:uid="{2A54BCB1-96BC-4C43-865B-14CE64B99D0F}"/>
    <cellStyle name="20% - Accent4 3 2 4 5" xfId="18441" xr:uid="{77D75C72-9CDF-4AF0-BE03-22D9F63F4EE1}"/>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535DD017-114B-4289-A185-4C97197F78B4}"/>
    <cellStyle name="20% - Accent4 3 2 5 2 2 3" xfId="25216" xr:uid="{DB7E9601-31A7-4BD6-BB79-13217315476C}"/>
    <cellStyle name="20% - Accent4 3 2 5 2 3" xfId="12564" xr:uid="{AE716ADF-87CB-4D13-A565-9B55F1AB0504}"/>
    <cellStyle name="20% - Accent4 3 2 5 2 4" xfId="20999" xr:uid="{B606CB3A-73D8-4409-AFEE-9C6274C4BFB6}"/>
    <cellStyle name="20% - Accent4 3 2 5 3" xfId="6187" xr:uid="{00000000-0005-0000-0000-000043020000}"/>
    <cellStyle name="20% - Accent4 3 2 5 3 2" xfId="14637" xr:uid="{91752776-3E87-41D9-965B-1E3DD6F4377E}"/>
    <cellStyle name="20% - Accent4 3 2 5 3 3" xfId="23071" xr:uid="{2BBB3B1F-63B9-4CCD-8594-A58B8F32C65C}"/>
    <cellStyle name="20% - Accent4 3 2 5 4" xfId="10419" xr:uid="{E20EC943-D815-4C52-B8F7-4F662A3812E2}"/>
    <cellStyle name="20% - Accent4 3 2 5 5" xfId="18854" xr:uid="{03BB622E-521C-49F5-8CE9-65ED1E52596F}"/>
    <cellStyle name="20% - Accent4 3 2 6" xfId="2294" xr:uid="{00000000-0005-0000-0000-000044020000}"/>
    <cellStyle name="20% - Accent4 3 2 6 2" xfId="6600" xr:uid="{00000000-0005-0000-0000-000045020000}"/>
    <cellStyle name="20% - Accent4 3 2 6 2 2" xfId="15050" xr:uid="{53BB33F8-8E71-4017-8AD6-1D215F6190C1}"/>
    <cellStyle name="20% - Accent4 3 2 6 2 3" xfId="23484" xr:uid="{63BC24E2-243B-4400-B6C7-57D939954374}"/>
    <cellStyle name="20% - Accent4 3 2 6 3" xfId="10832" xr:uid="{2F2CA2C1-96A3-4D7E-9DB3-FCF7505B7582}"/>
    <cellStyle name="20% - Accent4 3 2 6 4" xfId="19267" xr:uid="{643888EA-AA7E-4B1F-BC5D-7FA459BBF390}"/>
    <cellStyle name="20% - Accent4 3 2 7" xfId="4534" xr:uid="{00000000-0005-0000-0000-000046020000}"/>
    <cellStyle name="20% - Accent4 3 2 7 2" xfId="12984" xr:uid="{55036412-60AF-4577-A5C4-813576916159}"/>
    <cellStyle name="20% - Accent4 3 2 7 3" xfId="21418" xr:uid="{BFED6AF5-A341-49AE-9561-EA0CCB062714}"/>
    <cellStyle name="20% - Accent4 3 2 8" xfId="8766" xr:uid="{E8B6668C-E894-40BC-A02B-8C269E5BE5B7}"/>
    <cellStyle name="20% - Accent4 3 2 9" xfId="17201" xr:uid="{AA62253E-2D4F-4BB0-A980-0F10C7E7B2A2}"/>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5BFA5E21-685C-4017-ABC4-2D9A28186259}"/>
    <cellStyle name="20% - Accent4 3 3 2 2 3" xfId="23976" xr:uid="{00437980-8ED2-4328-98F0-5A03C65EF132}"/>
    <cellStyle name="20% - Accent4 3 3 2 3" xfId="11324" xr:uid="{D4F76D9F-B55A-4551-8617-F803D6D2D492}"/>
    <cellStyle name="20% - Accent4 3 3 2 4" xfId="19759" xr:uid="{2DBE6D03-5EDD-4716-882C-B1A781DF9A65}"/>
    <cellStyle name="20% - Accent4 3 3 3" xfId="4947" xr:uid="{00000000-0005-0000-0000-00004A020000}"/>
    <cellStyle name="20% - Accent4 3 3 3 2" xfId="13397" xr:uid="{9C015E68-C5B3-4688-81A7-B75C3D87BDE1}"/>
    <cellStyle name="20% - Accent4 3 3 3 3" xfId="21831" xr:uid="{2834C420-AE06-4404-B8F0-BB7E7D754922}"/>
    <cellStyle name="20% - Accent4 3 3 4" xfId="9179" xr:uid="{CDAF76DE-CB45-458C-A0B1-67460C373072}"/>
    <cellStyle name="20% - Accent4 3 3 5" xfId="17614" xr:uid="{835F049A-DE15-4A45-821C-648A31D90338}"/>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00C1C3B5-36B8-4AE5-8844-B574CA7CEDC2}"/>
    <cellStyle name="20% - Accent4 3 4 2 2 3" xfId="24389" xr:uid="{D5028C75-0F61-4BC5-A514-AD9822744A09}"/>
    <cellStyle name="20% - Accent4 3 4 2 3" xfId="11737" xr:uid="{EFFD6856-1C09-4EDF-8D38-D571132B6C27}"/>
    <cellStyle name="20% - Accent4 3 4 2 4" xfId="20172" xr:uid="{AB7048A0-AA96-44BE-82D2-9104F716DCFD}"/>
    <cellStyle name="20% - Accent4 3 4 3" xfId="5360" xr:uid="{00000000-0005-0000-0000-00004E020000}"/>
    <cellStyle name="20% - Accent4 3 4 3 2" xfId="13810" xr:uid="{FFDD718D-788A-4873-B9F9-A7B58D290AB0}"/>
    <cellStyle name="20% - Accent4 3 4 3 3" xfId="22244" xr:uid="{041AC0FB-A08E-4623-B2C2-FDD3FC32C042}"/>
    <cellStyle name="20% - Accent4 3 4 4" xfId="9592" xr:uid="{8DA90D70-205B-4174-967D-5629D194F913}"/>
    <cellStyle name="20% - Accent4 3 4 5" xfId="18027" xr:uid="{34311236-1C32-4B39-B6C2-567914446170}"/>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3B136033-2246-429E-B255-91EFD79FB423}"/>
    <cellStyle name="20% - Accent4 3 5 2 2 3" xfId="24802" xr:uid="{3AEED31F-5C8D-44A0-8B1C-9766979F3A19}"/>
    <cellStyle name="20% - Accent4 3 5 2 3" xfId="12150" xr:uid="{F83EC5A8-F2A7-43E0-BABC-FCECE7EC46A1}"/>
    <cellStyle name="20% - Accent4 3 5 2 4" xfId="20585" xr:uid="{5CC38ABE-316C-44E2-80C6-54D12F80684E}"/>
    <cellStyle name="20% - Accent4 3 5 3" xfId="5773" xr:uid="{00000000-0005-0000-0000-000052020000}"/>
    <cellStyle name="20% - Accent4 3 5 3 2" xfId="14223" xr:uid="{89FE8521-6308-49D4-B2FE-D6A2B8014089}"/>
    <cellStyle name="20% - Accent4 3 5 3 3" xfId="22657" xr:uid="{29782977-86E5-4BD0-82FE-8325469F25F5}"/>
    <cellStyle name="20% - Accent4 3 5 4" xfId="10005" xr:uid="{C150E686-2F1D-4D13-A92E-C258EF057C68}"/>
    <cellStyle name="20% - Accent4 3 5 5" xfId="18440" xr:uid="{1AC649A0-950E-4440-BC90-372345ADBBF8}"/>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03CD528E-E71B-4135-9951-61ED7ADE4C8C}"/>
    <cellStyle name="20% - Accent4 3 6 2 2 3" xfId="25215" xr:uid="{5D852CE3-8C2B-4068-979E-951C88ABDB44}"/>
    <cellStyle name="20% - Accent4 3 6 2 3" xfId="12563" xr:uid="{B7B38EAD-EB71-4404-ADF0-403F32FB6FE1}"/>
    <cellStyle name="20% - Accent4 3 6 2 4" xfId="20998" xr:uid="{6B087508-DC04-4AD8-A335-35335695DF35}"/>
    <cellStyle name="20% - Accent4 3 6 3" xfId="6186" xr:uid="{00000000-0005-0000-0000-000056020000}"/>
    <cellStyle name="20% - Accent4 3 6 3 2" xfId="14636" xr:uid="{7A2F247F-2902-4567-BEB9-AE977F34B77C}"/>
    <cellStyle name="20% - Accent4 3 6 3 3" xfId="23070" xr:uid="{2F3E50A1-D8B0-4BD2-9DAF-4B9A03A15AE0}"/>
    <cellStyle name="20% - Accent4 3 6 4" xfId="10418" xr:uid="{709440E3-C72E-483C-8D29-C80FFEB0649B}"/>
    <cellStyle name="20% - Accent4 3 6 5" xfId="18853" xr:uid="{56FBA611-019C-4507-94FD-81BB3A5ECF69}"/>
    <cellStyle name="20% - Accent4 3 7" xfId="2293" xr:uid="{00000000-0005-0000-0000-000057020000}"/>
    <cellStyle name="20% - Accent4 3 7 2" xfId="6599" xr:uid="{00000000-0005-0000-0000-000058020000}"/>
    <cellStyle name="20% - Accent4 3 7 2 2" xfId="15049" xr:uid="{0CECE292-3190-4490-89F4-0E8F71812670}"/>
    <cellStyle name="20% - Accent4 3 7 2 3" xfId="23483" xr:uid="{B35171C9-ADCE-4D50-BEF2-0A9AD84D9961}"/>
    <cellStyle name="20% - Accent4 3 7 3" xfId="10831" xr:uid="{B1BF6845-297F-46A0-B2F7-53F7D08C5918}"/>
    <cellStyle name="20% - Accent4 3 7 4" xfId="19266" xr:uid="{6AF42AE1-2711-467F-B2BF-B73882CB1EE3}"/>
    <cellStyle name="20% - Accent4 3 8" xfId="4533" xr:uid="{00000000-0005-0000-0000-000059020000}"/>
    <cellStyle name="20% - Accent4 3 8 2" xfId="12983" xr:uid="{73471BBD-88EB-4650-BE1A-10A5290622DC}"/>
    <cellStyle name="20% - Accent4 3 8 3" xfId="21417" xr:uid="{4E3DA267-C070-4C95-A98F-0133F5BAF0FB}"/>
    <cellStyle name="20% - Accent4 3 9" xfId="8765" xr:uid="{4A878591-A112-4F1A-820E-B9AF0229C873}"/>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4A1EE6B5-63D3-4BC8-8E73-7E278C576C1A}"/>
    <cellStyle name="20% - Accent4 4 2 2 2 3" xfId="23978" xr:uid="{9F4A304B-8B96-4272-BEB7-CC4B4C5E15F7}"/>
    <cellStyle name="20% - Accent4 4 2 2 3" xfId="11326" xr:uid="{42529FB3-BBEA-4CC1-A4A8-776212194029}"/>
    <cellStyle name="20% - Accent4 4 2 2 4" xfId="19761" xr:uid="{7565EEA3-6164-4DDF-B290-7A938C9C3F3E}"/>
    <cellStyle name="20% - Accent4 4 2 3" xfId="4949" xr:uid="{00000000-0005-0000-0000-00005E020000}"/>
    <cellStyle name="20% - Accent4 4 2 3 2" xfId="13399" xr:uid="{CF0D7F37-00A9-48A7-82B8-53C7C558D1D9}"/>
    <cellStyle name="20% - Accent4 4 2 3 3" xfId="21833" xr:uid="{8C786768-DA54-4577-9FD0-0F54B418F612}"/>
    <cellStyle name="20% - Accent4 4 2 4" xfId="9181" xr:uid="{BE5405DE-7F7B-4904-AFC6-AD6EA584139E}"/>
    <cellStyle name="20% - Accent4 4 2 5" xfId="17616" xr:uid="{7B436DD9-D6BD-4ACF-8D78-75205EA79E1E}"/>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D33AF7C1-A7F0-4DBC-A757-C99015FCBB8F}"/>
    <cellStyle name="20% - Accent4 4 3 2 2 3" xfId="24391" xr:uid="{6A75FB94-1991-49C9-8C91-DE6AD83D5E3D}"/>
    <cellStyle name="20% - Accent4 4 3 2 3" xfId="11739" xr:uid="{ECCDD9F4-2357-45A3-AF67-B911B6DEEB05}"/>
    <cellStyle name="20% - Accent4 4 3 2 4" xfId="20174" xr:uid="{37F4323A-DFB9-4431-BB87-493AA6692D0D}"/>
    <cellStyle name="20% - Accent4 4 3 3" xfId="5362" xr:uid="{00000000-0005-0000-0000-000062020000}"/>
    <cellStyle name="20% - Accent4 4 3 3 2" xfId="13812" xr:uid="{AC1751F5-BB73-4067-B2C5-D8C2D70346A7}"/>
    <cellStyle name="20% - Accent4 4 3 3 3" xfId="22246" xr:uid="{BE866E09-87A4-418F-BDDA-8101C5A10301}"/>
    <cellStyle name="20% - Accent4 4 3 4" xfId="9594" xr:uid="{A85BC8C4-244E-46A4-A03D-B7D99892D0DA}"/>
    <cellStyle name="20% - Accent4 4 3 5" xfId="18029" xr:uid="{18E3395F-61FE-47E3-89FD-5EC40434E80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40F73552-4CB5-4BE9-AB53-9133F34B20EA}"/>
    <cellStyle name="20% - Accent4 4 4 2 2 3" xfId="24804" xr:uid="{1F590D52-01DB-44A0-892F-9D6EB43D0B6B}"/>
    <cellStyle name="20% - Accent4 4 4 2 3" xfId="12152" xr:uid="{B177E6FC-FC8D-4344-BFB1-9B65D3DA8B7B}"/>
    <cellStyle name="20% - Accent4 4 4 2 4" xfId="20587" xr:uid="{0B14A351-52ED-46E0-ACC3-0ED7D49CC8C7}"/>
    <cellStyle name="20% - Accent4 4 4 3" xfId="5775" xr:uid="{00000000-0005-0000-0000-000066020000}"/>
    <cellStyle name="20% - Accent4 4 4 3 2" xfId="14225" xr:uid="{A10D1F1F-4A9E-4D9F-9938-9CD788CDB3B2}"/>
    <cellStyle name="20% - Accent4 4 4 3 3" xfId="22659" xr:uid="{6C2B6405-2E14-46A3-AB79-79115E7FA5A3}"/>
    <cellStyle name="20% - Accent4 4 4 4" xfId="10007" xr:uid="{79E9E803-C309-433B-B84A-8D658FE0AF01}"/>
    <cellStyle name="20% - Accent4 4 4 5" xfId="18442" xr:uid="{4D346151-DF3C-41BB-BCD0-E85E05DAF5B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00E405A8-9DD1-4DAE-B332-9B0326BC3F60}"/>
    <cellStyle name="20% - Accent4 4 5 2 2 3" xfId="25217" xr:uid="{5C7C4FD8-7A68-4091-91B5-96082726A2CE}"/>
    <cellStyle name="20% - Accent4 4 5 2 3" xfId="12565" xr:uid="{D1117AE6-D175-4587-A1BE-1E77F2ABAE47}"/>
    <cellStyle name="20% - Accent4 4 5 2 4" xfId="21000" xr:uid="{13FC32D8-9524-456C-A5CA-443460572A70}"/>
    <cellStyle name="20% - Accent4 4 5 3" xfId="6188" xr:uid="{00000000-0005-0000-0000-00006A020000}"/>
    <cellStyle name="20% - Accent4 4 5 3 2" xfId="14638" xr:uid="{802BAC8B-06C0-4712-B4DF-50F5F650F920}"/>
    <cellStyle name="20% - Accent4 4 5 3 3" xfId="23072" xr:uid="{8E4A2699-376B-413D-9739-B3BFF0F609A4}"/>
    <cellStyle name="20% - Accent4 4 5 4" xfId="10420" xr:uid="{EE044AAE-6433-410D-956F-E1EA09CD53E9}"/>
    <cellStyle name="20% - Accent4 4 5 5" xfId="18855" xr:uid="{B0A88A9E-05D0-4329-A28A-1F35E5C3FFB7}"/>
    <cellStyle name="20% - Accent4 4 6" xfId="2295" xr:uid="{00000000-0005-0000-0000-00006B020000}"/>
    <cellStyle name="20% - Accent4 4 6 2" xfId="6601" xr:uid="{00000000-0005-0000-0000-00006C020000}"/>
    <cellStyle name="20% - Accent4 4 6 2 2" xfId="15051" xr:uid="{0C2DAE57-4ADE-49A4-8CD3-E15E07DCD9C7}"/>
    <cellStyle name="20% - Accent4 4 6 2 3" xfId="23485" xr:uid="{150E5913-C5FF-4DCD-98C3-44EA9D850AE9}"/>
    <cellStyle name="20% - Accent4 4 6 3" xfId="10833" xr:uid="{B82BC1F9-D5DB-4BD9-935B-00E497058FB0}"/>
    <cellStyle name="20% - Accent4 4 6 4" xfId="19268" xr:uid="{27238F3A-7F90-4AA9-B71E-EC04FF97C0F7}"/>
    <cellStyle name="20% - Accent4 4 7" xfId="4535" xr:uid="{00000000-0005-0000-0000-00006D020000}"/>
    <cellStyle name="20% - Accent4 4 7 2" xfId="12985" xr:uid="{0208E9DF-D762-4AF9-B2BD-5581C44B09F4}"/>
    <cellStyle name="20% - Accent4 4 7 3" xfId="21419" xr:uid="{A76C961C-F226-40B6-B3D7-C0D2CFCC0570}"/>
    <cellStyle name="20% - Accent4 4 8" xfId="8767" xr:uid="{B1B40AEB-F811-445B-AF63-5FF194FEE05D}"/>
    <cellStyle name="20% - Accent4 4 9" xfId="17202" xr:uid="{B17887A9-7281-46DB-BBF3-B4616D23873E}"/>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7FE3A331-FBB4-4048-95EB-EAC630F1746A}"/>
    <cellStyle name="20% - Accent4 5 2 2 3" xfId="23971" xr:uid="{8D6ABCA4-EC96-4D14-BAA4-8684CDF42A64}"/>
    <cellStyle name="20% - Accent4 5 2 3" xfId="11319" xr:uid="{5F207912-7702-4B8C-A045-3653F6F6D72E}"/>
    <cellStyle name="20% - Accent4 5 2 4" xfId="19754" xr:uid="{73552751-F60B-44C6-955B-E2BB5666E84C}"/>
    <cellStyle name="20% - Accent4 5 3" xfId="4942" xr:uid="{00000000-0005-0000-0000-000071020000}"/>
    <cellStyle name="20% - Accent4 5 3 2" xfId="13392" xr:uid="{81C563DA-C558-42B2-9E75-21C45A544951}"/>
    <cellStyle name="20% - Accent4 5 3 3" xfId="21826" xr:uid="{EFE98F21-E448-449A-93FA-D3F53EBA51AA}"/>
    <cellStyle name="20% - Accent4 5 4" xfId="9174" xr:uid="{35F65EA0-9FC3-4140-B346-3FC0CD269EEB}"/>
    <cellStyle name="20% - Accent4 5 5" xfId="17609" xr:uid="{F2BFE54D-6380-4F79-874E-C87D081F9DE2}"/>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264FC78A-0D1F-4F60-B46B-AD00071045B9}"/>
    <cellStyle name="20% - Accent4 6 2 2 3" xfId="24384" xr:uid="{7427CCF8-8F51-4E6E-B071-208D37AD11B1}"/>
    <cellStyle name="20% - Accent4 6 2 3" xfId="11732" xr:uid="{E59D1257-EE07-4EFA-9CF0-EC030A97E99A}"/>
    <cellStyle name="20% - Accent4 6 2 4" xfId="20167" xr:uid="{F244270C-0039-48BA-98C2-1D0E87927BCB}"/>
    <cellStyle name="20% - Accent4 6 3" xfId="5355" xr:uid="{00000000-0005-0000-0000-000075020000}"/>
    <cellStyle name="20% - Accent4 6 3 2" xfId="13805" xr:uid="{A19FD09D-823A-43DB-866D-5E08D09451DE}"/>
    <cellStyle name="20% - Accent4 6 3 3" xfId="22239" xr:uid="{B9B6C230-82F2-4017-A85E-3D01F98A9C11}"/>
    <cellStyle name="20% - Accent4 6 4" xfId="9587" xr:uid="{047721D9-E8E0-4C33-9F7A-5C04F9C00723}"/>
    <cellStyle name="20% - Accent4 6 5" xfId="18022" xr:uid="{C15E7F43-47CD-4855-BE76-2A6F049C1DE5}"/>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E546F8C3-23EC-4C7B-A55A-C6B04AD584C3}"/>
    <cellStyle name="20% - Accent4 7 2 2 3" xfId="24797" xr:uid="{830544B9-5D90-4A9B-80B0-FA1DB89A4F02}"/>
    <cellStyle name="20% - Accent4 7 2 3" xfId="12145" xr:uid="{4E4A6A3E-ADE0-44BA-9EFB-9D9161A01FB6}"/>
    <cellStyle name="20% - Accent4 7 2 4" xfId="20580" xr:uid="{947E897C-B2A0-45A6-896E-0A6E94A603E3}"/>
    <cellStyle name="20% - Accent4 7 3" xfId="5768" xr:uid="{00000000-0005-0000-0000-000079020000}"/>
    <cellStyle name="20% - Accent4 7 3 2" xfId="14218" xr:uid="{7C5A73A5-39D3-4423-BDD2-BC4D35DFE46C}"/>
    <cellStyle name="20% - Accent4 7 3 3" xfId="22652" xr:uid="{97251938-D02A-4372-A0E2-458A5DA5729A}"/>
    <cellStyle name="20% - Accent4 7 4" xfId="10000" xr:uid="{F8AA4A5E-984B-451D-A3EA-5060F69EF1B5}"/>
    <cellStyle name="20% - Accent4 7 5" xfId="18435" xr:uid="{1431C762-D49C-46BC-AE2B-F2B0E7B626CA}"/>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48BAFD46-7D8A-4709-A47B-058C0D9EBCE1}"/>
    <cellStyle name="20% - Accent4 8 2 2 3" xfId="25210" xr:uid="{558CD362-9271-40B8-8CA1-4F8AB8B8E0E1}"/>
    <cellStyle name="20% - Accent4 8 2 3" xfId="12558" xr:uid="{E7BC9851-92D4-4BAC-B99E-011DB6F59293}"/>
    <cellStyle name="20% - Accent4 8 2 4" xfId="20993" xr:uid="{CC00FF93-2208-4299-90C3-8852750B2BBD}"/>
    <cellStyle name="20% - Accent4 8 3" xfId="6181" xr:uid="{00000000-0005-0000-0000-00007D020000}"/>
    <cellStyle name="20% - Accent4 8 3 2" xfId="14631" xr:uid="{2BDAC4C1-E0CF-4DB8-BF51-69754CD56EA4}"/>
    <cellStyle name="20% - Accent4 8 3 3" xfId="23065" xr:uid="{E1554F0A-31F6-49E5-8DCB-6F7FE6BDFDDA}"/>
    <cellStyle name="20% - Accent4 8 4" xfId="10413" xr:uid="{1D46F3EF-50CF-49A5-B8E4-7889602FF448}"/>
    <cellStyle name="20% - Accent4 8 5" xfId="18848" xr:uid="{BD2A0F56-0A96-4ABA-8421-2158F1AA0F8E}"/>
    <cellStyle name="20% - Accent4 9" xfId="2288" xr:uid="{00000000-0005-0000-0000-00007E020000}"/>
    <cellStyle name="20% - Accent4 9 2" xfId="6594" xr:uid="{00000000-0005-0000-0000-00007F020000}"/>
    <cellStyle name="20% - Accent4 9 2 2" xfId="15044" xr:uid="{2D3E2BCF-F52F-49AC-BC46-3F62A9EFF7C0}"/>
    <cellStyle name="20% - Accent4 9 2 3" xfId="23478" xr:uid="{8CF39159-A07F-4D6D-BE8F-DE9E6FF0294B}"/>
    <cellStyle name="20% - Accent4 9 3" xfId="10826" xr:uid="{AD9E7D72-2F3C-423D-85B6-E54400501A2C}"/>
    <cellStyle name="20% - Accent4 9 4" xfId="19261" xr:uid="{F91CAF4E-092C-42D5-A300-F014491F1775}"/>
    <cellStyle name="20% - Accent5" xfId="33" builtinId="46" customBuiltin="1"/>
    <cellStyle name="20% - Accent5 10" xfId="4536" xr:uid="{00000000-0005-0000-0000-000081020000}"/>
    <cellStyle name="20% - Accent5 10 2" xfId="12986" xr:uid="{CC9CEF85-F94F-4892-89C7-23E7C1ECA11A}"/>
    <cellStyle name="20% - Accent5 10 3" xfId="21420" xr:uid="{C4FE99A0-DA8B-4923-90F0-4F7098C8D20D}"/>
    <cellStyle name="20% - Accent5 11" xfId="8768" xr:uid="{CD89A8FA-B5E9-432A-BD5F-2C2A78407EF6}"/>
    <cellStyle name="20% - Accent5 12" xfId="17203" xr:uid="{D67400AC-48C5-4ACE-B893-6A32D34ED406}"/>
    <cellStyle name="20% - Accent5 2" xfId="34" xr:uid="{00000000-0005-0000-0000-000082020000}"/>
    <cellStyle name="20% - Accent5 2 10" xfId="8769" xr:uid="{4E477273-3D06-46A6-8BC4-47352F3F714F}"/>
    <cellStyle name="20% - Accent5 2 11" xfId="17204" xr:uid="{13C7D5A1-3D95-4862-8441-D5E7E30F57A4}"/>
    <cellStyle name="20% - Accent5 2 2" xfId="35" xr:uid="{00000000-0005-0000-0000-000083020000}"/>
    <cellStyle name="20% - Accent5 2 2 10" xfId="17205" xr:uid="{05B312FD-12BF-4590-8A38-2F476063700D}"/>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5FB66034-BC92-4D81-B079-1DDC4740E83A}"/>
    <cellStyle name="20% - Accent5 2 2 2 2 2 2 3" xfId="23982" xr:uid="{1BB79FBC-8B2C-43F1-A6CC-EB6DD3FEC517}"/>
    <cellStyle name="20% - Accent5 2 2 2 2 2 3" xfId="11330" xr:uid="{03D0E298-1C75-4BF0-B786-5AEA4BACDD37}"/>
    <cellStyle name="20% - Accent5 2 2 2 2 2 4" xfId="19765" xr:uid="{81BA0088-E068-44C6-A7A9-CE67589384B8}"/>
    <cellStyle name="20% - Accent5 2 2 2 2 3" xfId="4953" xr:uid="{00000000-0005-0000-0000-000088020000}"/>
    <cellStyle name="20% - Accent5 2 2 2 2 3 2" xfId="13403" xr:uid="{7449945B-064E-4F3F-8239-DD237157B2D7}"/>
    <cellStyle name="20% - Accent5 2 2 2 2 3 3" xfId="21837" xr:uid="{83C82E29-C86D-4B7A-8469-C88BBF0AB1F1}"/>
    <cellStyle name="20% - Accent5 2 2 2 2 4" xfId="9185" xr:uid="{14B5010B-B741-42EB-A006-C61FDEAFD2D2}"/>
    <cellStyle name="20% - Accent5 2 2 2 2 5" xfId="17620" xr:uid="{B4BD5C95-707C-44E8-B7A9-C3F360F0C974}"/>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D29103BE-82DB-4B5C-8E4A-184FB4C584AF}"/>
    <cellStyle name="20% - Accent5 2 2 2 3 2 2 3" xfId="24395" xr:uid="{33258AAD-1711-4E37-AB60-C0CB899041A6}"/>
    <cellStyle name="20% - Accent5 2 2 2 3 2 3" xfId="11743" xr:uid="{0B2902CF-563B-4752-BCD3-A184E34EEA6F}"/>
    <cellStyle name="20% - Accent5 2 2 2 3 2 4" xfId="20178" xr:uid="{73312B42-A54F-4E4B-9D0E-AEDC0062A92B}"/>
    <cellStyle name="20% - Accent5 2 2 2 3 3" xfId="5366" xr:uid="{00000000-0005-0000-0000-00008C020000}"/>
    <cellStyle name="20% - Accent5 2 2 2 3 3 2" xfId="13816" xr:uid="{F7D6BEE9-D720-41D0-AD8B-BD900DDE97A3}"/>
    <cellStyle name="20% - Accent5 2 2 2 3 3 3" xfId="22250" xr:uid="{470D954B-08C9-4AC8-BCE4-4B835D5D53E6}"/>
    <cellStyle name="20% - Accent5 2 2 2 3 4" xfId="9598" xr:uid="{2B49F9D5-53FC-4AE8-9209-91B83C1699B0}"/>
    <cellStyle name="20% - Accent5 2 2 2 3 5" xfId="18033" xr:uid="{9EAED2CC-1C4A-4A4C-852F-C7C952EDE69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392D14CA-5C77-49AB-A7A5-5F7F35E33037}"/>
    <cellStyle name="20% - Accent5 2 2 2 4 2 2 3" xfId="24808" xr:uid="{12420A5D-6876-4B23-B697-68CBAABED8D6}"/>
    <cellStyle name="20% - Accent5 2 2 2 4 2 3" xfId="12156" xr:uid="{CD002F8A-D1A9-4E08-A8B1-4738E760D536}"/>
    <cellStyle name="20% - Accent5 2 2 2 4 2 4" xfId="20591" xr:uid="{6E0B5019-171C-48AF-8B2C-BB81EA893115}"/>
    <cellStyle name="20% - Accent5 2 2 2 4 3" xfId="5779" xr:uid="{00000000-0005-0000-0000-000090020000}"/>
    <cellStyle name="20% - Accent5 2 2 2 4 3 2" xfId="14229" xr:uid="{4172D947-4D37-44BB-9B9D-7E5B364CF6E8}"/>
    <cellStyle name="20% - Accent5 2 2 2 4 3 3" xfId="22663" xr:uid="{95AC0B85-18CD-4863-BC71-016A34FA6FDE}"/>
    <cellStyle name="20% - Accent5 2 2 2 4 4" xfId="10011" xr:uid="{80C0184E-EA80-48B7-A47A-BEED0F096E55}"/>
    <cellStyle name="20% - Accent5 2 2 2 4 5" xfId="18446" xr:uid="{FFE36A70-27C3-4AE5-AFDD-E515B3F0358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8ECAB0E1-66B7-43FF-8684-9F32BF6CFC57}"/>
    <cellStyle name="20% - Accent5 2 2 2 5 2 2 3" xfId="25221" xr:uid="{16A7D764-DBF8-4B56-A08F-5EE04A907C47}"/>
    <cellStyle name="20% - Accent5 2 2 2 5 2 3" xfId="12569" xr:uid="{7D2995CE-BF50-4819-9D47-086F338EB712}"/>
    <cellStyle name="20% - Accent5 2 2 2 5 2 4" xfId="21004" xr:uid="{4C12FD8D-BE46-4F88-AECA-F738AC8FE02C}"/>
    <cellStyle name="20% - Accent5 2 2 2 5 3" xfId="6192" xr:uid="{00000000-0005-0000-0000-000094020000}"/>
    <cellStyle name="20% - Accent5 2 2 2 5 3 2" xfId="14642" xr:uid="{7AE6A1DC-8358-4A68-B073-47BEDF78D0DA}"/>
    <cellStyle name="20% - Accent5 2 2 2 5 3 3" xfId="23076" xr:uid="{26CC04B9-7466-462D-B546-9596DCA4F7B9}"/>
    <cellStyle name="20% - Accent5 2 2 2 5 4" xfId="10424" xr:uid="{008D5F85-FB32-4007-A166-3AD94AE92757}"/>
    <cellStyle name="20% - Accent5 2 2 2 5 5" xfId="18859" xr:uid="{CF47FBC5-0459-4678-85E8-D3F073F52AC3}"/>
    <cellStyle name="20% - Accent5 2 2 2 6" xfId="2299" xr:uid="{00000000-0005-0000-0000-000095020000}"/>
    <cellStyle name="20% - Accent5 2 2 2 6 2" xfId="6605" xr:uid="{00000000-0005-0000-0000-000096020000}"/>
    <cellStyle name="20% - Accent5 2 2 2 6 2 2" xfId="15055" xr:uid="{D78F0EF2-17E8-4266-B8A0-C87ADEDE1D4F}"/>
    <cellStyle name="20% - Accent5 2 2 2 6 2 3" xfId="23489" xr:uid="{7B81C0DF-9E69-4B23-84C5-A8F69CDCFEBE}"/>
    <cellStyle name="20% - Accent5 2 2 2 6 3" xfId="10837" xr:uid="{B6E7120F-4CAE-4843-B3A1-4810E54E2A60}"/>
    <cellStyle name="20% - Accent5 2 2 2 6 4" xfId="19272" xr:uid="{0EF4FA9A-2265-4F12-A528-EB1B690B0F8D}"/>
    <cellStyle name="20% - Accent5 2 2 2 7" xfId="4539" xr:uid="{00000000-0005-0000-0000-000097020000}"/>
    <cellStyle name="20% - Accent5 2 2 2 7 2" xfId="12989" xr:uid="{2469F0D5-76E0-41E2-A9EE-485574025E3C}"/>
    <cellStyle name="20% - Accent5 2 2 2 7 3" xfId="21423" xr:uid="{A9A1960E-B8BB-478D-9CF4-D4B28EC41D2F}"/>
    <cellStyle name="20% - Accent5 2 2 2 8" xfId="8771" xr:uid="{7C2B57B5-03C0-469D-92E5-637C0D3E95D6}"/>
    <cellStyle name="20% - Accent5 2 2 2 9" xfId="17206" xr:uid="{B936AFC0-4E77-43D1-87FB-E18F16E381E8}"/>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515ACA2E-C2D6-4BF1-BF00-DE9782932999}"/>
    <cellStyle name="20% - Accent5 2 2 3 2 2 3" xfId="23981" xr:uid="{D2E68C46-BE7F-42A8-9661-635CAB78DF0C}"/>
    <cellStyle name="20% - Accent5 2 2 3 2 3" xfId="11329" xr:uid="{218A0E01-6548-41BC-A3E8-5B150E65F82F}"/>
    <cellStyle name="20% - Accent5 2 2 3 2 4" xfId="19764" xr:uid="{193FBDE9-65F0-48D7-96DA-23B071D18157}"/>
    <cellStyle name="20% - Accent5 2 2 3 3" xfId="4952" xr:uid="{00000000-0005-0000-0000-00009B020000}"/>
    <cellStyle name="20% - Accent5 2 2 3 3 2" xfId="13402" xr:uid="{81BF652B-77B8-4D68-938B-8E68DD50F4C8}"/>
    <cellStyle name="20% - Accent5 2 2 3 3 3" xfId="21836" xr:uid="{6BCC3748-BDD9-4314-AA5E-5F4617B781E2}"/>
    <cellStyle name="20% - Accent5 2 2 3 4" xfId="9184" xr:uid="{F318395D-2537-4C6E-B5CD-15AFD2212D4C}"/>
    <cellStyle name="20% - Accent5 2 2 3 5" xfId="17619" xr:uid="{74528493-F72E-4C58-8BCB-23AEB9EB4935}"/>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19A27FCE-5D36-4208-8B7B-18D3035F7B53}"/>
    <cellStyle name="20% - Accent5 2 2 4 2 2 3" xfId="24394" xr:uid="{CEDEFE8A-C773-4FCB-A3E7-1B5DE085495F}"/>
    <cellStyle name="20% - Accent5 2 2 4 2 3" xfId="11742" xr:uid="{5E6F3243-589B-4624-A306-F93FDFDCBAE0}"/>
    <cellStyle name="20% - Accent5 2 2 4 2 4" xfId="20177" xr:uid="{561E6F0A-44E7-4EAE-863B-9FFE2D8F1530}"/>
    <cellStyle name="20% - Accent5 2 2 4 3" xfId="5365" xr:uid="{00000000-0005-0000-0000-00009F020000}"/>
    <cellStyle name="20% - Accent5 2 2 4 3 2" xfId="13815" xr:uid="{545E7DDC-F626-4475-BD7B-1FE01AB273C6}"/>
    <cellStyle name="20% - Accent5 2 2 4 3 3" xfId="22249" xr:uid="{5A884CB0-B7E9-47BC-B734-33AA2737BC72}"/>
    <cellStyle name="20% - Accent5 2 2 4 4" xfId="9597" xr:uid="{C024E2A0-F207-481C-840A-DB1263FB7CB1}"/>
    <cellStyle name="20% - Accent5 2 2 4 5" xfId="18032" xr:uid="{7B31C6A7-6907-48B9-B907-DC69E3B7C057}"/>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E1A93066-343B-44EB-A5A7-40E24E1A8B80}"/>
    <cellStyle name="20% - Accent5 2 2 5 2 2 3" xfId="24807" xr:uid="{51056641-4DEC-4D34-9F0C-7155552DB5AF}"/>
    <cellStyle name="20% - Accent5 2 2 5 2 3" xfId="12155" xr:uid="{C1A3D7BE-714D-4190-8621-7AF6063D5DD2}"/>
    <cellStyle name="20% - Accent5 2 2 5 2 4" xfId="20590" xr:uid="{9565AFD4-237B-4E89-B469-76CFBD440CD5}"/>
    <cellStyle name="20% - Accent5 2 2 5 3" xfId="5778" xr:uid="{00000000-0005-0000-0000-0000A3020000}"/>
    <cellStyle name="20% - Accent5 2 2 5 3 2" xfId="14228" xr:uid="{4891901C-A141-4AD1-A40A-DCA989089DAC}"/>
    <cellStyle name="20% - Accent5 2 2 5 3 3" xfId="22662" xr:uid="{9E1B0F61-9D9B-4055-A16D-82DA3D32C5B8}"/>
    <cellStyle name="20% - Accent5 2 2 5 4" xfId="10010" xr:uid="{F602B1BB-A246-4EBA-8990-2E1BB2B74391}"/>
    <cellStyle name="20% - Accent5 2 2 5 5" xfId="18445" xr:uid="{D58FF6E8-FB14-4AF7-9ED1-21B7B9CD399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9E7898BF-4FBD-4555-BF3D-637DEA524C31}"/>
    <cellStyle name="20% - Accent5 2 2 6 2 2 3" xfId="25220" xr:uid="{C9F8FB2F-D03D-449C-8452-FC688D74A11D}"/>
    <cellStyle name="20% - Accent5 2 2 6 2 3" xfId="12568" xr:uid="{88BCB536-4278-4C70-9356-5E85614C9E87}"/>
    <cellStyle name="20% - Accent5 2 2 6 2 4" xfId="21003" xr:uid="{1F091409-F3E2-41E3-88C2-9D4492B4F46D}"/>
    <cellStyle name="20% - Accent5 2 2 6 3" xfId="6191" xr:uid="{00000000-0005-0000-0000-0000A7020000}"/>
    <cellStyle name="20% - Accent5 2 2 6 3 2" xfId="14641" xr:uid="{BD2BADAC-995D-4947-85F3-0CF0DE481897}"/>
    <cellStyle name="20% - Accent5 2 2 6 3 3" xfId="23075" xr:uid="{58EF4C84-1130-4F7A-BDF6-20DA446755C6}"/>
    <cellStyle name="20% - Accent5 2 2 6 4" xfId="10423" xr:uid="{ACA51A7E-92FD-4937-8A9A-5A8433AAC06B}"/>
    <cellStyle name="20% - Accent5 2 2 6 5" xfId="18858" xr:uid="{14CFCD4F-1047-4601-8895-031829E0BB77}"/>
    <cellStyle name="20% - Accent5 2 2 7" xfId="2298" xr:uid="{00000000-0005-0000-0000-0000A8020000}"/>
    <cellStyle name="20% - Accent5 2 2 7 2" xfId="6604" xr:uid="{00000000-0005-0000-0000-0000A9020000}"/>
    <cellStyle name="20% - Accent5 2 2 7 2 2" xfId="15054" xr:uid="{9BF52736-CE61-47E3-9EA4-64064C6389AF}"/>
    <cellStyle name="20% - Accent5 2 2 7 2 3" xfId="23488" xr:uid="{2B99489C-7512-4486-992C-3223B18233FE}"/>
    <cellStyle name="20% - Accent5 2 2 7 3" xfId="10836" xr:uid="{58568CA8-EF36-4ABF-95D7-0A2989824EF4}"/>
    <cellStyle name="20% - Accent5 2 2 7 4" xfId="19271" xr:uid="{C7EB8D8F-4DBE-443D-B5EA-FFA74A2817E6}"/>
    <cellStyle name="20% - Accent5 2 2 8" xfId="4538" xr:uid="{00000000-0005-0000-0000-0000AA020000}"/>
    <cellStyle name="20% - Accent5 2 2 8 2" xfId="12988" xr:uid="{B20D4BA0-D534-4437-B1F4-9EF6C2F0EC46}"/>
    <cellStyle name="20% - Accent5 2 2 8 3" xfId="21422" xr:uid="{AF529208-53B3-4685-8D50-4A93CE2D9104}"/>
    <cellStyle name="20% - Accent5 2 2 9" xfId="8770" xr:uid="{D51E84D0-E9B4-4924-A47D-D2907D27954A}"/>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1DBD2AFA-EAC4-4CA0-89E0-90129EC0B0F8}"/>
    <cellStyle name="20% - Accent5 2 3 2 2 2 3" xfId="23983" xr:uid="{2563F4D1-2F94-4D58-9F8D-207916F89015}"/>
    <cellStyle name="20% - Accent5 2 3 2 2 3" xfId="11331" xr:uid="{BD019201-4740-4F6A-8523-D15D6AA6E790}"/>
    <cellStyle name="20% - Accent5 2 3 2 2 4" xfId="19766" xr:uid="{D00F448C-7187-4366-961A-268D0A224B80}"/>
    <cellStyle name="20% - Accent5 2 3 2 3" xfId="4954" xr:uid="{00000000-0005-0000-0000-0000AF020000}"/>
    <cellStyle name="20% - Accent5 2 3 2 3 2" xfId="13404" xr:uid="{885E3C61-4215-465E-9CFA-8110532CF398}"/>
    <cellStyle name="20% - Accent5 2 3 2 3 3" xfId="21838" xr:uid="{1D7F7764-B922-4873-AE3A-13E81B2ED696}"/>
    <cellStyle name="20% - Accent5 2 3 2 4" xfId="9186" xr:uid="{7747570D-2178-453B-9642-1E4D74A2DF0D}"/>
    <cellStyle name="20% - Accent5 2 3 2 5" xfId="17621" xr:uid="{DD7B5179-252D-4C0B-99DA-728B0B7D165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F7EB689-3CE1-4A88-95EE-FBDDF901F531}"/>
    <cellStyle name="20% - Accent5 2 3 3 2 2 3" xfId="24396" xr:uid="{4761AB7E-E2F7-4B30-96D4-F38BC1A30880}"/>
    <cellStyle name="20% - Accent5 2 3 3 2 3" xfId="11744" xr:uid="{DCB446F6-90AB-46EE-A718-C97C577257FB}"/>
    <cellStyle name="20% - Accent5 2 3 3 2 4" xfId="20179" xr:uid="{A95B4BFF-BD85-4EC8-AF4E-B1AC5F365472}"/>
    <cellStyle name="20% - Accent5 2 3 3 3" xfId="5367" xr:uid="{00000000-0005-0000-0000-0000B3020000}"/>
    <cellStyle name="20% - Accent5 2 3 3 3 2" xfId="13817" xr:uid="{93D11928-533B-42B7-9A19-57D2F068AF40}"/>
    <cellStyle name="20% - Accent5 2 3 3 3 3" xfId="22251" xr:uid="{0C797B5F-4630-48F1-A776-8200E778B943}"/>
    <cellStyle name="20% - Accent5 2 3 3 4" xfId="9599" xr:uid="{B2B59EF7-9411-42BF-B84C-647EFAB98415}"/>
    <cellStyle name="20% - Accent5 2 3 3 5" xfId="18034" xr:uid="{2997C6B9-F4BB-4296-8AB7-356F58404EAA}"/>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770EF279-31A5-4E86-B64A-F4B890DBE4D5}"/>
    <cellStyle name="20% - Accent5 2 3 4 2 2 3" xfId="24809" xr:uid="{3AB0B607-A3F9-4DCB-9205-95663593C93C}"/>
    <cellStyle name="20% - Accent5 2 3 4 2 3" xfId="12157" xr:uid="{AD24097F-C6D1-49E4-99ED-F17E12BD694C}"/>
    <cellStyle name="20% - Accent5 2 3 4 2 4" xfId="20592" xr:uid="{2B830515-99AD-4B89-A4D8-51495D732A87}"/>
    <cellStyle name="20% - Accent5 2 3 4 3" xfId="5780" xr:uid="{00000000-0005-0000-0000-0000B7020000}"/>
    <cellStyle name="20% - Accent5 2 3 4 3 2" xfId="14230" xr:uid="{59972A10-227D-491B-A5D4-8E594BB4D3A8}"/>
    <cellStyle name="20% - Accent5 2 3 4 3 3" xfId="22664" xr:uid="{7504AF97-861D-4E9A-9C7B-0DFC8B0D6AFE}"/>
    <cellStyle name="20% - Accent5 2 3 4 4" xfId="10012" xr:uid="{6665EB0A-331E-47FC-BA40-5011CC35FB9F}"/>
    <cellStyle name="20% - Accent5 2 3 4 5" xfId="18447" xr:uid="{D12BAA75-B078-4BBA-940A-B85B8C9BB457}"/>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B86030F5-3679-4B4E-9F6F-1414335B7750}"/>
    <cellStyle name="20% - Accent5 2 3 5 2 2 3" xfId="25222" xr:uid="{3755ACCD-31E3-432E-ACD5-B3CCC9D7B2F0}"/>
    <cellStyle name="20% - Accent5 2 3 5 2 3" xfId="12570" xr:uid="{2F1B2635-4D17-42EC-9E0C-089CA48DBA62}"/>
    <cellStyle name="20% - Accent5 2 3 5 2 4" xfId="21005" xr:uid="{4FFBA02C-A8C3-4C0A-8895-83DEE35EE00E}"/>
    <cellStyle name="20% - Accent5 2 3 5 3" xfId="6193" xr:uid="{00000000-0005-0000-0000-0000BB020000}"/>
    <cellStyle name="20% - Accent5 2 3 5 3 2" xfId="14643" xr:uid="{01A3E72A-AE4E-4456-9035-508B51C90EDA}"/>
    <cellStyle name="20% - Accent5 2 3 5 3 3" xfId="23077" xr:uid="{D1B62667-4FFE-498D-BDA5-C0467DCC8010}"/>
    <cellStyle name="20% - Accent5 2 3 5 4" xfId="10425" xr:uid="{36B011B0-3AAC-4A4C-B284-A41B8FBF79E7}"/>
    <cellStyle name="20% - Accent5 2 3 5 5" xfId="18860" xr:uid="{773F8863-425B-4A37-8CB2-36DAAF82200D}"/>
    <cellStyle name="20% - Accent5 2 3 6" xfId="2300" xr:uid="{00000000-0005-0000-0000-0000BC020000}"/>
    <cellStyle name="20% - Accent5 2 3 6 2" xfId="6606" xr:uid="{00000000-0005-0000-0000-0000BD020000}"/>
    <cellStyle name="20% - Accent5 2 3 6 2 2" xfId="15056" xr:uid="{855C20FF-8381-49FF-93E0-845426B2FD49}"/>
    <cellStyle name="20% - Accent5 2 3 6 2 3" xfId="23490" xr:uid="{C5B8F7D4-A86D-49D8-970A-8261325E4FDF}"/>
    <cellStyle name="20% - Accent5 2 3 6 3" xfId="10838" xr:uid="{74998E29-DF95-42B2-9274-4360D92188DE}"/>
    <cellStyle name="20% - Accent5 2 3 6 4" xfId="19273" xr:uid="{EDA7B6A2-5548-4F34-A427-972143288C58}"/>
    <cellStyle name="20% - Accent5 2 3 7" xfId="4540" xr:uid="{00000000-0005-0000-0000-0000BE020000}"/>
    <cellStyle name="20% - Accent5 2 3 7 2" xfId="12990" xr:uid="{A2C9E58A-5C0F-420D-96DF-1B8B2779D261}"/>
    <cellStyle name="20% - Accent5 2 3 7 3" xfId="21424" xr:uid="{3284F4FC-4991-423E-B891-D3DECA02C260}"/>
    <cellStyle name="20% - Accent5 2 3 8" xfId="8772" xr:uid="{C8442374-E56F-46A8-B49A-6A341E0B6323}"/>
    <cellStyle name="20% - Accent5 2 3 9" xfId="17207" xr:uid="{70B04772-1B3F-43D4-AF08-A5BA0519786A}"/>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7C5D5F87-9DEA-4023-80B6-00AECA5ADA81}"/>
    <cellStyle name="20% - Accent5 2 4 2 2 3" xfId="23980" xr:uid="{B4718484-2311-41F7-8F3D-71E38DD388B1}"/>
    <cellStyle name="20% - Accent5 2 4 2 3" xfId="11328" xr:uid="{0C04ADF4-99D1-44E2-9A66-6DAE4FD5186D}"/>
    <cellStyle name="20% - Accent5 2 4 2 4" xfId="19763" xr:uid="{13AEA9FE-E06C-420F-973A-89AD49F8BAEE}"/>
    <cellStyle name="20% - Accent5 2 4 3" xfId="4951" xr:uid="{00000000-0005-0000-0000-0000C2020000}"/>
    <cellStyle name="20% - Accent5 2 4 3 2" xfId="13401" xr:uid="{DE4BFD43-30DF-4EC3-AF49-A7F3BE6C0920}"/>
    <cellStyle name="20% - Accent5 2 4 3 3" xfId="21835" xr:uid="{39F0133A-2953-49DD-A4DB-82919906B659}"/>
    <cellStyle name="20% - Accent5 2 4 4" xfId="9183" xr:uid="{11CEA0EF-7711-4EC6-A50E-9F557066D37B}"/>
    <cellStyle name="20% - Accent5 2 4 5" xfId="17618" xr:uid="{76C98389-64C3-43C1-83E3-722DC8E02763}"/>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2300C6C8-8F35-41AB-8139-4F57CE602EFB}"/>
    <cellStyle name="20% - Accent5 2 5 2 2 3" xfId="24393" xr:uid="{B2AE7686-A9C7-46A6-AE2C-78E76A9E6C28}"/>
    <cellStyle name="20% - Accent5 2 5 2 3" xfId="11741" xr:uid="{86680639-0415-490A-83B3-76FFB2389FAC}"/>
    <cellStyle name="20% - Accent5 2 5 2 4" xfId="20176" xr:uid="{6345861F-CB9D-4FC2-B0C9-FF72CA9492E5}"/>
    <cellStyle name="20% - Accent5 2 5 3" xfId="5364" xr:uid="{00000000-0005-0000-0000-0000C6020000}"/>
    <cellStyle name="20% - Accent5 2 5 3 2" xfId="13814" xr:uid="{96067B1D-6C74-4838-94AB-468098710B24}"/>
    <cellStyle name="20% - Accent5 2 5 3 3" xfId="22248" xr:uid="{41260F42-6910-40CD-8B2F-4C43A3518A7E}"/>
    <cellStyle name="20% - Accent5 2 5 4" xfId="9596" xr:uid="{541A264C-6B21-4AA7-9968-33A8FDB96DBD}"/>
    <cellStyle name="20% - Accent5 2 5 5" xfId="18031" xr:uid="{9EE6534D-24E3-486B-995F-DA58557CFE66}"/>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AAA99C7B-7C8F-426C-9C13-2C27AFAFA16D}"/>
    <cellStyle name="20% - Accent5 2 6 2 2 3" xfId="24806" xr:uid="{04C4B27A-0F00-4A18-AF18-9906FA4B0355}"/>
    <cellStyle name="20% - Accent5 2 6 2 3" xfId="12154" xr:uid="{E8FED931-EA7A-4650-B5B8-27D272CF52E5}"/>
    <cellStyle name="20% - Accent5 2 6 2 4" xfId="20589" xr:uid="{0768A8C7-1626-45D3-A5DA-2AA02E9BF7BF}"/>
    <cellStyle name="20% - Accent5 2 6 3" xfId="5777" xr:uid="{00000000-0005-0000-0000-0000CA020000}"/>
    <cellStyle name="20% - Accent5 2 6 3 2" xfId="14227" xr:uid="{C47EEE4D-5720-4652-8C5C-E4A12426CA62}"/>
    <cellStyle name="20% - Accent5 2 6 3 3" xfId="22661" xr:uid="{52692E28-A024-4C8E-BADF-BE70BC8B0C85}"/>
    <cellStyle name="20% - Accent5 2 6 4" xfId="10009" xr:uid="{DFFCCBFC-F642-4608-95D3-ABDA92D8CEFC}"/>
    <cellStyle name="20% - Accent5 2 6 5" xfId="18444" xr:uid="{0A0C822C-E366-429C-80E9-67E615CC3563}"/>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CBC82559-9BFD-4047-B3E8-1716D4C8F852}"/>
    <cellStyle name="20% - Accent5 2 7 2 2 3" xfId="25219" xr:uid="{24B3DD10-1BA4-4DB9-8D21-B7E5FD9014E3}"/>
    <cellStyle name="20% - Accent5 2 7 2 3" xfId="12567" xr:uid="{A3149089-6E93-41DD-9D0D-764A70AEEA29}"/>
    <cellStyle name="20% - Accent5 2 7 2 4" xfId="21002" xr:uid="{2BE23F01-F760-429A-89E8-B2EDB2CEEC09}"/>
    <cellStyle name="20% - Accent5 2 7 3" xfId="6190" xr:uid="{00000000-0005-0000-0000-0000CE020000}"/>
    <cellStyle name="20% - Accent5 2 7 3 2" xfId="14640" xr:uid="{3268419C-6129-4BAD-BC8E-893F5D8AF3E4}"/>
    <cellStyle name="20% - Accent5 2 7 3 3" xfId="23074" xr:uid="{733C0BD3-2D89-4625-ADD9-F5AFCC5572C6}"/>
    <cellStyle name="20% - Accent5 2 7 4" xfId="10422" xr:uid="{C46CB6CE-DF54-4819-9887-C8A5EB9BCF27}"/>
    <cellStyle name="20% - Accent5 2 7 5" xfId="18857" xr:uid="{77C2C515-2DB1-43AC-AA35-37A3C7F24DC5}"/>
    <cellStyle name="20% - Accent5 2 8" xfId="2297" xr:uid="{00000000-0005-0000-0000-0000CF020000}"/>
    <cellStyle name="20% - Accent5 2 8 2" xfId="6603" xr:uid="{00000000-0005-0000-0000-0000D0020000}"/>
    <cellStyle name="20% - Accent5 2 8 2 2" xfId="15053" xr:uid="{F787480F-A23D-4C11-A54A-3C01B0C64473}"/>
    <cellStyle name="20% - Accent5 2 8 2 3" xfId="23487" xr:uid="{0755672F-61C8-40BB-BA1E-F162F0C3E0D6}"/>
    <cellStyle name="20% - Accent5 2 8 3" xfId="10835" xr:uid="{01B472E8-A548-4967-9F78-6CF49CB6A014}"/>
    <cellStyle name="20% - Accent5 2 8 4" xfId="19270" xr:uid="{F2CD7D51-07E5-4EFF-A723-A5B9C8F0B121}"/>
    <cellStyle name="20% - Accent5 2 9" xfId="4537" xr:uid="{00000000-0005-0000-0000-0000D1020000}"/>
    <cellStyle name="20% - Accent5 2 9 2" xfId="12987" xr:uid="{4CD9E7C2-6EEC-42DE-A98E-8117795F4EAB}"/>
    <cellStyle name="20% - Accent5 2 9 3" xfId="21421" xr:uid="{3DB3645B-CED2-4A3E-8411-A848A7308488}"/>
    <cellStyle name="20% - Accent5 3" xfId="38" xr:uid="{00000000-0005-0000-0000-0000D2020000}"/>
    <cellStyle name="20% - Accent5 3 10" xfId="17208" xr:uid="{F892B4D1-F4C2-4A6B-908A-5CAF24B11223}"/>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F7F1610C-EF8D-48E7-833E-665F39C7DDE4}"/>
    <cellStyle name="20% - Accent5 3 2 2 2 2 3" xfId="23985" xr:uid="{BD17FBFA-4A41-4B2F-A03F-55E0C9A29450}"/>
    <cellStyle name="20% - Accent5 3 2 2 2 3" xfId="11333" xr:uid="{3D95BEDD-D501-4C87-86F3-B3EE4DD2F558}"/>
    <cellStyle name="20% - Accent5 3 2 2 2 4" xfId="19768" xr:uid="{17A81D70-6C35-4D33-AFC1-DAD9713C32F8}"/>
    <cellStyle name="20% - Accent5 3 2 2 3" xfId="4956" xr:uid="{00000000-0005-0000-0000-0000D7020000}"/>
    <cellStyle name="20% - Accent5 3 2 2 3 2" xfId="13406" xr:uid="{0C77A12D-F878-48E1-943B-FDBDB637C6EA}"/>
    <cellStyle name="20% - Accent5 3 2 2 3 3" xfId="21840" xr:uid="{60082943-EE13-4687-A2CE-E2BC30491450}"/>
    <cellStyle name="20% - Accent5 3 2 2 4" xfId="9188" xr:uid="{62D28595-613A-427D-AB45-0E9B663E339A}"/>
    <cellStyle name="20% - Accent5 3 2 2 5" xfId="17623" xr:uid="{4B93421E-25D2-4505-AB1A-81509E96924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73D33A6E-0C71-4FC8-ADA6-7B7762F5DE63}"/>
    <cellStyle name="20% - Accent5 3 2 3 2 2 3" xfId="24398" xr:uid="{7B4BAF9D-5579-4AE3-9C48-6A9506510399}"/>
    <cellStyle name="20% - Accent5 3 2 3 2 3" xfId="11746" xr:uid="{1E764859-B72A-491B-A0CD-66680BD6D983}"/>
    <cellStyle name="20% - Accent5 3 2 3 2 4" xfId="20181" xr:uid="{93168EA3-2ED9-4E02-8C6A-DFA73DC6A2BB}"/>
    <cellStyle name="20% - Accent5 3 2 3 3" xfId="5369" xr:uid="{00000000-0005-0000-0000-0000DB020000}"/>
    <cellStyle name="20% - Accent5 3 2 3 3 2" xfId="13819" xr:uid="{0AD3EB3C-867F-4189-BF7C-48F20D433A88}"/>
    <cellStyle name="20% - Accent5 3 2 3 3 3" xfId="22253" xr:uid="{339A39C3-D09E-461E-BCF2-5D649B95DC2A}"/>
    <cellStyle name="20% - Accent5 3 2 3 4" xfId="9601" xr:uid="{DA146559-1E99-45E2-9135-583BBEF941A5}"/>
    <cellStyle name="20% - Accent5 3 2 3 5" xfId="18036" xr:uid="{D1B80433-D507-479B-BDE4-F9DA71E196E1}"/>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FD23CACC-E33B-4BE7-B329-8D6BA9F3D998}"/>
    <cellStyle name="20% - Accent5 3 2 4 2 2 3" xfId="24811" xr:uid="{B21BB328-260C-478A-8CAB-5BB5F5C413BC}"/>
    <cellStyle name="20% - Accent5 3 2 4 2 3" xfId="12159" xr:uid="{E8668D8E-E7A0-4662-A6D9-FEEF26BFF9C0}"/>
    <cellStyle name="20% - Accent5 3 2 4 2 4" xfId="20594" xr:uid="{CF65967A-8BEB-421B-B076-D575D61990DA}"/>
    <cellStyle name="20% - Accent5 3 2 4 3" xfId="5782" xr:uid="{00000000-0005-0000-0000-0000DF020000}"/>
    <cellStyle name="20% - Accent5 3 2 4 3 2" xfId="14232" xr:uid="{DA40A7BD-19C7-4876-95ED-AFFF8F7E4317}"/>
    <cellStyle name="20% - Accent5 3 2 4 3 3" xfId="22666" xr:uid="{0EBA25A5-579F-4A4F-81B6-C8CFF512E82A}"/>
    <cellStyle name="20% - Accent5 3 2 4 4" xfId="10014" xr:uid="{23D87F43-1689-4270-AC88-CD12BA933EBE}"/>
    <cellStyle name="20% - Accent5 3 2 4 5" xfId="18449" xr:uid="{2DED8ABD-FD5D-455D-8030-AE53B6D1E71B}"/>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CE0AA127-27D2-473F-A15C-76922E58F0D9}"/>
    <cellStyle name="20% - Accent5 3 2 5 2 2 3" xfId="25224" xr:uid="{9451A79F-AB94-4889-AFF1-E7AEC7357D14}"/>
    <cellStyle name="20% - Accent5 3 2 5 2 3" xfId="12572" xr:uid="{03375860-0DB9-4824-B42A-C0E615093C9E}"/>
    <cellStyle name="20% - Accent5 3 2 5 2 4" xfId="21007" xr:uid="{CB56EB12-AC1D-44A1-AA7B-5EFB8B9627CA}"/>
    <cellStyle name="20% - Accent5 3 2 5 3" xfId="6195" xr:uid="{00000000-0005-0000-0000-0000E3020000}"/>
    <cellStyle name="20% - Accent5 3 2 5 3 2" xfId="14645" xr:uid="{F5A3F329-B806-4EB7-9BC8-7075401B281B}"/>
    <cellStyle name="20% - Accent5 3 2 5 3 3" xfId="23079" xr:uid="{87B5A311-CDA4-405D-BB6D-CCFE60FB83E8}"/>
    <cellStyle name="20% - Accent5 3 2 5 4" xfId="10427" xr:uid="{1023B14F-718A-46F2-9828-973886816813}"/>
    <cellStyle name="20% - Accent5 3 2 5 5" xfId="18862" xr:uid="{47CD3412-B31F-4FBD-81EF-ED802D6DAE11}"/>
    <cellStyle name="20% - Accent5 3 2 6" xfId="2302" xr:uid="{00000000-0005-0000-0000-0000E4020000}"/>
    <cellStyle name="20% - Accent5 3 2 6 2" xfId="6608" xr:uid="{00000000-0005-0000-0000-0000E5020000}"/>
    <cellStyle name="20% - Accent5 3 2 6 2 2" xfId="15058" xr:uid="{2984AEDE-01F3-41C3-B968-EEB71BC162B2}"/>
    <cellStyle name="20% - Accent5 3 2 6 2 3" xfId="23492" xr:uid="{38956425-5F4F-473E-A918-347588B9AA4A}"/>
    <cellStyle name="20% - Accent5 3 2 6 3" xfId="10840" xr:uid="{42A4A0B3-E812-4EEF-AFFF-7A7139D6CC0B}"/>
    <cellStyle name="20% - Accent5 3 2 6 4" xfId="19275" xr:uid="{5CE83224-91F2-4611-AE26-463DC8CA9356}"/>
    <cellStyle name="20% - Accent5 3 2 7" xfId="4542" xr:uid="{00000000-0005-0000-0000-0000E6020000}"/>
    <cellStyle name="20% - Accent5 3 2 7 2" xfId="12992" xr:uid="{1007750B-825E-4A8E-B944-89BA25DA3CAB}"/>
    <cellStyle name="20% - Accent5 3 2 7 3" xfId="21426" xr:uid="{69F765DD-D0AC-4BB7-A698-A0FB6D6B8710}"/>
    <cellStyle name="20% - Accent5 3 2 8" xfId="8774" xr:uid="{ACDC620F-DAE0-4B13-B318-33449A8BCCCA}"/>
    <cellStyle name="20% - Accent5 3 2 9" xfId="17209" xr:uid="{0644681C-704C-4F12-B22C-2A48BC142E56}"/>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18D23C72-D1C4-45BD-9D6D-68BC57D2A280}"/>
    <cellStyle name="20% - Accent5 3 3 2 2 3" xfId="23984" xr:uid="{26E56882-E480-47BD-9A7E-3BEAB0FF761E}"/>
    <cellStyle name="20% - Accent5 3 3 2 3" xfId="11332" xr:uid="{9A57F2A8-8D84-4083-A74E-A0EAFC200522}"/>
    <cellStyle name="20% - Accent5 3 3 2 4" xfId="19767" xr:uid="{42AA2EC4-BC7A-48CA-A392-FAEF3B5FDABA}"/>
    <cellStyle name="20% - Accent5 3 3 3" xfId="4955" xr:uid="{00000000-0005-0000-0000-0000EA020000}"/>
    <cellStyle name="20% - Accent5 3 3 3 2" xfId="13405" xr:uid="{EECB62C5-9FD2-40CA-B171-3D6E9B6025B9}"/>
    <cellStyle name="20% - Accent5 3 3 3 3" xfId="21839" xr:uid="{B5D51004-F383-459B-88F0-B69ABECF1D2B}"/>
    <cellStyle name="20% - Accent5 3 3 4" xfId="9187" xr:uid="{BB05D7BB-4D69-4978-9385-53CF7589DE51}"/>
    <cellStyle name="20% - Accent5 3 3 5" xfId="17622" xr:uid="{B4FE95B0-5DE3-4D2B-9548-7EB2ACC30A61}"/>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A6B99491-6953-405E-B12C-7FF00566C93D}"/>
    <cellStyle name="20% - Accent5 3 4 2 2 3" xfId="24397" xr:uid="{D74454AF-6EE4-4A3F-8A14-41A558FF5D57}"/>
    <cellStyle name="20% - Accent5 3 4 2 3" xfId="11745" xr:uid="{4B7A17FA-9E5F-40B3-8CF9-92A8EFDC92F4}"/>
    <cellStyle name="20% - Accent5 3 4 2 4" xfId="20180" xr:uid="{A658070F-616E-4627-B765-AC6D9D2BEB03}"/>
    <cellStyle name="20% - Accent5 3 4 3" xfId="5368" xr:uid="{00000000-0005-0000-0000-0000EE020000}"/>
    <cellStyle name="20% - Accent5 3 4 3 2" xfId="13818" xr:uid="{527D142F-347F-4D43-9286-0905A926A028}"/>
    <cellStyle name="20% - Accent5 3 4 3 3" xfId="22252" xr:uid="{E6D71CD2-1D63-4C1D-A8FC-1B5B5CAB8E98}"/>
    <cellStyle name="20% - Accent5 3 4 4" xfId="9600" xr:uid="{3C78E77D-58BD-4D08-8B70-735331D11257}"/>
    <cellStyle name="20% - Accent5 3 4 5" xfId="18035" xr:uid="{4AEC567C-AA08-4523-85FF-F46DE3708EE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E4515593-87A5-4EBC-A731-60546624ED0A}"/>
    <cellStyle name="20% - Accent5 3 5 2 2 3" xfId="24810" xr:uid="{6D631F9A-D533-4DA2-8918-1211D3890607}"/>
    <cellStyle name="20% - Accent5 3 5 2 3" xfId="12158" xr:uid="{74392897-80E8-4693-AB02-38AB9275A72B}"/>
    <cellStyle name="20% - Accent5 3 5 2 4" xfId="20593" xr:uid="{662390D2-D4F9-40DE-B307-903A0797EE32}"/>
    <cellStyle name="20% - Accent5 3 5 3" xfId="5781" xr:uid="{00000000-0005-0000-0000-0000F2020000}"/>
    <cellStyle name="20% - Accent5 3 5 3 2" xfId="14231" xr:uid="{6CC76BEF-A86A-4CB9-99A0-C2B92B91227A}"/>
    <cellStyle name="20% - Accent5 3 5 3 3" xfId="22665" xr:uid="{2CE65CE8-4E54-4101-9C8D-E8734AD5B193}"/>
    <cellStyle name="20% - Accent5 3 5 4" xfId="10013" xr:uid="{4E03AAC0-BE79-46A9-BE25-F5855B1ECAC9}"/>
    <cellStyle name="20% - Accent5 3 5 5" xfId="18448" xr:uid="{63B5D9A7-B484-4BD0-B698-CC2B62B77E55}"/>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A601A075-F52A-40A1-8476-81F6B1AEF15E}"/>
    <cellStyle name="20% - Accent5 3 6 2 2 3" xfId="25223" xr:uid="{C9B19D65-FF0F-4773-BE85-D5217AA9B068}"/>
    <cellStyle name="20% - Accent5 3 6 2 3" xfId="12571" xr:uid="{F49BAF9F-C4FD-4D4F-91B2-825C6B571DEB}"/>
    <cellStyle name="20% - Accent5 3 6 2 4" xfId="21006" xr:uid="{7BEF0495-6E29-497F-A00F-84D9054D738A}"/>
    <cellStyle name="20% - Accent5 3 6 3" xfId="6194" xr:uid="{00000000-0005-0000-0000-0000F6020000}"/>
    <cellStyle name="20% - Accent5 3 6 3 2" xfId="14644" xr:uid="{BE5AE2CC-09E4-49EF-8BFB-5A09E0498017}"/>
    <cellStyle name="20% - Accent5 3 6 3 3" xfId="23078" xr:uid="{646B2582-C9F7-4F7E-BA60-CB63CA6398ED}"/>
    <cellStyle name="20% - Accent5 3 6 4" xfId="10426" xr:uid="{1144F9DE-524F-4873-BB41-5A0127411B26}"/>
    <cellStyle name="20% - Accent5 3 6 5" xfId="18861" xr:uid="{21021659-66F9-480E-BCA7-4B7842190186}"/>
    <cellStyle name="20% - Accent5 3 7" xfId="2301" xr:uid="{00000000-0005-0000-0000-0000F7020000}"/>
    <cellStyle name="20% - Accent5 3 7 2" xfId="6607" xr:uid="{00000000-0005-0000-0000-0000F8020000}"/>
    <cellStyle name="20% - Accent5 3 7 2 2" xfId="15057" xr:uid="{FCE2D7FA-D01F-47EB-8ED1-1E106625878A}"/>
    <cellStyle name="20% - Accent5 3 7 2 3" xfId="23491" xr:uid="{AEF5EAC0-4428-4519-8FB8-C0082CDD9D75}"/>
    <cellStyle name="20% - Accent5 3 7 3" xfId="10839" xr:uid="{41B3B813-C3AB-408D-9FAD-B33A0A8405E5}"/>
    <cellStyle name="20% - Accent5 3 7 4" xfId="19274" xr:uid="{DF39F8C8-FFDE-43F9-89CD-20D49A94B8F2}"/>
    <cellStyle name="20% - Accent5 3 8" xfId="4541" xr:uid="{00000000-0005-0000-0000-0000F9020000}"/>
    <cellStyle name="20% - Accent5 3 8 2" xfId="12991" xr:uid="{EEE066F2-6E43-4C3E-9E81-3AB10D488006}"/>
    <cellStyle name="20% - Accent5 3 8 3" xfId="21425" xr:uid="{C4EBE7A6-6899-4FEE-8ED1-D28886D23AE7}"/>
    <cellStyle name="20% - Accent5 3 9" xfId="8773" xr:uid="{BC266E0B-EEF1-412C-9972-105CD11C2E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F81E027A-8220-45F0-9461-72EF55BD10A7}"/>
    <cellStyle name="20% - Accent5 4 2 2 2 3" xfId="23986" xr:uid="{A3CDD005-2465-455E-A5FC-AE7F5B44EA54}"/>
    <cellStyle name="20% - Accent5 4 2 2 3" xfId="11334" xr:uid="{6433B620-20EB-4B5E-8048-D898EE61DE62}"/>
    <cellStyle name="20% - Accent5 4 2 2 4" xfId="19769" xr:uid="{9EE5D7EA-45C1-464E-BCED-FB13E73CC296}"/>
    <cellStyle name="20% - Accent5 4 2 3" xfId="4957" xr:uid="{00000000-0005-0000-0000-0000FE020000}"/>
    <cellStyle name="20% - Accent5 4 2 3 2" xfId="13407" xr:uid="{A585256E-87A2-42B2-AAF4-E88D073A29D7}"/>
    <cellStyle name="20% - Accent5 4 2 3 3" xfId="21841" xr:uid="{25B4BF78-A05F-4B72-B573-E2086A8071CD}"/>
    <cellStyle name="20% - Accent5 4 2 4" xfId="9189" xr:uid="{5CC1457E-58DA-418E-89AF-919EEAE64F6A}"/>
    <cellStyle name="20% - Accent5 4 2 5" xfId="17624" xr:uid="{F3809F44-8C12-4B6D-8EEA-363748B1737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E987B641-D1D4-439C-80AA-4D0F9497F682}"/>
    <cellStyle name="20% - Accent5 4 3 2 2 3" xfId="24399" xr:uid="{A0F68F39-CFBD-4383-BA62-7E8928D0FB0B}"/>
    <cellStyle name="20% - Accent5 4 3 2 3" xfId="11747" xr:uid="{76C34810-6DE9-4146-9099-724D01D74D7D}"/>
    <cellStyle name="20% - Accent5 4 3 2 4" xfId="20182" xr:uid="{1A693B8C-2CED-4FA4-8ADE-B72D569A92D2}"/>
    <cellStyle name="20% - Accent5 4 3 3" xfId="5370" xr:uid="{00000000-0005-0000-0000-000002030000}"/>
    <cellStyle name="20% - Accent5 4 3 3 2" xfId="13820" xr:uid="{AF8A7D18-0EEA-4B95-BF46-18F5F6745FBA}"/>
    <cellStyle name="20% - Accent5 4 3 3 3" xfId="22254" xr:uid="{620DFFE1-CAB7-45D3-8E71-2B974CCD70F0}"/>
    <cellStyle name="20% - Accent5 4 3 4" xfId="9602" xr:uid="{4246CF07-700C-42A6-8003-ACD59E72D501}"/>
    <cellStyle name="20% - Accent5 4 3 5" xfId="18037" xr:uid="{D78C8DED-28E1-40DD-B000-0210F199E9A7}"/>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3D3C85C3-009A-4BA8-AF79-CAD5FBCBB902}"/>
    <cellStyle name="20% - Accent5 4 4 2 2 3" xfId="24812" xr:uid="{54131875-E71E-460B-8EDF-A4DB484E6583}"/>
    <cellStyle name="20% - Accent5 4 4 2 3" xfId="12160" xr:uid="{644BEE61-923A-4DA3-AD52-DF88FBB596D6}"/>
    <cellStyle name="20% - Accent5 4 4 2 4" xfId="20595" xr:uid="{8B8C040F-815D-45F6-B470-DCBFF9AE6067}"/>
    <cellStyle name="20% - Accent5 4 4 3" xfId="5783" xr:uid="{00000000-0005-0000-0000-000006030000}"/>
    <cellStyle name="20% - Accent5 4 4 3 2" xfId="14233" xr:uid="{A492B671-E883-4A97-A723-3E7149F7A44E}"/>
    <cellStyle name="20% - Accent5 4 4 3 3" xfId="22667" xr:uid="{E3212AB3-2A19-4727-BD2C-BAAE31948CD1}"/>
    <cellStyle name="20% - Accent5 4 4 4" xfId="10015" xr:uid="{AD5074DD-8D8C-4FC3-A4E9-FCA222A867C1}"/>
    <cellStyle name="20% - Accent5 4 4 5" xfId="18450" xr:uid="{D6F539BC-1E4E-4A8D-86EB-079EDA2D615F}"/>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8B3DDC37-DD24-4DFE-9CDA-479B4605A935}"/>
    <cellStyle name="20% - Accent5 4 5 2 2 3" xfId="25225" xr:uid="{111BD0E8-7057-4CC3-8DE4-58F9617B946A}"/>
    <cellStyle name="20% - Accent5 4 5 2 3" xfId="12573" xr:uid="{4D14DB96-B9A6-42E9-B9F3-342562FFE967}"/>
    <cellStyle name="20% - Accent5 4 5 2 4" xfId="21008" xr:uid="{AC0A64DF-4046-486E-8637-C03730DE53DC}"/>
    <cellStyle name="20% - Accent5 4 5 3" xfId="6196" xr:uid="{00000000-0005-0000-0000-00000A030000}"/>
    <cellStyle name="20% - Accent5 4 5 3 2" xfId="14646" xr:uid="{09A00975-67E7-49CF-807C-9ABE807DFBBE}"/>
    <cellStyle name="20% - Accent5 4 5 3 3" xfId="23080" xr:uid="{82C744DA-043F-4005-A47E-F2AEDCD93D93}"/>
    <cellStyle name="20% - Accent5 4 5 4" xfId="10428" xr:uid="{D4A0F6FD-1605-4E5E-9FD4-56D481E611E4}"/>
    <cellStyle name="20% - Accent5 4 5 5" xfId="18863" xr:uid="{0D473688-2175-4F18-88A1-B9BC49D0B231}"/>
    <cellStyle name="20% - Accent5 4 6" xfId="2303" xr:uid="{00000000-0005-0000-0000-00000B030000}"/>
    <cellStyle name="20% - Accent5 4 6 2" xfId="6609" xr:uid="{00000000-0005-0000-0000-00000C030000}"/>
    <cellStyle name="20% - Accent5 4 6 2 2" xfId="15059" xr:uid="{4DC20243-1406-43A5-A6B4-6BC565F6F436}"/>
    <cellStyle name="20% - Accent5 4 6 2 3" xfId="23493" xr:uid="{C956F522-CC35-466B-BEBD-48F2D9FC2D44}"/>
    <cellStyle name="20% - Accent5 4 6 3" xfId="10841" xr:uid="{33F35D28-3113-4370-B6E4-0C8E34796229}"/>
    <cellStyle name="20% - Accent5 4 6 4" xfId="19276" xr:uid="{5F4825C5-6CA7-48FC-9A64-5DACC55A3B37}"/>
    <cellStyle name="20% - Accent5 4 7" xfId="4543" xr:uid="{00000000-0005-0000-0000-00000D030000}"/>
    <cellStyle name="20% - Accent5 4 7 2" xfId="12993" xr:uid="{36F8815B-23DC-473C-9DD0-EA9824A4ECF9}"/>
    <cellStyle name="20% - Accent5 4 7 3" xfId="21427" xr:uid="{88BB10BA-A69A-4081-9051-294913E306BF}"/>
    <cellStyle name="20% - Accent5 4 8" xfId="8775" xr:uid="{002C5CA9-229A-430D-B467-138E8D1C2D92}"/>
    <cellStyle name="20% - Accent5 4 9" xfId="17210" xr:uid="{58A74573-DD58-43B7-8B65-3F865FC1FE5F}"/>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5572E24F-0CF9-4072-AB7C-BBB176FDB426}"/>
    <cellStyle name="20% - Accent5 5 2 2 3" xfId="23979" xr:uid="{31D5D670-0983-442B-A2F8-C603A7755D45}"/>
    <cellStyle name="20% - Accent5 5 2 3" xfId="11327" xr:uid="{F64EA7EA-ED70-4A26-AE8D-14AF73263126}"/>
    <cellStyle name="20% - Accent5 5 2 4" xfId="19762" xr:uid="{307E8E9B-D69C-435A-98AB-1946D87D9833}"/>
    <cellStyle name="20% - Accent5 5 3" xfId="4950" xr:uid="{00000000-0005-0000-0000-000011030000}"/>
    <cellStyle name="20% - Accent5 5 3 2" xfId="13400" xr:uid="{0FBEE80E-009F-4005-B561-10BD1AE64512}"/>
    <cellStyle name="20% - Accent5 5 3 3" xfId="21834" xr:uid="{1F198FEB-EF04-4226-BAA8-C9C06A7606AD}"/>
    <cellStyle name="20% - Accent5 5 4" xfId="9182" xr:uid="{A74B4C86-C19D-441E-8CF0-B23611CC33FC}"/>
    <cellStyle name="20% - Accent5 5 5" xfId="17617" xr:uid="{9C6B2228-CD4E-410D-90D4-9F43D84CCF5D}"/>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5C6F6DC3-FCD6-411B-B9F8-15BD19B51168}"/>
    <cellStyle name="20% - Accent5 6 2 2 3" xfId="24392" xr:uid="{95528A88-A9A5-4037-AD1A-2D96B67A2A5D}"/>
    <cellStyle name="20% - Accent5 6 2 3" xfId="11740" xr:uid="{BED8C9C1-5A26-4B0F-A886-B0764A6EEE8E}"/>
    <cellStyle name="20% - Accent5 6 2 4" xfId="20175" xr:uid="{DE8E4506-3079-48DC-85A7-76975A3FD491}"/>
    <cellStyle name="20% - Accent5 6 3" xfId="5363" xr:uid="{00000000-0005-0000-0000-000015030000}"/>
    <cellStyle name="20% - Accent5 6 3 2" xfId="13813" xr:uid="{F23A15F6-7E26-409E-B540-37D866396EEA}"/>
    <cellStyle name="20% - Accent5 6 3 3" xfId="22247" xr:uid="{25C9E390-FD83-476F-A3D6-E72546D75C81}"/>
    <cellStyle name="20% - Accent5 6 4" xfId="9595" xr:uid="{464091C5-4C2D-4FC8-AEB7-5A8E673CD1CD}"/>
    <cellStyle name="20% - Accent5 6 5" xfId="18030" xr:uid="{F59797A7-AB79-4E13-A1AE-DA925C84094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AB51DB0A-8766-45D4-81C9-2146C92F24B1}"/>
    <cellStyle name="20% - Accent5 7 2 2 3" xfId="24805" xr:uid="{41E04ECA-12A0-4B3E-BCBC-E846A6E07E47}"/>
    <cellStyle name="20% - Accent5 7 2 3" xfId="12153" xr:uid="{874BE5BC-1172-4217-B344-D6764E734D01}"/>
    <cellStyle name="20% - Accent5 7 2 4" xfId="20588" xr:uid="{B38D7234-1EDA-4F85-A659-BA036D4432B9}"/>
    <cellStyle name="20% - Accent5 7 3" xfId="5776" xr:uid="{00000000-0005-0000-0000-000019030000}"/>
    <cellStyle name="20% - Accent5 7 3 2" xfId="14226" xr:uid="{433E8388-CA35-4D4E-83A2-58E9AE7A6221}"/>
    <cellStyle name="20% - Accent5 7 3 3" xfId="22660" xr:uid="{B5D86E9A-271D-4623-8F07-0161E60B07A7}"/>
    <cellStyle name="20% - Accent5 7 4" xfId="10008" xr:uid="{07675EC1-D5EB-4F77-85AF-C0C8B54CEB81}"/>
    <cellStyle name="20% - Accent5 7 5" xfId="18443" xr:uid="{AA360FB0-5548-4D93-8882-3228BC30B043}"/>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21A7F9DB-6EE8-4A41-831F-FCC7888043F5}"/>
    <cellStyle name="20% - Accent5 8 2 2 3" xfId="25218" xr:uid="{88F96C83-3FEC-4C11-994A-4288F9770482}"/>
    <cellStyle name="20% - Accent5 8 2 3" xfId="12566" xr:uid="{FF1E0484-6F1B-4EDE-8B2E-6CE1710BF7D2}"/>
    <cellStyle name="20% - Accent5 8 2 4" xfId="21001" xr:uid="{3E9EB380-136B-453E-AC66-5D72636B759A}"/>
    <cellStyle name="20% - Accent5 8 3" xfId="6189" xr:uid="{00000000-0005-0000-0000-00001D030000}"/>
    <cellStyle name="20% - Accent5 8 3 2" xfId="14639" xr:uid="{1AC0DD00-4A62-4E2C-AE31-5FB86B692114}"/>
    <cellStyle name="20% - Accent5 8 3 3" xfId="23073" xr:uid="{DE49C63A-0463-4BFE-8AFB-0503DEF25216}"/>
    <cellStyle name="20% - Accent5 8 4" xfId="10421" xr:uid="{8A1FE10C-07AE-41B0-9C21-12CDEDE1DA83}"/>
    <cellStyle name="20% - Accent5 8 5" xfId="18856" xr:uid="{EAD9BD5F-D65D-4FB0-BD7C-1B3BFBCBFD70}"/>
    <cellStyle name="20% - Accent5 9" xfId="2296" xr:uid="{00000000-0005-0000-0000-00001E030000}"/>
    <cellStyle name="20% - Accent5 9 2" xfId="6602" xr:uid="{00000000-0005-0000-0000-00001F030000}"/>
    <cellStyle name="20% - Accent5 9 2 2" xfId="15052" xr:uid="{05EB40C0-E742-4FED-983F-6865CD888304}"/>
    <cellStyle name="20% - Accent5 9 2 3" xfId="23486" xr:uid="{9E42C3FF-5F2B-4828-A540-F7B806E233AC}"/>
    <cellStyle name="20% - Accent5 9 3" xfId="10834" xr:uid="{B53DD1C4-630B-415F-AD75-FE84D58413FE}"/>
    <cellStyle name="20% - Accent5 9 4" xfId="19269" xr:uid="{B1F6F094-3F5E-4DBF-8155-AC645C10912A}"/>
    <cellStyle name="20% - Accent6" xfId="41" builtinId="50" customBuiltin="1"/>
    <cellStyle name="20% - Accent6 10" xfId="4544" xr:uid="{00000000-0005-0000-0000-000021030000}"/>
    <cellStyle name="20% - Accent6 10 2" xfId="12994" xr:uid="{AC15862C-3322-4549-A2A6-F4272596CF81}"/>
    <cellStyle name="20% - Accent6 10 3" xfId="21428" xr:uid="{B88AFE83-9FCF-47EA-AD90-83A53407C532}"/>
    <cellStyle name="20% - Accent6 11" xfId="8776" xr:uid="{A7CB6C0C-8433-4AAF-A7A6-3D355C62C634}"/>
    <cellStyle name="20% - Accent6 12" xfId="17211" xr:uid="{0149D67E-5AE9-49FD-B531-55AD3D3ADA23}"/>
    <cellStyle name="20% - Accent6 2" xfId="42" xr:uid="{00000000-0005-0000-0000-000022030000}"/>
    <cellStyle name="20% - Accent6 2 10" xfId="8777" xr:uid="{20DE63D0-7186-4CDE-9E8D-791BF517AD56}"/>
    <cellStyle name="20% - Accent6 2 11" xfId="17212" xr:uid="{895ED081-2962-4A2E-A576-D0CE8DE06DE3}"/>
    <cellStyle name="20% - Accent6 2 2" xfId="43" xr:uid="{00000000-0005-0000-0000-000023030000}"/>
    <cellStyle name="20% - Accent6 2 2 10" xfId="17213" xr:uid="{7FD85039-EB69-4F0B-9796-37212540AC22}"/>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53247BDE-3ED0-4110-9A7D-53217FF0AFF2}"/>
    <cellStyle name="20% - Accent6 2 2 2 2 2 2 3" xfId="23990" xr:uid="{EF2CA5CA-2CA7-44C5-B24C-5476BBCEB21E}"/>
    <cellStyle name="20% - Accent6 2 2 2 2 2 3" xfId="11338" xr:uid="{15D131EB-EF3B-45A3-8250-BFEE4AAAAC8E}"/>
    <cellStyle name="20% - Accent6 2 2 2 2 2 4" xfId="19773" xr:uid="{CEF9EFAC-DECB-41B4-8217-FBACFD120C22}"/>
    <cellStyle name="20% - Accent6 2 2 2 2 3" xfId="4961" xr:uid="{00000000-0005-0000-0000-000028030000}"/>
    <cellStyle name="20% - Accent6 2 2 2 2 3 2" xfId="13411" xr:uid="{0B404457-AA11-475B-A7ED-89C4966EE48B}"/>
    <cellStyle name="20% - Accent6 2 2 2 2 3 3" xfId="21845" xr:uid="{7163A2A4-E332-4FF3-8DFB-AA5EAB1FDABF}"/>
    <cellStyle name="20% - Accent6 2 2 2 2 4" xfId="9193" xr:uid="{5B47C93A-4C46-4B05-96DE-26195AB69A0C}"/>
    <cellStyle name="20% - Accent6 2 2 2 2 5" xfId="17628" xr:uid="{2D4121FA-896A-405B-8405-F07A418511A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B369B6A7-E744-4BCF-92BF-9CE3FB197ED6}"/>
    <cellStyle name="20% - Accent6 2 2 2 3 2 2 3" xfId="24403" xr:uid="{3CAC519F-0BF4-406E-B935-532ECFFA8D06}"/>
    <cellStyle name="20% - Accent6 2 2 2 3 2 3" xfId="11751" xr:uid="{1395C6DC-DB14-4989-9F29-360F28B9DEA7}"/>
    <cellStyle name="20% - Accent6 2 2 2 3 2 4" xfId="20186" xr:uid="{18C91EB5-1F87-4CA5-92D0-72DE00EBD3DC}"/>
    <cellStyle name="20% - Accent6 2 2 2 3 3" xfId="5374" xr:uid="{00000000-0005-0000-0000-00002C030000}"/>
    <cellStyle name="20% - Accent6 2 2 2 3 3 2" xfId="13824" xr:uid="{58A1B2B2-0253-42F2-B505-635745836BA0}"/>
    <cellStyle name="20% - Accent6 2 2 2 3 3 3" xfId="22258" xr:uid="{6F10024A-4E35-416D-9E8F-498425F74884}"/>
    <cellStyle name="20% - Accent6 2 2 2 3 4" xfId="9606" xr:uid="{73C82231-54AC-4E6B-B8B0-3C09C28AE44B}"/>
    <cellStyle name="20% - Accent6 2 2 2 3 5" xfId="18041" xr:uid="{5C9F356C-C545-4D4A-850F-FDFADC2C6CE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96FAC72D-D3E2-47E6-9817-6F93B8CF6460}"/>
    <cellStyle name="20% - Accent6 2 2 2 4 2 2 3" xfId="24816" xr:uid="{9868128C-2D8A-4674-8B33-8C4B331659A4}"/>
    <cellStyle name="20% - Accent6 2 2 2 4 2 3" xfId="12164" xr:uid="{E5712103-0FBB-4411-93A7-52D4DBF8C590}"/>
    <cellStyle name="20% - Accent6 2 2 2 4 2 4" xfId="20599" xr:uid="{64B2F378-71A9-4E8D-8B5E-52F8C69DF85F}"/>
    <cellStyle name="20% - Accent6 2 2 2 4 3" xfId="5787" xr:uid="{00000000-0005-0000-0000-000030030000}"/>
    <cellStyle name="20% - Accent6 2 2 2 4 3 2" xfId="14237" xr:uid="{67FAF364-A9F2-499B-87FE-50F1C203357A}"/>
    <cellStyle name="20% - Accent6 2 2 2 4 3 3" xfId="22671" xr:uid="{27214B1C-D243-4B94-9D87-6A952D4B95ED}"/>
    <cellStyle name="20% - Accent6 2 2 2 4 4" xfId="10019" xr:uid="{8F6D00EB-143F-4860-9635-EF422FF1F6EC}"/>
    <cellStyle name="20% - Accent6 2 2 2 4 5" xfId="18454" xr:uid="{A43851E1-6097-4DBF-B35A-6353E3EDE28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15DED738-3D1E-40A2-9624-566E0C0D5555}"/>
    <cellStyle name="20% - Accent6 2 2 2 5 2 2 3" xfId="25229" xr:uid="{482EE8AB-6AF3-4DB4-B932-61C3F5E25BE1}"/>
    <cellStyle name="20% - Accent6 2 2 2 5 2 3" xfId="12577" xr:uid="{D1FC3BAC-69AB-4152-A835-D769DCFFA58C}"/>
    <cellStyle name="20% - Accent6 2 2 2 5 2 4" xfId="21012" xr:uid="{F9E2045D-D7C9-44FC-B522-D94BB0DE8875}"/>
    <cellStyle name="20% - Accent6 2 2 2 5 3" xfId="6200" xr:uid="{00000000-0005-0000-0000-000034030000}"/>
    <cellStyle name="20% - Accent6 2 2 2 5 3 2" xfId="14650" xr:uid="{5DA7F0E2-F50F-434E-BF7A-C1A81AD7DBF1}"/>
    <cellStyle name="20% - Accent6 2 2 2 5 3 3" xfId="23084" xr:uid="{E5F821D3-01F3-421E-9107-619C7B99FF45}"/>
    <cellStyle name="20% - Accent6 2 2 2 5 4" xfId="10432" xr:uid="{C65F10CD-2E51-4C25-9431-3BA36DC8CD0B}"/>
    <cellStyle name="20% - Accent6 2 2 2 5 5" xfId="18867" xr:uid="{0F9D5BC6-71E3-4C1C-9058-15A6ED537F3C}"/>
    <cellStyle name="20% - Accent6 2 2 2 6" xfId="2307" xr:uid="{00000000-0005-0000-0000-000035030000}"/>
    <cellStyle name="20% - Accent6 2 2 2 6 2" xfId="6613" xr:uid="{00000000-0005-0000-0000-000036030000}"/>
    <cellStyle name="20% - Accent6 2 2 2 6 2 2" xfId="15063" xr:uid="{E5A2A529-C325-4B21-9D0F-80F72B1A7CF0}"/>
    <cellStyle name="20% - Accent6 2 2 2 6 2 3" xfId="23497" xr:uid="{B7214776-C835-42E3-994A-FCFFEFC9BC2E}"/>
    <cellStyle name="20% - Accent6 2 2 2 6 3" xfId="10845" xr:uid="{FF8527C2-0176-4A53-B598-BC55D84B4C47}"/>
    <cellStyle name="20% - Accent6 2 2 2 6 4" xfId="19280" xr:uid="{956A478E-8590-4712-B978-8111D30951CC}"/>
    <cellStyle name="20% - Accent6 2 2 2 7" xfId="4547" xr:uid="{00000000-0005-0000-0000-000037030000}"/>
    <cellStyle name="20% - Accent6 2 2 2 7 2" xfId="12997" xr:uid="{0518A4DF-7B69-4D41-9E58-2F9E673494AC}"/>
    <cellStyle name="20% - Accent6 2 2 2 7 3" xfId="21431" xr:uid="{9AFEA12B-CF56-4ABE-AAA5-1BA923A0F753}"/>
    <cellStyle name="20% - Accent6 2 2 2 8" xfId="8779" xr:uid="{14ADC71B-07E9-47CA-ABA2-3F7A9421F1B3}"/>
    <cellStyle name="20% - Accent6 2 2 2 9" xfId="17214" xr:uid="{D03F3C6F-A389-4D1B-BDEE-E4BA0DF6832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EB8D3F54-FDC7-4E96-B2CF-27DF7B6A826A}"/>
    <cellStyle name="20% - Accent6 2 2 3 2 2 3" xfId="23989" xr:uid="{36463D7B-8F5A-4B09-BFAF-D94640EBC19F}"/>
    <cellStyle name="20% - Accent6 2 2 3 2 3" xfId="11337" xr:uid="{A4C89FDE-A86F-4A01-9B33-19D64AA8D79C}"/>
    <cellStyle name="20% - Accent6 2 2 3 2 4" xfId="19772" xr:uid="{650DE92D-A3B8-4D96-B871-2EE320DBDC08}"/>
    <cellStyle name="20% - Accent6 2 2 3 3" xfId="4960" xr:uid="{00000000-0005-0000-0000-00003B030000}"/>
    <cellStyle name="20% - Accent6 2 2 3 3 2" xfId="13410" xr:uid="{65EF3DCE-A696-4353-9E8C-8418785F2661}"/>
    <cellStyle name="20% - Accent6 2 2 3 3 3" xfId="21844" xr:uid="{10B383DF-B7E7-4FD9-8A36-4A167C8F758B}"/>
    <cellStyle name="20% - Accent6 2 2 3 4" xfId="9192" xr:uid="{63D54574-BA82-4051-B38E-9FA6540BE77C}"/>
    <cellStyle name="20% - Accent6 2 2 3 5" xfId="17627" xr:uid="{70008066-6E4D-4E40-A47B-B3F2EAFCED43}"/>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CA2BA76D-667C-49FA-AA24-BDAD52367AF7}"/>
    <cellStyle name="20% - Accent6 2 2 4 2 2 3" xfId="24402" xr:uid="{1A9D70CA-D22B-4C6C-9F79-F7B21AD73BC0}"/>
    <cellStyle name="20% - Accent6 2 2 4 2 3" xfId="11750" xr:uid="{9FF2FDDB-FCA9-4497-93DE-A485E26D5458}"/>
    <cellStyle name="20% - Accent6 2 2 4 2 4" xfId="20185" xr:uid="{5589B344-59B2-48C5-981A-18CE3B1D5DBF}"/>
    <cellStyle name="20% - Accent6 2 2 4 3" xfId="5373" xr:uid="{00000000-0005-0000-0000-00003F030000}"/>
    <cellStyle name="20% - Accent6 2 2 4 3 2" xfId="13823" xr:uid="{328527F4-B4BB-4C9D-815D-DB6317A46CA6}"/>
    <cellStyle name="20% - Accent6 2 2 4 3 3" xfId="22257" xr:uid="{CC4A0698-E804-4867-897B-218721258D2A}"/>
    <cellStyle name="20% - Accent6 2 2 4 4" xfId="9605" xr:uid="{2A9BBE74-725D-423A-BC6E-8E45A8052FBC}"/>
    <cellStyle name="20% - Accent6 2 2 4 5" xfId="18040" xr:uid="{172D352B-D2C9-4F33-9FFB-B0424FA3371B}"/>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3C10D51A-0528-42A0-B7DA-3FC002126F1B}"/>
    <cellStyle name="20% - Accent6 2 2 5 2 2 3" xfId="24815" xr:uid="{16EEB4AB-DC8F-482B-A65F-936428D5FB2A}"/>
    <cellStyle name="20% - Accent6 2 2 5 2 3" xfId="12163" xr:uid="{1598C867-D2F3-4CF9-9A6F-B23805AB2B86}"/>
    <cellStyle name="20% - Accent6 2 2 5 2 4" xfId="20598" xr:uid="{DF726A8A-2EB0-4883-9BCC-D5C832B0B251}"/>
    <cellStyle name="20% - Accent6 2 2 5 3" xfId="5786" xr:uid="{00000000-0005-0000-0000-000043030000}"/>
    <cellStyle name="20% - Accent6 2 2 5 3 2" xfId="14236" xr:uid="{0B9F9D8A-1310-487D-93A8-D7B54C421A41}"/>
    <cellStyle name="20% - Accent6 2 2 5 3 3" xfId="22670" xr:uid="{FB6CFC92-CFCD-422E-9B11-A417FFFAA7CF}"/>
    <cellStyle name="20% - Accent6 2 2 5 4" xfId="10018" xr:uid="{BA9B5CA0-83B9-4688-95DE-04A0C51F1FDE}"/>
    <cellStyle name="20% - Accent6 2 2 5 5" xfId="18453" xr:uid="{DECC8599-636B-46E7-A829-E2EF1EAEFC5A}"/>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0D3A8CB3-19DD-4488-99E7-3F7D32D04077}"/>
    <cellStyle name="20% - Accent6 2 2 6 2 2 3" xfId="25228" xr:uid="{BCD260ED-4F9C-4B38-8539-DCD032F49621}"/>
    <cellStyle name="20% - Accent6 2 2 6 2 3" xfId="12576" xr:uid="{781D3503-1F36-48BE-AD1E-4F9BB055FEFA}"/>
    <cellStyle name="20% - Accent6 2 2 6 2 4" xfId="21011" xr:uid="{245C1F6A-E996-471F-8018-4578DCA73C00}"/>
    <cellStyle name="20% - Accent6 2 2 6 3" xfId="6199" xr:uid="{00000000-0005-0000-0000-000047030000}"/>
    <cellStyle name="20% - Accent6 2 2 6 3 2" xfId="14649" xr:uid="{15965F93-9724-4239-920E-22D1DD68C96C}"/>
    <cellStyle name="20% - Accent6 2 2 6 3 3" xfId="23083" xr:uid="{F1042E98-337A-460E-97AD-A10127FA0E0D}"/>
    <cellStyle name="20% - Accent6 2 2 6 4" xfId="10431" xr:uid="{F6B31407-DD71-45C8-AACD-3B4097B480D8}"/>
    <cellStyle name="20% - Accent6 2 2 6 5" xfId="18866" xr:uid="{BB20FC7E-DE20-4EA2-B1DF-FD36F47D3E81}"/>
    <cellStyle name="20% - Accent6 2 2 7" xfId="2306" xr:uid="{00000000-0005-0000-0000-000048030000}"/>
    <cellStyle name="20% - Accent6 2 2 7 2" xfId="6612" xr:uid="{00000000-0005-0000-0000-000049030000}"/>
    <cellStyle name="20% - Accent6 2 2 7 2 2" xfId="15062" xr:uid="{09CD58DC-796F-4FB4-9228-19D5AF4A53C7}"/>
    <cellStyle name="20% - Accent6 2 2 7 2 3" xfId="23496" xr:uid="{7B5A0C08-B2CB-4763-8B50-EC85CB93A223}"/>
    <cellStyle name="20% - Accent6 2 2 7 3" xfId="10844" xr:uid="{90617EFC-1FD0-4FB5-8C1C-3A2845D0B7DF}"/>
    <cellStyle name="20% - Accent6 2 2 7 4" xfId="19279" xr:uid="{DF0E9B00-EBB2-4C5D-8EB0-4190105C85F1}"/>
    <cellStyle name="20% - Accent6 2 2 8" xfId="4546" xr:uid="{00000000-0005-0000-0000-00004A030000}"/>
    <cellStyle name="20% - Accent6 2 2 8 2" xfId="12996" xr:uid="{ADE75256-086A-4067-9E98-CBCF53B99E60}"/>
    <cellStyle name="20% - Accent6 2 2 8 3" xfId="21430" xr:uid="{99789A7B-1FDE-49C0-ACCB-9CB933973662}"/>
    <cellStyle name="20% - Accent6 2 2 9" xfId="8778" xr:uid="{4750B126-AE53-4B73-B420-73C5FADDE45E}"/>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64C06D73-04E2-467A-91CF-C81D64388664}"/>
    <cellStyle name="20% - Accent6 2 3 2 2 2 3" xfId="23991" xr:uid="{06E2A91A-B934-49A2-A38E-2700E8CEFBC7}"/>
    <cellStyle name="20% - Accent6 2 3 2 2 3" xfId="11339" xr:uid="{4C6A30B5-0FB7-4F17-8B64-93E3F0D02047}"/>
    <cellStyle name="20% - Accent6 2 3 2 2 4" xfId="19774" xr:uid="{B8D326AA-AD7D-48C4-9255-DCAFF80CBBE9}"/>
    <cellStyle name="20% - Accent6 2 3 2 3" xfId="4962" xr:uid="{00000000-0005-0000-0000-00004F030000}"/>
    <cellStyle name="20% - Accent6 2 3 2 3 2" xfId="13412" xr:uid="{AE6910F5-88B3-4CD9-90AD-1E8AE31854AD}"/>
    <cellStyle name="20% - Accent6 2 3 2 3 3" xfId="21846" xr:uid="{F4DF168F-A050-4B2C-B874-7F92D55096CA}"/>
    <cellStyle name="20% - Accent6 2 3 2 4" xfId="9194" xr:uid="{8AD73066-56DC-43A7-A902-EBB2AF1E668B}"/>
    <cellStyle name="20% - Accent6 2 3 2 5" xfId="17629" xr:uid="{5B97B7EA-4468-4103-B872-86154F665E5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BAC6B89A-AD08-4441-BF58-83873B407858}"/>
    <cellStyle name="20% - Accent6 2 3 3 2 2 3" xfId="24404" xr:uid="{D825166C-7723-4F93-BD1C-1C51EC8E5C41}"/>
    <cellStyle name="20% - Accent6 2 3 3 2 3" xfId="11752" xr:uid="{0E5095D9-13D7-4995-B19D-E5C2B7FD75F4}"/>
    <cellStyle name="20% - Accent6 2 3 3 2 4" xfId="20187" xr:uid="{F4FF262D-D301-410B-B842-DCD53EBBE30A}"/>
    <cellStyle name="20% - Accent6 2 3 3 3" xfId="5375" xr:uid="{00000000-0005-0000-0000-000053030000}"/>
    <cellStyle name="20% - Accent6 2 3 3 3 2" xfId="13825" xr:uid="{1184E567-AD63-4D65-8B55-12C51BCCB63F}"/>
    <cellStyle name="20% - Accent6 2 3 3 3 3" xfId="22259" xr:uid="{33D1EE9E-80D0-4094-844C-1110CF2A4356}"/>
    <cellStyle name="20% - Accent6 2 3 3 4" xfId="9607" xr:uid="{8C69C967-BF14-4693-AE7B-DEA1CFA223FD}"/>
    <cellStyle name="20% - Accent6 2 3 3 5" xfId="18042" xr:uid="{BBA3560D-97A8-4759-AE91-AE63F74A4935}"/>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3F3982E5-2149-4EC4-97ED-1D8F05DEB6AF}"/>
    <cellStyle name="20% - Accent6 2 3 4 2 2 3" xfId="24817" xr:uid="{5939D42F-F435-49EB-BC0A-E40E20EECCD6}"/>
    <cellStyle name="20% - Accent6 2 3 4 2 3" xfId="12165" xr:uid="{E88AAE9C-7CB0-46EF-BAC9-F61E1CD965A6}"/>
    <cellStyle name="20% - Accent6 2 3 4 2 4" xfId="20600" xr:uid="{FA2143BC-8E89-4FC7-8F46-65A35427C89C}"/>
    <cellStyle name="20% - Accent6 2 3 4 3" xfId="5788" xr:uid="{00000000-0005-0000-0000-000057030000}"/>
    <cellStyle name="20% - Accent6 2 3 4 3 2" xfId="14238" xr:uid="{59E28933-4874-44DB-9B75-BB7340FCCC15}"/>
    <cellStyle name="20% - Accent6 2 3 4 3 3" xfId="22672" xr:uid="{80964539-6BC7-4E04-8968-4DE43817DF59}"/>
    <cellStyle name="20% - Accent6 2 3 4 4" xfId="10020" xr:uid="{DB28F887-50BF-4097-A2D7-46B209D416BB}"/>
    <cellStyle name="20% - Accent6 2 3 4 5" xfId="18455" xr:uid="{B47B9CA7-86A9-4366-93A1-4510C92ED019}"/>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5BD441CC-908F-4FFC-B157-403947D1E648}"/>
    <cellStyle name="20% - Accent6 2 3 5 2 2 3" xfId="25230" xr:uid="{5E86FA98-B446-45D9-8E5B-A31E164BAEDD}"/>
    <cellStyle name="20% - Accent6 2 3 5 2 3" xfId="12578" xr:uid="{AF69EF4B-3E35-448B-BF62-D51486B1C26C}"/>
    <cellStyle name="20% - Accent6 2 3 5 2 4" xfId="21013" xr:uid="{A3390F55-EE0F-4C0F-B63B-C419C2849CFC}"/>
    <cellStyle name="20% - Accent6 2 3 5 3" xfId="6201" xr:uid="{00000000-0005-0000-0000-00005B030000}"/>
    <cellStyle name="20% - Accent6 2 3 5 3 2" xfId="14651" xr:uid="{AC6A5D23-C655-403A-A826-095D9D670F00}"/>
    <cellStyle name="20% - Accent6 2 3 5 3 3" xfId="23085" xr:uid="{43AB1214-7CF1-46B7-B241-6256C4A8B4DF}"/>
    <cellStyle name="20% - Accent6 2 3 5 4" xfId="10433" xr:uid="{3281C46A-A36C-4D20-8937-6649F5670B70}"/>
    <cellStyle name="20% - Accent6 2 3 5 5" xfId="18868" xr:uid="{0C36E39A-CE55-4247-80B8-C6FFCFB9CB99}"/>
    <cellStyle name="20% - Accent6 2 3 6" xfId="2308" xr:uid="{00000000-0005-0000-0000-00005C030000}"/>
    <cellStyle name="20% - Accent6 2 3 6 2" xfId="6614" xr:uid="{00000000-0005-0000-0000-00005D030000}"/>
    <cellStyle name="20% - Accent6 2 3 6 2 2" xfId="15064" xr:uid="{025C4715-115B-4FE0-8FAE-20C08571B25C}"/>
    <cellStyle name="20% - Accent6 2 3 6 2 3" xfId="23498" xr:uid="{FB65BBF0-1AA2-4ECD-80E2-44EBF117A035}"/>
    <cellStyle name="20% - Accent6 2 3 6 3" xfId="10846" xr:uid="{5F693D0B-3F5B-4456-9F91-62B9BB56110F}"/>
    <cellStyle name="20% - Accent6 2 3 6 4" xfId="19281" xr:uid="{1401822D-B36E-455F-9533-C7CEC9FC195C}"/>
    <cellStyle name="20% - Accent6 2 3 7" xfId="4548" xr:uid="{00000000-0005-0000-0000-00005E030000}"/>
    <cellStyle name="20% - Accent6 2 3 7 2" xfId="12998" xr:uid="{3E38BE61-FDD9-4748-AD26-355CE5648F69}"/>
    <cellStyle name="20% - Accent6 2 3 7 3" xfId="21432" xr:uid="{12FC711A-7C71-433F-BA97-34D288C19BED}"/>
    <cellStyle name="20% - Accent6 2 3 8" xfId="8780" xr:uid="{2F2519D6-BE73-45AC-983D-3783CF2FEB8B}"/>
    <cellStyle name="20% - Accent6 2 3 9" xfId="17215" xr:uid="{E0B9FD37-F8A1-423E-AB9E-FA528753FF41}"/>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F8589085-9E05-4C48-A14D-D22BBC09C26C}"/>
    <cellStyle name="20% - Accent6 2 4 2 2 3" xfId="23988" xr:uid="{5259C59C-442E-4C78-8346-205C36839FEC}"/>
    <cellStyle name="20% - Accent6 2 4 2 3" xfId="11336" xr:uid="{8DEEA4C0-1AE2-4CDC-B623-788683E0CE9E}"/>
    <cellStyle name="20% - Accent6 2 4 2 4" xfId="19771" xr:uid="{EB59919B-F80F-4833-940F-7C3462B7878D}"/>
    <cellStyle name="20% - Accent6 2 4 3" xfId="4959" xr:uid="{00000000-0005-0000-0000-000062030000}"/>
    <cellStyle name="20% - Accent6 2 4 3 2" xfId="13409" xr:uid="{82F89A6E-B112-4F4A-BB5C-E887D3DD0348}"/>
    <cellStyle name="20% - Accent6 2 4 3 3" xfId="21843" xr:uid="{0AF0D7A5-CFC5-461D-BFF4-E1A5E1845A9B}"/>
    <cellStyle name="20% - Accent6 2 4 4" xfId="9191" xr:uid="{AEF7D562-A989-4AE0-ADD8-B5E697152665}"/>
    <cellStyle name="20% - Accent6 2 4 5" xfId="17626" xr:uid="{C7BC5F0F-65FF-4DC0-B8F2-FC2A39111B47}"/>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83F53795-9CCE-4E26-B587-82E8FAB6F695}"/>
    <cellStyle name="20% - Accent6 2 5 2 2 3" xfId="24401" xr:uid="{DE7DA024-03A2-4B51-B4D9-5DCB391B265C}"/>
    <cellStyle name="20% - Accent6 2 5 2 3" xfId="11749" xr:uid="{D970DEDC-8A73-48C7-8971-76E841EC6A4F}"/>
    <cellStyle name="20% - Accent6 2 5 2 4" xfId="20184" xr:uid="{35D2E55A-24F6-460D-9E6F-958D9904B10E}"/>
    <cellStyle name="20% - Accent6 2 5 3" xfId="5372" xr:uid="{00000000-0005-0000-0000-000066030000}"/>
    <cellStyle name="20% - Accent6 2 5 3 2" xfId="13822" xr:uid="{3E6661AF-1678-43A6-BC99-2A07CC339ACB}"/>
    <cellStyle name="20% - Accent6 2 5 3 3" xfId="22256" xr:uid="{8784DE04-2ED2-434A-B628-4734B295AD92}"/>
    <cellStyle name="20% - Accent6 2 5 4" xfId="9604" xr:uid="{7EFDF91F-09CA-4D00-A9BF-3F24AEB25A40}"/>
    <cellStyle name="20% - Accent6 2 5 5" xfId="18039" xr:uid="{186A1428-2F79-41D7-9C9B-FAF0C0453D0C}"/>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B7ABEBF7-F8D3-4DCA-9211-2F34F79C158B}"/>
    <cellStyle name="20% - Accent6 2 6 2 2 3" xfId="24814" xr:uid="{FFC21032-5865-423B-A8B5-16AAC4E119E2}"/>
    <cellStyle name="20% - Accent6 2 6 2 3" xfId="12162" xr:uid="{DF4F300E-6490-448E-AB2F-E3E010FEE0FC}"/>
    <cellStyle name="20% - Accent6 2 6 2 4" xfId="20597" xr:uid="{D8113AE6-8965-480A-9CE5-3F7F1EBD17CA}"/>
    <cellStyle name="20% - Accent6 2 6 3" xfId="5785" xr:uid="{00000000-0005-0000-0000-00006A030000}"/>
    <cellStyle name="20% - Accent6 2 6 3 2" xfId="14235" xr:uid="{7D0664DA-8B60-4A48-9F52-A833450E8E7F}"/>
    <cellStyle name="20% - Accent6 2 6 3 3" xfId="22669" xr:uid="{2F60D86F-77EE-4C15-8C7C-06B431137971}"/>
    <cellStyle name="20% - Accent6 2 6 4" xfId="10017" xr:uid="{5CC4FB7C-A3D2-4821-8A8B-1254CD8C30F0}"/>
    <cellStyle name="20% - Accent6 2 6 5" xfId="18452" xr:uid="{71634879-D330-4641-8EE6-7B3C1942F80F}"/>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8C6ADCE7-99C1-4731-A76A-F04D11E40E04}"/>
    <cellStyle name="20% - Accent6 2 7 2 2 3" xfId="25227" xr:uid="{C51B6011-48B0-47AB-A954-75966725CC98}"/>
    <cellStyle name="20% - Accent6 2 7 2 3" xfId="12575" xr:uid="{8295761D-F297-4B81-8741-A4679E33CD36}"/>
    <cellStyle name="20% - Accent6 2 7 2 4" xfId="21010" xr:uid="{63BEA77B-BC72-4795-979E-452F96587CD6}"/>
    <cellStyle name="20% - Accent6 2 7 3" xfId="6198" xr:uid="{00000000-0005-0000-0000-00006E030000}"/>
    <cellStyle name="20% - Accent6 2 7 3 2" xfId="14648" xr:uid="{DA1DDD10-51E8-4C20-8246-DCC77E5D355D}"/>
    <cellStyle name="20% - Accent6 2 7 3 3" xfId="23082" xr:uid="{DAB70D87-439C-4F07-AAB4-1E7716D3F7A6}"/>
    <cellStyle name="20% - Accent6 2 7 4" xfId="10430" xr:uid="{389CABC7-5258-493C-A8C0-076BF11FFA6B}"/>
    <cellStyle name="20% - Accent6 2 7 5" xfId="18865" xr:uid="{E738529E-D121-44F1-A05D-43099FC0EE71}"/>
    <cellStyle name="20% - Accent6 2 8" xfId="2305" xr:uid="{00000000-0005-0000-0000-00006F030000}"/>
    <cellStyle name="20% - Accent6 2 8 2" xfId="6611" xr:uid="{00000000-0005-0000-0000-000070030000}"/>
    <cellStyle name="20% - Accent6 2 8 2 2" xfId="15061" xr:uid="{1AD18E0F-08F5-445D-A9B4-0EAF9B9EEE6F}"/>
    <cellStyle name="20% - Accent6 2 8 2 3" xfId="23495" xr:uid="{9ECC04FD-195C-4B9D-B0F3-0744C937842C}"/>
    <cellStyle name="20% - Accent6 2 8 3" xfId="10843" xr:uid="{FE16F297-0045-48AA-B8B8-552E7E3963E9}"/>
    <cellStyle name="20% - Accent6 2 8 4" xfId="19278" xr:uid="{7EC2DAED-E7BB-457D-AB28-86E7094427BB}"/>
    <cellStyle name="20% - Accent6 2 9" xfId="4545" xr:uid="{00000000-0005-0000-0000-000071030000}"/>
    <cellStyle name="20% - Accent6 2 9 2" xfId="12995" xr:uid="{43476F63-841E-42C7-AD69-B9A3EBFA308B}"/>
    <cellStyle name="20% - Accent6 2 9 3" xfId="21429" xr:uid="{9512D2E8-6CA2-4A39-9A47-82F37FBFE830}"/>
    <cellStyle name="20% - Accent6 3" xfId="46" xr:uid="{00000000-0005-0000-0000-000072030000}"/>
    <cellStyle name="20% - Accent6 3 10" xfId="17216" xr:uid="{327C5B4D-66F3-4284-AC5E-C079CB91CF1E}"/>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CB200BA2-F651-4089-8AF1-FF92A24B65E8}"/>
    <cellStyle name="20% - Accent6 3 2 2 2 2 3" xfId="23993" xr:uid="{1257D5D3-8FB3-4A83-9130-CA1C5D0EB1D7}"/>
    <cellStyle name="20% - Accent6 3 2 2 2 3" xfId="11341" xr:uid="{B80EA1F6-6A58-4477-8F7B-463FB55A92DE}"/>
    <cellStyle name="20% - Accent6 3 2 2 2 4" xfId="19776" xr:uid="{D4275259-C376-4E4E-B840-17354FE21A02}"/>
    <cellStyle name="20% - Accent6 3 2 2 3" xfId="4964" xr:uid="{00000000-0005-0000-0000-000077030000}"/>
    <cellStyle name="20% - Accent6 3 2 2 3 2" xfId="13414" xr:uid="{BD23163B-BA6B-4118-942D-162D9D3360D4}"/>
    <cellStyle name="20% - Accent6 3 2 2 3 3" xfId="21848" xr:uid="{3F4D1F58-AA9E-4F89-88B3-8F7547236467}"/>
    <cellStyle name="20% - Accent6 3 2 2 4" xfId="9196" xr:uid="{1CF66CE5-DBDB-4E2F-9D6E-1F0795BC6C32}"/>
    <cellStyle name="20% - Accent6 3 2 2 5" xfId="17631" xr:uid="{97382762-EB35-46EE-92C3-62B4EC527C2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79306A6D-0003-461C-BE82-5A2006467981}"/>
    <cellStyle name="20% - Accent6 3 2 3 2 2 3" xfId="24406" xr:uid="{FDB666BA-F2D0-4B95-AC22-509A43DB621F}"/>
    <cellStyle name="20% - Accent6 3 2 3 2 3" xfId="11754" xr:uid="{39220ACC-8073-4112-BF01-C89EB1A518F5}"/>
    <cellStyle name="20% - Accent6 3 2 3 2 4" xfId="20189" xr:uid="{25D27895-F772-4E39-BADA-8E2E60373DAB}"/>
    <cellStyle name="20% - Accent6 3 2 3 3" xfId="5377" xr:uid="{00000000-0005-0000-0000-00007B030000}"/>
    <cellStyle name="20% - Accent6 3 2 3 3 2" xfId="13827" xr:uid="{B41A5315-1247-4F2A-A2D2-D9788B189F1E}"/>
    <cellStyle name="20% - Accent6 3 2 3 3 3" xfId="22261" xr:uid="{33F2E736-B746-4482-B2B6-45D859CC2B6F}"/>
    <cellStyle name="20% - Accent6 3 2 3 4" xfId="9609" xr:uid="{7AFFE303-6F8C-446F-B63F-FAD2BCC696C5}"/>
    <cellStyle name="20% - Accent6 3 2 3 5" xfId="18044" xr:uid="{2A26763F-2A42-44A6-826B-70C9402C15B6}"/>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DFF29EC5-1365-4C0A-A566-E68801006286}"/>
    <cellStyle name="20% - Accent6 3 2 4 2 2 3" xfId="24819" xr:uid="{C3DA28C7-D93A-49DE-9EE2-216CAF51D2EC}"/>
    <cellStyle name="20% - Accent6 3 2 4 2 3" xfId="12167" xr:uid="{2BA58F84-DFE6-4CD6-A424-A7763D199194}"/>
    <cellStyle name="20% - Accent6 3 2 4 2 4" xfId="20602" xr:uid="{372FA7AE-EB85-45F4-AC27-07DDE6BBFB7C}"/>
    <cellStyle name="20% - Accent6 3 2 4 3" xfId="5790" xr:uid="{00000000-0005-0000-0000-00007F030000}"/>
    <cellStyle name="20% - Accent6 3 2 4 3 2" xfId="14240" xr:uid="{7E563507-6451-4333-BFC1-6500DF8BD68E}"/>
    <cellStyle name="20% - Accent6 3 2 4 3 3" xfId="22674" xr:uid="{C7F12C27-FD8A-465F-833C-8A99412A1234}"/>
    <cellStyle name="20% - Accent6 3 2 4 4" xfId="10022" xr:uid="{98837A2E-3295-47FB-A185-DC80483A5E15}"/>
    <cellStyle name="20% - Accent6 3 2 4 5" xfId="18457" xr:uid="{1C88F8AE-A0E1-43CE-8E5E-9E6BE242E64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E73CB918-0F8F-40E7-AD46-95C7B0C24802}"/>
    <cellStyle name="20% - Accent6 3 2 5 2 2 3" xfId="25232" xr:uid="{FE2E8507-7711-4E2C-9F81-1FC95E892683}"/>
    <cellStyle name="20% - Accent6 3 2 5 2 3" xfId="12580" xr:uid="{10283A7E-2105-42AD-8915-9CE363FE8AF8}"/>
    <cellStyle name="20% - Accent6 3 2 5 2 4" xfId="21015" xr:uid="{0CB646A9-3851-4775-BE01-19FAA0EB0892}"/>
    <cellStyle name="20% - Accent6 3 2 5 3" xfId="6203" xr:uid="{00000000-0005-0000-0000-000083030000}"/>
    <cellStyle name="20% - Accent6 3 2 5 3 2" xfId="14653" xr:uid="{BF788E09-7E4D-467C-9045-78ABD47EE221}"/>
    <cellStyle name="20% - Accent6 3 2 5 3 3" xfId="23087" xr:uid="{C8E17F83-2840-4A14-A259-0B1A2BAD6FF9}"/>
    <cellStyle name="20% - Accent6 3 2 5 4" xfId="10435" xr:uid="{3C0C2D3E-D90E-41A5-AEAD-7E932D29B17C}"/>
    <cellStyle name="20% - Accent6 3 2 5 5" xfId="18870" xr:uid="{3DBD8BB0-1DEE-4318-9456-45E7785757B4}"/>
    <cellStyle name="20% - Accent6 3 2 6" xfId="2310" xr:uid="{00000000-0005-0000-0000-000084030000}"/>
    <cellStyle name="20% - Accent6 3 2 6 2" xfId="6616" xr:uid="{00000000-0005-0000-0000-000085030000}"/>
    <cellStyle name="20% - Accent6 3 2 6 2 2" xfId="15066" xr:uid="{53E680F4-23CB-4293-BBD2-4E267EECD0EE}"/>
    <cellStyle name="20% - Accent6 3 2 6 2 3" xfId="23500" xr:uid="{9664FA56-1834-4AA6-9D97-91DA1B6DA9FC}"/>
    <cellStyle name="20% - Accent6 3 2 6 3" xfId="10848" xr:uid="{AADAD863-6FA3-4596-BAE7-22926B945862}"/>
    <cellStyle name="20% - Accent6 3 2 6 4" xfId="19283" xr:uid="{114DBE8B-172E-4595-A02B-2766164B2EB2}"/>
    <cellStyle name="20% - Accent6 3 2 7" xfId="4550" xr:uid="{00000000-0005-0000-0000-000086030000}"/>
    <cellStyle name="20% - Accent6 3 2 7 2" xfId="13000" xr:uid="{8AEF429C-AD84-428C-81F4-3B6828B1071C}"/>
    <cellStyle name="20% - Accent6 3 2 7 3" xfId="21434" xr:uid="{8305352A-4C29-4E28-BB84-12A605304D9E}"/>
    <cellStyle name="20% - Accent6 3 2 8" xfId="8782" xr:uid="{7EF4D611-4BA1-4F91-B9AF-7DB0B34C23A0}"/>
    <cellStyle name="20% - Accent6 3 2 9" xfId="17217" xr:uid="{BEF91FA8-6DC2-44A8-9518-C17CCA90086C}"/>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19C40018-A387-45C9-88BF-E6178F06CA46}"/>
    <cellStyle name="20% - Accent6 3 3 2 2 3" xfId="23992" xr:uid="{F40D3F2E-E53B-4044-A4EA-491F04B8AA40}"/>
    <cellStyle name="20% - Accent6 3 3 2 3" xfId="11340" xr:uid="{598753F9-3C35-48FB-BC9E-EC6A09DBA7B9}"/>
    <cellStyle name="20% - Accent6 3 3 2 4" xfId="19775" xr:uid="{8001BDB9-6C16-42B2-A3EA-4AB4DD7BF85C}"/>
    <cellStyle name="20% - Accent6 3 3 3" xfId="4963" xr:uid="{00000000-0005-0000-0000-00008A030000}"/>
    <cellStyle name="20% - Accent6 3 3 3 2" xfId="13413" xr:uid="{1800DA9B-E8B0-4F67-BABB-1E30954D0BB5}"/>
    <cellStyle name="20% - Accent6 3 3 3 3" xfId="21847" xr:uid="{B564967F-C096-47EE-8921-1B8826973A3C}"/>
    <cellStyle name="20% - Accent6 3 3 4" xfId="9195" xr:uid="{9C955490-2175-4D52-AC22-B4B75F7D426B}"/>
    <cellStyle name="20% - Accent6 3 3 5" xfId="17630" xr:uid="{18BEE6B4-1292-4701-8231-31F95E66C4B5}"/>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93AF64CE-A7E1-40C2-9F37-761AFCF2AFA3}"/>
    <cellStyle name="20% - Accent6 3 4 2 2 3" xfId="24405" xr:uid="{6D8B5EC7-AF23-41A5-9828-408211A9C411}"/>
    <cellStyle name="20% - Accent6 3 4 2 3" xfId="11753" xr:uid="{7E994B66-8DA9-4854-A2B7-2B45471A8455}"/>
    <cellStyle name="20% - Accent6 3 4 2 4" xfId="20188" xr:uid="{9F28CFCE-55D1-4155-844E-3ED5347494F4}"/>
    <cellStyle name="20% - Accent6 3 4 3" xfId="5376" xr:uid="{00000000-0005-0000-0000-00008E030000}"/>
    <cellStyle name="20% - Accent6 3 4 3 2" xfId="13826" xr:uid="{DEECA1F6-8AC7-4BA6-8B83-277C6527DF6D}"/>
    <cellStyle name="20% - Accent6 3 4 3 3" xfId="22260" xr:uid="{5BD2372E-5D7C-4D6E-9FD0-AEB8279ED7C5}"/>
    <cellStyle name="20% - Accent6 3 4 4" xfId="9608" xr:uid="{A2823A49-5B0D-4A40-AE21-F8D3FE8B8120}"/>
    <cellStyle name="20% - Accent6 3 4 5" xfId="18043" xr:uid="{4EB42AA8-CC6B-44C0-99E4-757829121F8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36F7F6FB-0326-444D-9EB0-3F58EA0C7A1D}"/>
    <cellStyle name="20% - Accent6 3 5 2 2 3" xfId="24818" xr:uid="{002B3EAE-9404-40CA-B127-C0739994018A}"/>
    <cellStyle name="20% - Accent6 3 5 2 3" xfId="12166" xr:uid="{AA5D2DCA-B375-49A2-8068-89B2030A73D8}"/>
    <cellStyle name="20% - Accent6 3 5 2 4" xfId="20601" xr:uid="{39EEFE52-A515-4CA9-AFC8-6BDA1138C97D}"/>
    <cellStyle name="20% - Accent6 3 5 3" xfId="5789" xr:uid="{00000000-0005-0000-0000-000092030000}"/>
    <cellStyle name="20% - Accent6 3 5 3 2" xfId="14239" xr:uid="{CE3AE8D1-A9C2-4CBC-BDAD-E4266CFF67F7}"/>
    <cellStyle name="20% - Accent6 3 5 3 3" xfId="22673" xr:uid="{FB37594D-033C-455C-A8F9-E05E6A00D975}"/>
    <cellStyle name="20% - Accent6 3 5 4" xfId="10021" xr:uid="{A33DE480-F677-4A6F-B202-37BBB738142E}"/>
    <cellStyle name="20% - Accent6 3 5 5" xfId="18456" xr:uid="{32550364-D943-41F5-B6C9-3D2874293393}"/>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64EF682A-0BC2-4D85-A3E4-7E8B1EE44205}"/>
    <cellStyle name="20% - Accent6 3 6 2 2 3" xfId="25231" xr:uid="{59902506-47AF-43D7-9C29-C4F8525AEDB4}"/>
    <cellStyle name="20% - Accent6 3 6 2 3" xfId="12579" xr:uid="{5D2BEEC9-0BAA-425E-BE5D-1E639FFE7AD4}"/>
    <cellStyle name="20% - Accent6 3 6 2 4" xfId="21014" xr:uid="{F7B152C4-750D-4A29-87EB-A546E943A940}"/>
    <cellStyle name="20% - Accent6 3 6 3" xfId="6202" xr:uid="{00000000-0005-0000-0000-000096030000}"/>
    <cellStyle name="20% - Accent6 3 6 3 2" xfId="14652" xr:uid="{2E39372C-225E-4EFD-A71D-6375610CA7FD}"/>
    <cellStyle name="20% - Accent6 3 6 3 3" xfId="23086" xr:uid="{C4D53480-0786-4F2E-99AF-15DD7EC73E57}"/>
    <cellStyle name="20% - Accent6 3 6 4" xfId="10434" xr:uid="{76DC665C-A7EB-4BFE-9F3E-CCA58C448B60}"/>
    <cellStyle name="20% - Accent6 3 6 5" xfId="18869" xr:uid="{484973C7-DA42-46DB-9FF4-CE0D057EA7FE}"/>
    <cellStyle name="20% - Accent6 3 7" xfId="2309" xr:uid="{00000000-0005-0000-0000-000097030000}"/>
    <cellStyle name="20% - Accent6 3 7 2" xfId="6615" xr:uid="{00000000-0005-0000-0000-000098030000}"/>
    <cellStyle name="20% - Accent6 3 7 2 2" xfId="15065" xr:uid="{0D263B1F-2216-4B45-83D9-15EFFEE1629C}"/>
    <cellStyle name="20% - Accent6 3 7 2 3" xfId="23499" xr:uid="{4263FBF8-EB80-4771-9676-07E57343902B}"/>
    <cellStyle name="20% - Accent6 3 7 3" xfId="10847" xr:uid="{60FB6E9B-BACE-47B9-9F12-9C813CA2C30C}"/>
    <cellStyle name="20% - Accent6 3 7 4" xfId="19282" xr:uid="{7E35EDC2-EA7E-444E-BC17-03C2CF2EC407}"/>
    <cellStyle name="20% - Accent6 3 8" xfId="4549" xr:uid="{00000000-0005-0000-0000-000099030000}"/>
    <cellStyle name="20% - Accent6 3 8 2" xfId="12999" xr:uid="{EF5B6D08-0B0E-4E7F-99C7-9E68059D6E5C}"/>
    <cellStyle name="20% - Accent6 3 8 3" xfId="21433" xr:uid="{6AE5D5D4-5EBD-4FE7-831D-841C1E6610AF}"/>
    <cellStyle name="20% - Accent6 3 9" xfId="8781" xr:uid="{44A363BA-A699-4541-908C-362CB5E7DBED}"/>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0672ECB9-FB69-4166-B02B-4047ACA7C418}"/>
    <cellStyle name="20% - Accent6 4 2 2 2 3" xfId="23994" xr:uid="{40301EF1-4120-4C7A-BB0A-325FFDECFC30}"/>
    <cellStyle name="20% - Accent6 4 2 2 3" xfId="11342" xr:uid="{18B36452-2BC2-45CA-9E55-5E50263F2FB4}"/>
    <cellStyle name="20% - Accent6 4 2 2 4" xfId="19777" xr:uid="{B2798D30-42BA-4E7B-B889-A855ACC70A0E}"/>
    <cellStyle name="20% - Accent6 4 2 3" xfId="4965" xr:uid="{00000000-0005-0000-0000-00009E030000}"/>
    <cellStyle name="20% - Accent6 4 2 3 2" xfId="13415" xr:uid="{8C7FB1D0-E630-45B9-BA9C-948CBE4C28BC}"/>
    <cellStyle name="20% - Accent6 4 2 3 3" xfId="21849" xr:uid="{5007F433-A2B6-417A-AB01-7A08893CA97D}"/>
    <cellStyle name="20% - Accent6 4 2 4" xfId="9197" xr:uid="{FD058BB4-87AF-43DC-BFA5-6596380ADEFF}"/>
    <cellStyle name="20% - Accent6 4 2 5" xfId="17632" xr:uid="{4EDABDD4-FF96-43AB-8454-6FC63E1ED9D0}"/>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A34E0AC2-1230-4FB1-92F1-16D01CD47437}"/>
    <cellStyle name="20% - Accent6 4 3 2 2 3" xfId="24407" xr:uid="{9A86D186-264F-4EEF-A18A-1B6733F83801}"/>
    <cellStyle name="20% - Accent6 4 3 2 3" xfId="11755" xr:uid="{4F75471F-94B2-43A5-A2F5-640001B2EB88}"/>
    <cellStyle name="20% - Accent6 4 3 2 4" xfId="20190" xr:uid="{4769CF27-597E-456A-ACCB-E240A9849B9E}"/>
    <cellStyle name="20% - Accent6 4 3 3" xfId="5378" xr:uid="{00000000-0005-0000-0000-0000A2030000}"/>
    <cellStyle name="20% - Accent6 4 3 3 2" xfId="13828" xr:uid="{0CC0034D-4629-4ECD-B95D-6D7F7C7A2EDC}"/>
    <cellStyle name="20% - Accent6 4 3 3 3" xfId="22262" xr:uid="{B141EF51-15BB-4713-B94C-0C45CE3746A6}"/>
    <cellStyle name="20% - Accent6 4 3 4" xfId="9610" xr:uid="{DC57AD59-6D7A-49E7-BB23-0D229222FBE2}"/>
    <cellStyle name="20% - Accent6 4 3 5" xfId="18045" xr:uid="{3282D094-9D1F-457E-BBB2-78D6F638C10B}"/>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2F162066-4AB0-4262-B8DC-D774D264D64D}"/>
    <cellStyle name="20% - Accent6 4 4 2 2 3" xfId="24820" xr:uid="{39CD5497-8926-409C-8481-71BB4202174D}"/>
    <cellStyle name="20% - Accent6 4 4 2 3" xfId="12168" xr:uid="{F47F8480-B7ED-49EB-925A-702151D55F84}"/>
    <cellStyle name="20% - Accent6 4 4 2 4" xfId="20603" xr:uid="{5E70FED0-4344-4189-B542-7806C6D14E2B}"/>
    <cellStyle name="20% - Accent6 4 4 3" xfId="5791" xr:uid="{00000000-0005-0000-0000-0000A6030000}"/>
    <cellStyle name="20% - Accent6 4 4 3 2" xfId="14241" xr:uid="{B025DA1F-399A-410A-9E75-750C812A02FE}"/>
    <cellStyle name="20% - Accent6 4 4 3 3" xfId="22675" xr:uid="{895B531F-2FBC-42E4-AB18-CDA65884F0EB}"/>
    <cellStyle name="20% - Accent6 4 4 4" xfId="10023" xr:uid="{D4ADEA79-0280-4349-A733-0C0AD1FC7911}"/>
    <cellStyle name="20% - Accent6 4 4 5" xfId="18458" xr:uid="{1123B227-E8E8-41AA-95F2-B864727F55B0}"/>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3EF57F29-52C8-4F46-892C-D06664101543}"/>
    <cellStyle name="20% - Accent6 4 5 2 2 3" xfId="25233" xr:uid="{40CE5CFF-7A4C-480D-81FB-181F368CE4B3}"/>
    <cellStyle name="20% - Accent6 4 5 2 3" xfId="12581" xr:uid="{C005DFDB-A5C4-438B-AB4A-770CC2D69337}"/>
    <cellStyle name="20% - Accent6 4 5 2 4" xfId="21016" xr:uid="{DA465B66-5FB3-40DA-A0C7-84E8570F6F9B}"/>
    <cellStyle name="20% - Accent6 4 5 3" xfId="6204" xr:uid="{00000000-0005-0000-0000-0000AA030000}"/>
    <cellStyle name="20% - Accent6 4 5 3 2" xfId="14654" xr:uid="{23D880E4-C27B-404F-9E92-333E549EC46E}"/>
    <cellStyle name="20% - Accent6 4 5 3 3" xfId="23088" xr:uid="{B5135FA1-6D9B-4AAF-9F17-A499B5FDA34F}"/>
    <cellStyle name="20% - Accent6 4 5 4" xfId="10436" xr:uid="{8556DC56-B9EC-46E0-96A4-1D6E3342649A}"/>
    <cellStyle name="20% - Accent6 4 5 5" xfId="18871" xr:uid="{3A6F5677-6830-4685-9360-7BA24280C6C7}"/>
    <cellStyle name="20% - Accent6 4 6" xfId="2311" xr:uid="{00000000-0005-0000-0000-0000AB030000}"/>
    <cellStyle name="20% - Accent6 4 6 2" xfId="6617" xr:uid="{00000000-0005-0000-0000-0000AC030000}"/>
    <cellStyle name="20% - Accent6 4 6 2 2" xfId="15067" xr:uid="{D9B459C9-6EA7-4BA4-8E74-E8036F7A7EDC}"/>
    <cellStyle name="20% - Accent6 4 6 2 3" xfId="23501" xr:uid="{61E57107-2D86-40C8-B13E-6587C8A23840}"/>
    <cellStyle name="20% - Accent6 4 6 3" xfId="10849" xr:uid="{33E63CA5-2644-4256-9F43-516F74F70066}"/>
    <cellStyle name="20% - Accent6 4 6 4" xfId="19284" xr:uid="{E326A478-05B7-4FBE-B272-764B49BE86CE}"/>
    <cellStyle name="20% - Accent6 4 7" xfId="4551" xr:uid="{00000000-0005-0000-0000-0000AD030000}"/>
    <cellStyle name="20% - Accent6 4 7 2" xfId="13001" xr:uid="{405A39AC-BE1E-47C9-BBAB-D0C7EAB02E00}"/>
    <cellStyle name="20% - Accent6 4 7 3" xfId="21435" xr:uid="{6F57F07F-B8F3-47DA-9CDA-58A9BF5661F3}"/>
    <cellStyle name="20% - Accent6 4 8" xfId="8783" xr:uid="{7F7F36ED-C1D3-4184-BF21-F4BC13F75D5C}"/>
    <cellStyle name="20% - Accent6 4 9" xfId="17218" xr:uid="{6EB4EF13-3C79-43BE-8DFD-E9BE8731B360}"/>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27203024-6EA9-4EAB-B55A-CCE4E2107594}"/>
    <cellStyle name="20% - Accent6 5 2 2 3" xfId="23987" xr:uid="{00FDBB28-8D0B-45EF-8847-DED41D6386D8}"/>
    <cellStyle name="20% - Accent6 5 2 3" xfId="11335" xr:uid="{2E919E28-2014-44C7-89DD-AE23CBB7FE2C}"/>
    <cellStyle name="20% - Accent6 5 2 4" xfId="19770" xr:uid="{8D22A839-AB17-4C21-BB07-27D632EA928A}"/>
    <cellStyle name="20% - Accent6 5 3" xfId="4958" xr:uid="{00000000-0005-0000-0000-0000B1030000}"/>
    <cellStyle name="20% - Accent6 5 3 2" xfId="13408" xr:uid="{A2333309-3085-4B68-A75B-340D8CB3CF51}"/>
    <cellStyle name="20% - Accent6 5 3 3" xfId="21842" xr:uid="{510F107F-F9AB-4360-8FE8-298D323B3AB2}"/>
    <cellStyle name="20% - Accent6 5 4" xfId="9190" xr:uid="{36BB7B63-AE58-4FC0-8BEF-7CA0F25AFFB1}"/>
    <cellStyle name="20% - Accent6 5 5" xfId="17625" xr:uid="{690FFCCC-07A1-4434-9E25-88AFB2B280DE}"/>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2F9A3374-42A4-4E3E-9FD8-E22772F9BA61}"/>
    <cellStyle name="20% - Accent6 6 2 2 3" xfId="24400" xr:uid="{267A3BB2-8EA4-4B4E-93E2-BB5CEBAB4F86}"/>
    <cellStyle name="20% - Accent6 6 2 3" xfId="11748" xr:uid="{2AA03A8C-1245-41BB-9F81-C45060B482C1}"/>
    <cellStyle name="20% - Accent6 6 2 4" xfId="20183" xr:uid="{F2C3F8C6-B720-480D-9772-65EAC6296ED7}"/>
    <cellStyle name="20% - Accent6 6 3" xfId="5371" xr:uid="{00000000-0005-0000-0000-0000B5030000}"/>
    <cellStyle name="20% - Accent6 6 3 2" xfId="13821" xr:uid="{8C5772F3-50DA-4399-BDEC-0DDD4BCD3A09}"/>
    <cellStyle name="20% - Accent6 6 3 3" xfId="22255" xr:uid="{3E047FC8-ACE7-4CC6-B341-0758E5B81FDD}"/>
    <cellStyle name="20% - Accent6 6 4" xfId="9603" xr:uid="{A9FBB845-D660-4EB4-B0A9-C8DEF6BF8B74}"/>
    <cellStyle name="20% - Accent6 6 5" xfId="18038" xr:uid="{EDD4FCA3-5287-4347-800D-D8C3321D2AF9}"/>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5742BE4C-946B-45D5-9381-E8C2D88B6F74}"/>
    <cellStyle name="20% - Accent6 7 2 2 3" xfId="24813" xr:uid="{4C85CEE3-1A57-4347-BAD4-B391747E877B}"/>
    <cellStyle name="20% - Accent6 7 2 3" xfId="12161" xr:uid="{DD6C7B22-959F-41D2-95A0-601DAB713E1B}"/>
    <cellStyle name="20% - Accent6 7 2 4" xfId="20596" xr:uid="{5D108B9B-FF1C-44E8-95DE-BA1B61E31E69}"/>
    <cellStyle name="20% - Accent6 7 3" xfId="5784" xr:uid="{00000000-0005-0000-0000-0000B9030000}"/>
    <cellStyle name="20% - Accent6 7 3 2" xfId="14234" xr:uid="{BFE40BAD-9A1C-4EE1-AF17-8B66D3EB6D4B}"/>
    <cellStyle name="20% - Accent6 7 3 3" xfId="22668" xr:uid="{9C8DA9E0-0F3A-4FA8-8BBC-0FE38933DC7A}"/>
    <cellStyle name="20% - Accent6 7 4" xfId="10016" xr:uid="{3468038A-6C58-42CD-AD36-6FA1AAB4A103}"/>
    <cellStyle name="20% - Accent6 7 5" xfId="18451" xr:uid="{4FB3F70C-10CD-4F9F-BC02-B3D7B63844A2}"/>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40094D9E-7C98-4AD9-B80C-C250B32DABA1}"/>
    <cellStyle name="20% - Accent6 8 2 2 3" xfId="25226" xr:uid="{22BB23B8-B280-4471-B062-F01A5E1CD90F}"/>
    <cellStyle name="20% - Accent6 8 2 3" xfId="12574" xr:uid="{2563B64E-6065-4185-BB60-41F586EAA8B0}"/>
    <cellStyle name="20% - Accent6 8 2 4" xfId="21009" xr:uid="{C1A69F20-A50B-4B7F-96F6-616B54F51961}"/>
    <cellStyle name="20% - Accent6 8 3" xfId="6197" xr:uid="{00000000-0005-0000-0000-0000BD030000}"/>
    <cellStyle name="20% - Accent6 8 3 2" xfId="14647" xr:uid="{F049FDEC-655F-4BAE-AD71-01B6DAA3B90A}"/>
    <cellStyle name="20% - Accent6 8 3 3" xfId="23081" xr:uid="{D67D1E63-5862-44E2-9D5D-DEEE225CD275}"/>
    <cellStyle name="20% - Accent6 8 4" xfId="10429" xr:uid="{3E940E4E-0BF1-4631-B619-1164EA6D4A3D}"/>
    <cellStyle name="20% - Accent6 8 5" xfId="18864" xr:uid="{F75F775E-73DD-4149-8822-657AFCAD882A}"/>
    <cellStyle name="20% - Accent6 9" xfId="2304" xr:uid="{00000000-0005-0000-0000-0000BE030000}"/>
    <cellStyle name="20% - Accent6 9 2" xfId="6610" xr:uid="{00000000-0005-0000-0000-0000BF030000}"/>
    <cellStyle name="20% - Accent6 9 2 2" xfId="15060" xr:uid="{93F10299-AAD5-4752-B7F6-2011E9719B09}"/>
    <cellStyle name="20% - Accent6 9 2 3" xfId="23494" xr:uid="{C145C063-4094-4D8D-89F5-79AF38755894}"/>
    <cellStyle name="20% - Accent6 9 3" xfId="10842" xr:uid="{CD5F7106-385A-4282-BBDC-EC6863A24BEB}"/>
    <cellStyle name="20% - Accent6 9 4" xfId="19277" xr:uid="{546DD898-5F7D-4F23-9F5A-AA1A24849E53}"/>
    <cellStyle name="40% - Accent1" xfId="49" builtinId="31" customBuiltin="1"/>
    <cellStyle name="40% - Accent1 10" xfId="4552" xr:uid="{00000000-0005-0000-0000-0000C1030000}"/>
    <cellStyle name="40% - Accent1 10 2" xfId="13002" xr:uid="{50050FAF-B187-4947-B45D-2664137BB59D}"/>
    <cellStyle name="40% - Accent1 10 3" xfId="21436" xr:uid="{77B6D8B3-C713-4DE7-AC64-1F792FCD5551}"/>
    <cellStyle name="40% - Accent1 11" xfId="8784" xr:uid="{91EC7E1E-F2E2-4091-B990-C8A0ED18F374}"/>
    <cellStyle name="40% - Accent1 12" xfId="17219" xr:uid="{79C309D8-7838-435A-91B4-C063D84358C0}"/>
    <cellStyle name="40% - Accent1 2" xfId="50" xr:uid="{00000000-0005-0000-0000-0000C2030000}"/>
    <cellStyle name="40% - Accent1 2 10" xfId="8785" xr:uid="{3F0F7EEF-CB71-4BB3-8F92-9B7ECEAC7BAF}"/>
    <cellStyle name="40% - Accent1 2 11" xfId="17220" xr:uid="{944CFE43-E06A-437A-91C2-C79B87FD0954}"/>
    <cellStyle name="40% - Accent1 2 2" xfId="51" xr:uid="{00000000-0005-0000-0000-0000C3030000}"/>
    <cellStyle name="40% - Accent1 2 2 10" xfId="17221" xr:uid="{FA0065BD-EB78-41EA-9FC5-F0EC2E19BAD2}"/>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F5164B30-BB06-4762-A32B-22F98ABF1244}"/>
    <cellStyle name="40% - Accent1 2 2 2 2 2 2 3" xfId="23998" xr:uid="{50BD53C3-7345-48A5-990A-F07E7767AAE2}"/>
    <cellStyle name="40% - Accent1 2 2 2 2 2 3" xfId="11346" xr:uid="{6F1E0457-2BD9-4C6A-AB75-B01ED5227C02}"/>
    <cellStyle name="40% - Accent1 2 2 2 2 2 4" xfId="19781" xr:uid="{EE3F9C06-4CCD-4C63-BA4D-806FAFF95B64}"/>
    <cellStyle name="40% - Accent1 2 2 2 2 3" xfId="4969" xr:uid="{00000000-0005-0000-0000-0000C8030000}"/>
    <cellStyle name="40% - Accent1 2 2 2 2 3 2" xfId="13419" xr:uid="{7E8E186F-4DB0-4FA9-8E66-AE0E8055058C}"/>
    <cellStyle name="40% - Accent1 2 2 2 2 3 3" xfId="21853" xr:uid="{5F7B17A9-781D-43ED-9AC9-C813637E5D3F}"/>
    <cellStyle name="40% - Accent1 2 2 2 2 4" xfId="9201" xr:uid="{6681228C-1886-400E-A261-EAB3ED8AA012}"/>
    <cellStyle name="40% - Accent1 2 2 2 2 5" xfId="17636" xr:uid="{6050E8AF-3712-4A8F-B47C-B1C1196B508C}"/>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E9753343-BA56-4AFC-AF6B-CB9F4CC91322}"/>
    <cellStyle name="40% - Accent1 2 2 2 3 2 2 3" xfId="24411" xr:uid="{E0C5B787-2CEB-48B0-9A2A-2DCAC4318F39}"/>
    <cellStyle name="40% - Accent1 2 2 2 3 2 3" xfId="11759" xr:uid="{02020AF4-0CF5-42C9-ADC3-9C931FE4129F}"/>
    <cellStyle name="40% - Accent1 2 2 2 3 2 4" xfId="20194" xr:uid="{2A0DEFD8-C9D7-4E8F-8C18-62C044AEC760}"/>
    <cellStyle name="40% - Accent1 2 2 2 3 3" xfId="5382" xr:uid="{00000000-0005-0000-0000-0000CC030000}"/>
    <cellStyle name="40% - Accent1 2 2 2 3 3 2" xfId="13832" xr:uid="{17D2C511-8663-4FBA-BC8F-003C0D6DACFA}"/>
    <cellStyle name="40% - Accent1 2 2 2 3 3 3" xfId="22266" xr:uid="{CBD548CB-057C-476B-9959-3D22D93CF171}"/>
    <cellStyle name="40% - Accent1 2 2 2 3 4" xfId="9614" xr:uid="{FE71F609-85E2-4BC9-AB87-2A604380D9CE}"/>
    <cellStyle name="40% - Accent1 2 2 2 3 5" xfId="18049" xr:uid="{87D6CC92-A120-45B1-9C8D-A64DA8766531}"/>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4F7AE27A-B550-4CD6-9A0B-276BABABF343}"/>
    <cellStyle name="40% - Accent1 2 2 2 4 2 2 3" xfId="24824" xr:uid="{805BDA94-BBE3-48D1-8373-47F282065688}"/>
    <cellStyle name="40% - Accent1 2 2 2 4 2 3" xfId="12172" xr:uid="{31FE5F1B-0F70-483B-AD9F-B82CF41F42D4}"/>
    <cellStyle name="40% - Accent1 2 2 2 4 2 4" xfId="20607" xr:uid="{CB98398B-13B5-49F0-BE9B-48E9754FF612}"/>
    <cellStyle name="40% - Accent1 2 2 2 4 3" xfId="5795" xr:uid="{00000000-0005-0000-0000-0000D0030000}"/>
    <cellStyle name="40% - Accent1 2 2 2 4 3 2" xfId="14245" xr:uid="{531E515C-D315-4963-8BDF-89167EB14374}"/>
    <cellStyle name="40% - Accent1 2 2 2 4 3 3" xfId="22679" xr:uid="{AB09F91E-E663-44FC-A061-E21544575463}"/>
    <cellStyle name="40% - Accent1 2 2 2 4 4" xfId="10027" xr:uid="{67EEAE51-9E8A-4230-BBE7-B83236421F44}"/>
    <cellStyle name="40% - Accent1 2 2 2 4 5" xfId="18462" xr:uid="{EC24130B-6FDE-4D5F-8C5F-88C234561F9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4EBAE05C-02AB-40F3-8DF0-423127F4DF90}"/>
    <cellStyle name="40% - Accent1 2 2 2 5 2 2 3" xfId="25237" xr:uid="{62AE508E-330E-4514-B2EC-1388268322BC}"/>
    <cellStyle name="40% - Accent1 2 2 2 5 2 3" xfId="12585" xr:uid="{109CB188-E6F2-4644-B970-2F205EF64C46}"/>
    <cellStyle name="40% - Accent1 2 2 2 5 2 4" xfId="21020" xr:uid="{BD584494-8DAA-4137-A689-4E3765AD247B}"/>
    <cellStyle name="40% - Accent1 2 2 2 5 3" xfId="6208" xr:uid="{00000000-0005-0000-0000-0000D4030000}"/>
    <cellStyle name="40% - Accent1 2 2 2 5 3 2" xfId="14658" xr:uid="{86B2035F-0748-4973-AB96-EFC852D0FA8F}"/>
    <cellStyle name="40% - Accent1 2 2 2 5 3 3" xfId="23092" xr:uid="{5C0C45ED-F518-42B3-83E1-9F6BAC266CCC}"/>
    <cellStyle name="40% - Accent1 2 2 2 5 4" xfId="10440" xr:uid="{84E84C05-47AF-4927-A65A-8D53BDF28F91}"/>
    <cellStyle name="40% - Accent1 2 2 2 5 5" xfId="18875" xr:uid="{C0398ED5-A4B1-4D65-BF2F-1B26B1A1A166}"/>
    <cellStyle name="40% - Accent1 2 2 2 6" xfId="2315" xr:uid="{00000000-0005-0000-0000-0000D5030000}"/>
    <cellStyle name="40% - Accent1 2 2 2 6 2" xfId="6621" xr:uid="{00000000-0005-0000-0000-0000D6030000}"/>
    <cellStyle name="40% - Accent1 2 2 2 6 2 2" xfId="15071" xr:uid="{2D0772BB-9FAC-4C2C-AE5D-42A8602A4C6D}"/>
    <cellStyle name="40% - Accent1 2 2 2 6 2 3" xfId="23505" xr:uid="{79F21B74-8F33-46C9-A875-6C999E9018AE}"/>
    <cellStyle name="40% - Accent1 2 2 2 6 3" xfId="10853" xr:uid="{8A897905-14DE-4548-9742-590285D93B37}"/>
    <cellStyle name="40% - Accent1 2 2 2 6 4" xfId="19288" xr:uid="{DB0FBE97-9849-4846-86AA-D917D89A3006}"/>
    <cellStyle name="40% - Accent1 2 2 2 7" xfId="4555" xr:uid="{00000000-0005-0000-0000-0000D7030000}"/>
    <cellStyle name="40% - Accent1 2 2 2 7 2" xfId="13005" xr:uid="{05D81508-51BC-4FA0-91AE-DE68A530E6D3}"/>
    <cellStyle name="40% - Accent1 2 2 2 7 3" xfId="21439" xr:uid="{E6D521DD-29EF-4D23-BA08-D9D46FD07137}"/>
    <cellStyle name="40% - Accent1 2 2 2 8" xfId="8787" xr:uid="{C96D6739-514F-4D01-9931-5FE9453A8FD1}"/>
    <cellStyle name="40% - Accent1 2 2 2 9" xfId="17222" xr:uid="{87A52C01-D2D2-4ED2-8814-848521D5986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B54F69BC-944E-4A72-AADC-986A5A402F38}"/>
    <cellStyle name="40% - Accent1 2 2 3 2 2 3" xfId="23997" xr:uid="{874EE884-2FFD-4899-AE9D-9E3DB60F16CD}"/>
    <cellStyle name="40% - Accent1 2 2 3 2 3" xfId="11345" xr:uid="{D850120B-4BE8-41DD-B6CA-11ACBEB4CC34}"/>
    <cellStyle name="40% - Accent1 2 2 3 2 4" xfId="19780" xr:uid="{04931C7B-81AD-4866-B43F-3596F4060086}"/>
    <cellStyle name="40% - Accent1 2 2 3 3" xfId="4968" xr:uid="{00000000-0005-0000-0000-0000DB030000}"/>
    <cellStyle name="40% - Accent1 2 2 3 3 2" xfId="13418" xr:uid="{5507E2FF-236C-423C-BA67-7BB3C33C0282}"/>
    <cellStyle name="40% - Accent1 2 2 3 3 3" xfId="21852" xr:uid="{D4640021-E17C-4E14-B109-591015232A34}"/>
    <cellStyle name="40% - Accent1 2 2 3 4" xfId="9200" xr:uid="{6AFC9014-C16B-4DD4-9EF2-5EDA3F87582A}"/>
    <cellStyle name="40% - Accent1 2 2 3 5" xfId="17635" xr:uid="{249D2A5F-9FD0-4BAE-850F-D9E8A5E871B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71F82918-3DDE-4549-B7C0-697BF9869157}"/>
    <cellStyle name="40% - Accent1 2 2 4 2 2 3" xfId="24410" xr:uid="{2C74811F-2711-4099-B99D-F0CD4F40C23C}"/>
    <cellStyle name="40% - Accent1 2 2 4 2 3" xfId="11758" xr:uid="{6CF39643-EA4E-45FA-A743-3B0EC96ED2E0}"/>
    <cellStyle name="40% - Accent1 2 2 4 2 4" xfId="20193" xr:uid="{4AC940BF-7AF8-4783-93E5-D5561B3B47C3}"/>
    <cellStyle name="40% - Accent1 2 2 4 3" xfId="5381" xr:uid="{00000000-0005-0000-0000-0000DF030000}"/>
    <cellStyle name="40% - Accent1 2 2 4 3 2" xfId="13831" xr:uid="{39BA682D-CBFD-4C24-BF3B-C600EB9F82C0}"/>
    <cellStyle name="40% - Accent1 2 2 4 3 3" xfId="22265" xr:uid="{8F51338F-AB4C-47FE-84F4-E05BB66106C7}"/>
    <cellStyle name="40% - Accent1 2 2 4 4" xfId="9613" xr:uid="{FD86A092-D228-4D6D-A2A3-1E03C5831B0A}"/>
    <cellStyle name="40% - Accent1 2 2 4 5" xfId="18048" xr:uid="{D152A3DA-400C-43C0-8FFA-2C332BC8F9BC}"/>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9E1DBF25-EDA2-45C7-91B1-9975CBDC7FB5}"/>
    <cellStyle name="40% - Accent1 2 2 5 2 2 3" xfId="24823" xr:uid="{824504D6-7F48-401F-A5BF-726997C9E273}"/>
    <cellStyle name="40% - Accent1 2 2 5 2 3" xfId="12171" xr:uid="{2A6C1DB8-5EE0-401D-80C9-BCB68EC0326E}"/>
    <cellStyle name="40% - Accent1 2 2 5 2 4" xfId="20606" xr:uid="{77437592-A772-41FF-99DC-5B51C4908F1A}"/>
    <cellStyle name="40% - Accent1 2 2 5 3" xfId="5794" xr:uid="{00000000-0005-0000-0000-0000E3030000}"/>
    <cellStyle name="40% - Accent1 2 2 5 3 2" xfId="14244" xr:uid="{AE794436-3EF0-43EF-86A2-38C3DA87CFF6}"/>
    <cellStyle name="40% - Accent1 2 2 5 3 3" xfId="22678" xr:uid="{FF3AA993-AEB0-49C4-A9B5-2788DB393F1B}"/>
    <cellStyle name="40% - Accent1 2 2 5 4" xfId="10026" xr:uid="{6A37F711-07F9-40D8-83A0-90CE6BFC0836}"/>
    <cellStyle name="40% - Accent1 2 2 5 5" xfId="18461" xr:uid="{6FF07508-78A9-4D9E-B9C1-F78E603DF1BB}"/>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DEB30651-CE80-4AAB-8B0D-F1A0878CD026}"/>
    <cellStyle name="40% - Accent1 2 2 6 2 2 3" xfId="25236" xr:uid="{B36ED5D9-9463-4DEB-9F10-C0C55339EAFF}"/>
    <cellStyle name="40% - Accent1 2 2 6 2 3" xfId="12584" xr:uid="{E85903E6-606C-4B3D-A1DE-482C0D002D47}"/>
    <cellStyle name="40% - Accent1 2 2 6 2 4" xfId="21019" xr:uid="{ECF7F494-2F4B-43AA-AB45-CFA5E0BF48AE}"/>
    <cellStyle name="40% - Accent1 2 2 6 3" xfId="6207" xr:uid="{00000000-0005-0000-0000-0000E7030000}"/>
    <cellStyle name="40% - Accent1 2 2 6 3 2" xfId="14657" xr:uid="{E22E5DE0-5959-4BE2-A40D-58099D008E4E}"/>
    <cellStyle name="40% - Accent1 2 2 6 3 3" xfId="23091" xr:uid="{4604E2D4-DF69-44EF-AAD2-97C0A352DD38}"/>
    <cellStyle name="40% - Accent1 2 2 6 4" xfId="10439" xr:uid="{2F566DB6-42E1-4D99-9545-37F05B02556F}"/>
    <cellStyle name="40% - Accent1 2 2 6 5" xfId="18874" xr:uid="{8F6C82E1-C521-46ED-8438-6DECDADBB6BC}"/>
    <cellStyle name="40% - Accent1 2 2 7" xfId="2314" xr:uid="{00000000-0005-0000-0000-0000E8030000}"/>
    <cellStyle name="40% - Accent1 2 2 7 2" xfId="6620" xr:uid="{00000000-0005-0000-0000-0000E9030000}"/>
    <cellStyle name="40% - Accent1 2 2 7 2 2" xfId="15070" xr:uid="{E77AEB2B-4522-4F79-9D0F-FFFAC17F789A}"/>
    <cellStyle name="40% - Accent1 2 2 7 2 3" xfId="23504" xr:uid="{51D10423-AF86-4A56-B3EF-158D95972A24}"/>
    <cellStyle name="40% - Accent1 2 2 7 3" xfId="10852" xr:uid="{A7EDF54C-C93E-4508-9B61-1BE19C94135C}"/>
    <cellStyle name="40% - Accent1 2 2 7 4" xfId="19287" xr:uid="{4403CDE0-45F3-45BF-8256-4B3E0CA4DB06}"/>
    <cellStyle name="40% - Accent1 2 2 8" xfId="4554" xr:uid="{00000000-0005-0000-0000-0000EA030000}"/>
    <cellStyle name="40% - Accent1 2 2 8 2" xfId="13004" xr:uid="{07391D04-5264-416C-A87E-5A5FD19C4CAF}"/>
    <cellStyle name="40% - Accent1 2 2 8 3" xfId="21438" xr:uid="{AF90B2A6-BCFD-4D13-9F83-559FDEB61055}"/>
    <cellStyle name="40% - Accent1 2 2 9" xfId="8786" xr:uid="{8D1632DA-900C-4E76-8C4B-4126D7A898F6}"/>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A6205821-76A6-49E7-A393-B538AE7D2BA9}"/>
    <cellStyle name="40% - Accent1 2 3 2 2 2 3" xfId="23999" xr:uid="{59541941-900B-4276-9495-E6153BA384E4}"/>
    <cellStyle name="40% - Accent1 2 3 2 2 3" xfId="11347" xr:uid="{EB23404B-4235-42C0-A30D-E4E8A46E23E0}"/>
    <cellStyle name="40% - Accent1 2 3 2 2 4" xfId="19782" xr:uid="{7A487403-3728-4DDD-ADC8-28EB5C2C48C5}"/>
    <cellStyle name="40% - Accent1 2 3 2 3" xfId="4970" xr:uid="{00000000-0005-0000-0000-0000EF030000}"/>
    <cellStyle name="40% - Accent1 2 3 2 3 2" xfId="13420" xr:uid="{ED0074F0-269D-433F-B5D6-381FDE7F7D96}"/>
    <cellStyle name="40% - Accent1 2 3 2 3 3" xfId="21854" xr:uid="{8D7D5A36-41FA-4F23-9443-8A33DAB166B0}"/>
    <cellStyle name="40% - Accent1 2 3 2 4" xfId="9202" xr:uid="{9265EEF7-3B95-4EF7-B75D-FA7F9A8C510E}"/>
    <cellStyle name="40% - Accent1 2 3 2 5" xfId="17637" xr:uid="{91FB0722-9037-4E83-913E-D0406CD47FB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A4DF0BEC-8DEB-4E3F-BA5C-F70E90792230}"/>
    <cellStyle name="40% - Accent1 2 3 3 2 2 3" xfId="24412" xr:uid="{DA9F187D-B172-4726-AAA6-57F795438588}"/>
    <cellStyle name="40% - Accent1 2 3 3 2 3" xfId="11760" xr:uid="{B4F071DF-90A7-4EB5-9583-F37ADEEC1F27}"/>
    <cellStyle name="40% - Accent1 2 3 3 2 4" xfId="20195" xr:uid="{4CD67894-9AE5-4F68-BD7C-82005019DF04}"/>
    <cellStyle name="40% - Accent1 2 3 3 3" xfId="5383" xr:uid="{00000000-0005-0000-0000-0000F3030000}"/>
    <cellStyle name="40% - Accent1 2 3 3 3 2" xfId="13833" xr:uid="{7C464556-A32C-4E00-AD5B-8E921981E075}"/>
    <cellStyle name="40% - Accent1 2 3 3 3 3" xfId="22267" xr:uid="{552250CB-E4B5-44F7-8BF7-ABEE2716CB52}"/>
    <cellStyle name="40% - Accent1 2 3 3 4" xfId="9615" xr:uid="{91D9F557-0197-4A47-AD44-DDF2C0A8DE7E}"/>
    <cellStyle name="40% - Accent1 2 3 3 5" xfId="18050" xr:uid="{89EB01F5-5D7B-428F-AA6A-51FDB3780AC6}"/>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AF9DED0A-12CB-4354-8F53-16AA62A40541}"/>
    <cellStyle name="40% - Accent1 2 3 4 2 2 3" xfId="24825" xr:uid="{F79A9918-EE30-43CF-82CD-DEFD78A86721}"/>
    <cellStyle name="40% - Accent1 2 3 4 2 3" xfId="12173" xr:uid="{D09DED39-1C13-48FA-8F5E-1F9ED04C8F38}"/>
    <cellStyle name="40% - Accent1 2 3 4 2 4" xfId="20608" xr:uid="{56728DDF-4829-429A-95F3-8041A7A51A44}"/>
    <cellStyle name="40% - Accent1 2 3 4 3" xfId="5796" xr:uid="{00000000-0005-0000-0000-0000F7030000}"/>
    <cellStyle name="40% - Accent1 2 3 4 3 2" xfId="14246" xr:uid="{B5F79C7A-C0E1-4EBE-A8E0-6416B0586E6E}"/>
    <cellStyle name="40% - Accent1 2 3 4 3 3" xfId="22680" xr:uid="{8A65E936-4E60-497C-AF07-0016EB61B660}"/>
    <cellStyle name="40% - Accent1 2 3 4 4" xfId="10028" xr:uid="{3784E826-4DA7-49F9-BD1B-A94D8702ECAD}"/>
    <cellStyle name="40% - Accent1 2 3 4 5" xfId="18463" xr:uid="{22357EB2-18AE-470B-BE4F-061196C97B1F}"/>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33AD0D57-94E1-4388-A7F3-65FAA56DF50A}"/>
    <cellStyle name="40% - Accent1 2 3 5 2 2 3" xfId="25238" xr:uid="{F022F833-2E65-4D66-A9AC-3C02650E1198}"/>
    <cellStyle name="40% - Accent1 2 3 5 2 3" xfId="12586" xr:uid="{AEE3FABA-898B-4276-9FB1-EA67124AB9BF}"/>
    <cellStyle name="40% - Accent1 2 3 5 2 4" xfId="21021" xr:uid="{4F9B1C21-CFCF-4458-B349-773FDD967F88}"/>
    <cellStyle name="40% - Accent1 2 3 5 3" xfId="6209" xr:uid="{00000000-0005-0000-0000-0000FB030000}"/>
    <cellStyle name="40% - Accent1 2 3 5 3 2" xfId="14659" xr:uid="{B77EA004-A4A4-4CA6-9F8F-ABAE77B67F59}"/>
    <cellStyle name="40% - Accent1 2 3 5 3 3" xfId="23093" xr:uid="{1EA7F088-D058-4435-83F2-B8D64E835944}"/>
    <cellStyle name="40% - Accent1 2 3 5 4" xfId="10441" xr:uid="{80CA0F68-14C9-4CA3-B1B9-10542E44F58D}"/>
    <cellStyle name="40% - Accent1 2 3 5 5" xfId="18876" xr:uid="{F112DB77-69CC-497B-B646-B1604B515D78}"/>
    <cellStyle name="40% - Accent1 2 3 6" xfId="2316" xr:uid="{00000000-0005-0000-0000-0000FC030000}"/>
    <cellStyle name="40% - Accent1 2 3 6 2" xfId="6622" xr:uid="{00000000-0005-0000-0000-0000FD030000}"/>
    <cellStyle name="40% - Accent1 2 3 6 2 2" xfId="15072" xr:uid="{BA8F98F0-249E-4ABA-9EAC-4CBF22FC5D6B}"/>
    <cellStyle name="40% - Accent1 2 3 6 2 3" xfId="23506" xr:uid="{1CBD9D7F-C360-4382-A2B8-DDA2702A1D1B}"/>
    <cellStyle name="40% - Accent1 2 3 6 3" xfId="10854" xr:uid="{29EF1148-0054-4A32-ABD4-CCE95DCFEFD2}"/>
    <cellStyle name="40% - Accent1 2 3 6 4" xfId="19289" xr:uid="{BA38CEC1-C0FA-4B24-99D7-38ABAB11523D}"/>
    <cellStyle name="40% - Accent1 2 3 7" xfId="4556" xr:uid="{00000000-0005-0000-0000-0000FE030000}"/>
    <cellStyle name="40% - Accent1 2 3 7 2" xfId="13006" xr:uid="{63D42343-6964-45AD-82F5-F21226F6FE3F}"/>
    <cellStyle name="40% - Accent1 2 3 7 3" xfId="21440" xr:uid="{A01E8B24-9F98-4864-B8DB-D456A4C92A04}"/>
    <cellStyle name="40% - Accent1 2 3 8" xfId="8788" xr:uid="{039C2896-BCB3-484B-BB11-4B986DBA0FEC}"/>
    <cellStyle name="40% - Accent1 2 3 9" xfId="17223" xr:uid="{F8B31C79-46E7-4142-9629-E6A623815295}"/>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3FF86311-0780-415E-9AA9-72ABDDAF4794}"/>
    <cellStyle name="40% - Accent1 2 4 2 2 3" xfId="23996" xr:uid="{00F04CA7-5B33-4A29-A97F-5F46DADA5D56}"/>
    <cellStyle name="40% - Accent1 2 4 2 3" xfId="11344" xr:uid="{B1421FED-AC79-495B-A70D-300C13450E11}"/>
    <cellStyle name="40% - Accent1 2 4 2 4" xfId="19779" xr:uid="{047DA465-1DBE-4B61-835F-6D1080AEB9BA}"/>
    <cellStyle name="40% - Accent1 2 4 3" xfId="4967" xr:uid="{00000000-0005-0000-0000-000002040000}"/>
    <cellStyle name="40% - Accent1 2 4 3 2" xfId="13417" xr:uid="{A5602F32-0B3A-4A10-A6AD-E45A9914AADC}"/>
    <cellStyle name="40% - Accent1 2 4 3 3" xfId="21851" xr:uid="{EAE428A8-DA77-415F-9B58-57A3747A7B7B}"/>
    <cellStyle name="40% - Accent1 2 4 4" xfId="9199" xr:uid="{59D50555-C5A0-4352-AA02-87CF000DEEFD}"/>
    <cellStyle name="40% - Accent1 2 4 5" xfId="17634" xr:uid="{A71661C8-1422-4B71-A258-19ACC055232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307DC999-C40E-4170-A980-6877CCCFB55C}"/>
    <cellStyle name="40% - Accent1 2 5 2 2 3" xfId="24409" xr:uid="{881C26A9-2DB5-45A1-A7D3-C649EEF5514A}"/>
    <cellStyle name="40% - Accent1 2 5 2 3" xfId="11757" xr:uid="{AFCD0803-0591-485B-ACDB-1559AED62327}"/>
    <cellStyle name="40% - Accent1 2 5 2 4" xfId="20192" xr:uid="{F87E6738-F952-4F2F-9721-BBAB0587DEB3}"/>
    <cellStyle name="40% - Accent1 2 5 3" xfId="5380" xr:uid="{00000000-0005-0000-0000-000006040000}"/>
    <cellStyle name="40% - Accent1 2 5 3 2" xfId="13830" xr:uid="{0F628DE9-089F-42AA-AD17-440D3BD668F1}"/>
    <cellStyle name="40% - Accent1 2 5 3 3" xfId="22264" xr:uid="{C741AA34-4D0A-4BBE-9CCD-BF8FDC2772A2}"/>
    <cellStyle name="40% - Accent1 2 5 4" xfId="9612" xr:uid="{DAEA2CDB-95CE-47FB-8F3E-99382DE2AC11}"/>
    <cellStyle name="40% - Accent1 2 5 5" xfId="18047" xr:uid="{826D7D62-4679-4347-8C47-C9A1984AA7E3}"/>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296AA764-728B-4D20-B11A-11497A310ADE}"/>
    <cellStyle name="40% - Accent1 2 6 2 2 3" xfId="24822" xr:uid="{2A6B91E4-59CB-4C94-8755-F84312DFC1C1}"/>
    <cellStyle name="40% - Accent1 2 6 2 3" xfId="12170" xr:uid="{5F4D6A6A-5AE0-494D-8982-F671CF625DB1}"/>
    <cellStyle name="40% - Accent1 2 6 2 4" xfId="20605" xr:uid="{423A9403-A393-48AA-9AA6-97419359D53B}"/>
    <cellStyle name="40% - Accent1 2 6 3" xfId="5793" xr:uid="{00000000-0005-0000-0000-00000A040000}"/>
    <cellStyle name="40% - Accent1 2 6 3 2" xfId="14243" xr:uid="{289CF31D-6FE6-428D-B397-DEA9B4E57442}"/>
    <cellStyle name="40% - Accent1 2 6 3 3" xfId="22677" xr:uid="{47DE0D95-BF62-48C9-A860-CCE924787EE5}"/>
    <cellStyle name="40% - Accent1 2 6 4" xfId="10025" xr:uid="{87850AD0-080E-408B-BAC8-8C6055066F3B}"/>
    <cellStyle name="40% - Accent1 2 6 5" xfId="18460" xr:uid="{5C683CD8-CEF5-47FE-B6BA-2C95E38DF2BB}"/>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1C824AAC-A03D-4360-906A-4CF3365AB0E9}"/>
    <cellStyle name="40% - Accent1 2 7 2 2 3" xfId="25235" xr:uid="{BBF0A2D9-B396-4D83-9675-7EB246D0EE3F}"/>
    <cellStyle name="40% - Accent1 2 7 2 3" xfId="12583" xr:uid="{EC1F776F-66C5-4C84-AB5D-C09851F54654}"/>
    <cellStyle name="40% - Accent1 2 7 2 4" xfId="21018" xr:uid="{702C12D2-DE1A-49E1-9A2F-A2B9F2E34F02}"/>
    <cellStyle name="40% - Accent1 2 7 3" xfId="6206" xr:uid="{00000000-0005-0000-0000-00000E040000}"/>
    <cellStyle name="40% - Accent1 2 7 3 2" xfId="14656" xr:uid="{A6D91EF4-F7AD-475F-9112-D082522EA14C}"/>
    <cellStyle name="40% - Accent1 2 7 3 3" xfId="23090" xr:uid="{B05E2684-AD5B-4D5D-BF5A-A3EE12CDABBD}"/>
    <cellStyle name="40% - Accent1 2 7 4" xfId="10438" xr:uid="{FA7E85E5-D42E-4390-B8BF-77DC75620EB5}"/>
    <cellStyle name="40% - Accent1 2 7 5" xfId="18873" xr:uid="{B0DB25AA-C0F4-462B-B394-89DEA84297EB}"/>
    <cellStyle name="40% - Accent1 2 8" xfId="2313" xr:uid="{00000000-0005-0000-0000-00000F040000}"/>
    <cellStyle name="40% - Accent1 2 8 2" xfId="6619" xr:uid="{00000000-0005-0000-0000-000010040000}"/>
    <cellStyle name="40% - Accent1 2 8 2 2" xfId="15069" xr:uid="{CB7E394D-12FA-4190-A06D-7C3591635F85}"/>
    <cellStyle name="40% - Accent1 2 8 2 3" xfId="23503" xr:uid="{66437781-8C1A-4F9E-91C8-96AC91ADABA6}"/>
    <cellStyle name="40% - Accent1 2 8 3" xfId="10851" xr:uid="{5F48B416-C2E6-4B4A-A195-92E0ED958451}"/>
    <cellStyle name="40% - Accent1 2 8 4" xfId="19286" xr:uid="{34271BE1-9555-4CFC-A5B4-63A6F9E55DF2}"/>
    <cellStyle name="40% - Accent1 2 9" xfId="4553" xr:uid="{00000000-0005-0000-0000-000011040000}"/>
    <cellStyle name="40% - Accent1 2 9 2" xfId="13003" xr:uid="{FF544D20-EB4C-487D-8950-7BD72C2DC72D}"/>
    <cellStyle name="40% - Accent1 2 9 3" xfId="21437" xr:uid="{2998D400-2C22-4814-8A1D-3B349A1CC86A}"/>
    <cellStyle name="40% - Accent1 3" xfId="54" xr:uid="{00000000-0005-0000-0000-000012040000}"/>
    <cellStyle name="40% - Accent1 3 10" xfId="17224" xr:uid="{10002D23-A7E7-4BDB-B96F-1AA0BE87E7E6}"/>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B1A8B0DB-730E-4959-A46E-5332551BDD6C}"/>
    <cellStyle name="40% - Accent1 3 2 2 2 2 3" xfId="24001" xr:uid="{EF7625F6-345B-4D1A-8991-20C01A5EFD25}"/>
    <cellStyle name="40% - Accent1 3 2 2 2 3" xfId="11349" xr:uid="{B7D2007C-9F61-41A1-BB2D-6FAF00DF06E8}"/>
    <cellStyle name="40% - Accent1 3 2 2 2 4" xfId="19784" xr:uid="{FD7EDBEF-6DC3-4AA0-8775-565D5C34AD24}"/>
    <cellStyle name="40% - Accent1 3 2 2 3" xfId="4972" xr:uid="{00000000-0005-0000-0000-000017040000}"/>
    <cellStyle name="40% - Accent1 3 2 2 3 2" xfId="13422" xr:uid="{A2ED55E1-42CD-4555-A455-0F580F4B7974}"/>
    <cellStyle name="40% - Accent1 3 2 2 3 3" xfId="21856" xr:uid="{676CE277-1D04-40AE-ACFA-6B0CC9AB0359}"/>
    <cellStyle name="40% - Accent1 3 2 2 4" xfId="9204" xr:uid="{2FBC88EA-AC63-4DD9-8100-F3248870327D}"/>
    <cellStyle name="40% - Accent1 3 2 2 5" xfId="17639" xr:uid="{9FC0EBDA-73C3-47C6-B3B6-85935D10A87D}"/>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BB4FF892-B426-4B18-8522-11CB02D71A1E}"/>
    <cellStyle name="40% - Accent1 3 2 3 2 2 3" xfId="24414" xr:uid="{852009A2-A953-4855-885A-15556C31DB35}"/>
    <cellStyle name="40% - Accent1 3 2 3 2 3" xfId="11762" xr:uid="{06ED1434-33ED-487B-A322-781AF9281C24}"/>
    <cellStyle name="40% - Accent1 3 2 3 2 4" xfId="20197" xr:uid="{DF79E714-5CBB-4CEF-838A-DE19E06D64FD}"/>
    <cellStyle name="40% - Accent1 3 2 3 3" xfId="5385" xr:uid="{00000000-0005-0000-0000-00001B040000}"/>
    <cellStyle name="40% - Accent1 3 2 3 3 2" xfId="13835" xr:uid="{5B2A3B61-C3BF-4C22-8A53-464945B18E50}"/>
    <cellStyle name="40% - Accent1 3 2 3 3 3" xfId="22269" xr:uid="{5B9D5B16-1278-4AD3-9F71-7490BC913E9E}"/>
    <cellStyle name="40% - Accent1 3 2 3 4" xfId="9617" xr:uid="{22B87E69-C887-43A4-9793-A1F893CFD40C}"/>
    <cellStyle name="40% - Accent1 3 2 3 5" xfId="18052" xr:uid="{B0416727-FE93-47C6-B848-516E5A07E720}"/>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6D504ABC-B3F0-4F59-8D01-F6E0A4A0FE00}"/>
    <cellStyle name="40% - Accent1 3 2 4 2 2 3" xfId="24827" xr:uid="{81E9B1E1-EA09-4F60-98EA-4CF6E9090A01}"/>
    <cellStyle name="40% - Accent1 3 2 4 2 3" xfId="12175" xr:uid="{D2CE2ABA-7A81-464B-8F75-F8F98EA01744}"/>
    <cellStyle name="40% - Accent1 3 2 4 2 4" xfId="20610" xr:uid="{4BCEC913-7326-4C7B-A19F-EA774AC20614}"/>
    <cellStyle name="40% - Accent1 3 2 4 3" xfId="5798" xr:uid="{00000000-0005-0000-0000-00001F040000}"/>
    <cellStyle name="40% - Accent1 3 2 4 3 2" xfId="14248" xr:uid="{66775A1D-6CDE-4E72-9C42-985A564952EA}"/>
    <cellStyle name="40% - Accent1 3 2 4 3 3" xfId="22682" xr:uid="{C5CB2933-FD66-4104-A63D-C72A8CAC1F21}"/>
    <cellStyle name="40% - Accent1 3 2 4 4" xfId="10030" xr:uid="{C420F995-2DD5-4B46-9ED3-583693BAD30A}"/>
    <cellStyle name="40% - Accent1 3 2 4 5" xfId="18465" xr:uid="{A5BF229A-AF17-4CCF-9228-9D5FEEA338A0}"/>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F34595F6-F5B7-48D2-82C8-7C5F2D0701B5}"/>
    <cellStyle name="40% - Accent1 3 2 5 2 2 3" xfId="25240" xr:uid="{62E572D7-F1A6-4E82-94B6-4BC2248324B3}"/>
    <cellStyle name="40% - Accent1 3 2 5 2 3" xfId="12588" xr:uid="{CC006961-40E1-40BD-A2C1-F3D9C21E17AF}"/>
    <cellStyle name="40% - Accent1 3 2 5 2 4" xfId="21023" xr:uid="{ED33DD01-806D-4079-A738-4E0E652C1E55}"/>
    <cellStyle name="40% - Accent1 3 2 5 3" xfId="6211" xr:uid="{00000000-0005-0000-0000-000023040000}"/>
    <cellStyle name="40% - Accent1 3 2 5 3 2" xfId="14661" xr:uid="{A73D04F6-A8A5-4590-98B4-951B0F6B412A}"/>
    <cellStyle name="40% - Accent1 3 2 5 3 3" xfId="23095" xr:uid="{D1A6B936-D6F7-41F0-B3AC-A792C8663D06}"/>
    <cellStyle name="40% - Accent1 3 2 5 4" xfId="10443" xr:uid="{50BE14B3-48EC-4504-8AEB-A85532D69BB7}"/>
    <cellStyle name="40% - Accent1 3 2 5 5" xfId="18878" xr:uid="{1F4F9D3A-8C20-46F0-8878-4FFA0B2F6809}"/>
    <cellStyle name="40% - Accent1 3 2 6" xfId="2318" xr:uid="{00000000-0005-0000-0000-000024040000}"/>
    <cellStyle name="40% - Accent1 3 2 6 2" xfId="6624" xr:uid="{00000000-0005-0000-0000-000025040000}"/>
    <cellStyle name="40% - Accent1 3 2 6 2 2" xfId="15074" xr:uid="{DB67F01B-967D-49FA-AF07-681F324F1D21}"/>
    <cellStyle name="40% - Accent1 3 2 6 2 3" xfId="23508" xr:uid="{D5B5A037-97C5-41F7-8777-D3CCBC3D7500}"/>
    <cellStyle name="40% - Accent1 3 2 6 3" xfId="10856" xr:uid="{7727BB0D-01DB-423D-B949-C4A04CE8CF76}"/>
    <cellStyle name="40% - Accent1 3 2 6 4" xfId="19291" xr:uid="{92EB4E5C-EBD3-44C9-AF88-FABF626F7FDE}"/>
    <cellStyle name="40% - Accent1 3 2 7" xfId="4558" xr:uid="{00000000-0005-0000-0000-000026040000}"/>
    <cellStyle name="40% - Accent1 3 2 7 2" xfId="13008" xr:uid="{DED070B3-0735-4DCF-84F9-19A902AB544E}"/>
    <cellStyle name="40% - Accent1 3 2 7 3" xfId="21442" xr:uid="{891BACF3-C2DC-4C76-AB62-797147430E19}"/>
    <cellStyle name="40% - Accent1 3 2 8" xfId="8790" xr:uid="{68A46D62-AC4E-4A97-972D-1D5183146FFA}"/>
    <cellStyle name="40% - Accent1 3 2 9" xfId="17225" xr:uid="{64064BF5-558D-4C7D-9C10-4A16B97807C9}"/>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70A8816A-4EF5-4B21-BCF2-24F389954EF4}"/>
    <cellStyle name="40% - Accent1 3 3 2 2 3" xfId="24000" xr:uid="{96BA5AB7-EE9C-40F2-B7ED-2AFC43E1D2D6}"/>
    <cellStyle name="40% - Accent1 3 3 2 3" xfId="11348" xr:uid="{D6E8264D-746C-4092-AC6F-8E5D42E65994}"/>
    <cellStyle name="40% - Accent1 3 3 2 4" xfId="19783" xr:uid="{25A93710-475D-4101-81E0-D8A0C3D60751}"/>
    <cellStyle name="40% - Accent1 3 3 3" xfId="4971" xr:uid="{00000000-0005-0000-0000-00002A040000}"/>
    <cellStyle name="40% - Accent1 3 3 3 2" xfId="13421" xr:uid="{C282D715-63C9-45FD-9CFF-176314D21EE3}"/>
    <cellStyle name="40% - Accent1 3 3 3 3" xfId="21855" xr:uid="{5269C494-E90E-4078-A011-2092AE5762FB}"/>
    <cellStyle name="40% - Accent1 3 3 4" xfId="9203" xr:uid="{47F17E6D-7FDB-4A44-A348-C5243274034D}"/>
    <cellStyle name="40% - Accent1 3 3 5" xfId="17638" xr:uid="{39B224E0-6332-435B-B461-204CDE36C98B}"/>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1B5596C1-F7C5-4F41-B3BC-B7716E984A6F}"/>
    <cellStyle name="40% - Accent1 3 4 2 2 3" xfId="24413" xr:uid="{0FFCC9DB-FE71-4B04-84FB-8869309C7823}"/>
    <cellStyle name="40% - Accent1 3 4 2 3" xfId="11761" xr:uid="{257248BB-CAEA-41EE-B51B-B581431C0B81}"/>
    <cellStyle name="40% - Accent1 3 4 2 4" xfId="20196" xr:uid="{E6FCFB8D-50C9-4F80-ADD9-918683E4B516}"/>
    <cellStyle name="40% - Accent1 3 4 3" xfId="5384" xr:uid="{00000000-0005-0000-0000-00002E040000}"/>
    <cellStyle name="40% - Accent1 3 4 3 2" xfId="13834" xr:uid="{0FED2263-F0D2-4E73-94B6-C7AD12DDF0B8}"/>
    <cellStyle name="40% - Accent1 3 4 3 3" xfId="22268" xr:uid="{8BCEA6BB-E2F7-40C7-81C8-27453CC89D08}"/>
    <cellStyle name="40% - Accent1 3 4 4" xfId="9616" xr:uid="{143AF354-E2D5-4CC8-8AA9-E120B1C6B038}"/>
    <cellStyle name="40% - Accent1 3 4 5" xfId="18051" xr:uid="{DD39ADD4-F17F-4354-B353-D93D75CE3631}"/>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5E65F27D-21B4-45E8-8BDF-38BD3CDD22FC}"/>
    <cellStyle name="40% - Accent1 3 5 2 2 3" xfId="24826" xr:uid="{49C0F27A-4A90-4C4B-BDA2-3C8CF1E8983B}"/>
    <cellStyle name="40% - Accent1 3 5 2 3" xfId="12174" xr:uid="{E23D029B-7BCE-4315-9CFD-FB3AE69B5E8D}"/>
    <cellStyle name="40% - Accent1 3 5 2 4" xfId="20609" xr:uid="{4FD53801-5DF1-486C-9AEA-FDE76E43E161}"/>
    <cellStyle name="40% - Accent1 3 5 3" xfId="5797" xr:uid="{00000000-0005-0000-0000-000032040000}"/>
    <cellStyle name="40% - Accent1 3 5 3 2" xfId="14247" xr:uid="{9226550E-F944-4681-B852-395307A4DB2B}"/>
    <cellStyle name="40% - Accent1 3 5 3 3" xfId="22681" xr:uid="{ABFEF9FE-5A54-440C-9358-9BEFECC229D1}"/>
    <cellStyle name="40% - Accent1 3 5 4" xfId="10029" xr:uid="{90C80D19-A868-44E3-B5C0-80F3049FE7E9}"/>
    <cellStyle name="40% - Accent1 3 5 5" xfId="18464" xr:uid="{D1C9A121-D60B-4356-A5BB-8E50BBB049B9}"/>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7F4D4988-19FB-44EC-BF99-7D3CBFB4EAA2}"/>
    <cellStyle name="40% - Accent1 3 6 2 2 3" xfId="25239" xr:uid="{8C2B482A-B162-4FA8-88E9-486B765470F2}"/>
    <cellStyle name="40% - Accent1 3 6 2 3" xfId="12587" xr:uid="{14E666A9-EF93-4AF2-910A-4BF2631D797D}"/>
    <cellStyle name="40% - Accent1 3 6 2 4" xfId="21022" xr:uid="{37D864BA-AA9C-46BF-AA73-EB2093BEBA01}"/>
    <cellStyle name="40% - Accent1 3 6 3" xfId="6210" xr:uid="{00000000-0005-0000-0000-000036040000}"/>
    <cellStyle name="40% - Accent1 3 6 3 2" xfId="14660" xr:uid="{FF393284-C20A-4735-BF06-DDD7459F021E}"/>
    <cellStyle name="40% - Accent1 3 6 3 3" xfId="23094" xr:uid="{20334580-68CE-44F5-908B-84F04DE79958}"/>
    <cellStyle name="40% - Accent1 3 6 4" xfId="10442" xr:uid="{EE5BDCD0-4A3C-4BEF-A8FA-DFD50088484E}"/>
    <cellStyle name="40% - Accent1 3 6 5" xfId="18877" xr:uid="{566DBF91-F0E6-4DAD-810F-3B495DC92F56}"/>
    <cellStyle name="40% - Accent1 3 7" xfId="2317" xr:uid="{00000000-0005-0000-0000-000037040000}"/>
    <cellStyle name="40% - Accent1 3 7 2" xfId="6623" xr:uid="{00000000-0005-0000-0000-000038040000}"/>
    <cellStyle name="40% - Accent1 3 7 2 2" xfId="15073" xr:uid="{3DBB35C7-FA43-4E90-A994-18FDF5B0982D}"/>
    <cellStyle name="40% - Accent1 3 7 2 3" xfId="23507" xr:uid="{906181BE-030E-408C-9A2A-471E53477340}"/>
    <cellStyle name="40% - Accent1 3 7 3" xfId="10855" xr:uid="{B8732BDC-6677-466E-8855-383F3E0CE40D}"/>
    <cellStyle name="40% - Accent1 3 7 4" xfId="19290" xr:uid="{2ACEBFBA-B64A-45F1-B42D-6567A40C4E8B}"/>
    <cellStyle name="40% - Accent1 3 8" xfId="4557" xr:uid="{00000000-0005-0000-0000-000039040000}"/>
    <cellStyle name="40% - Accent1 3 8 2" xfId="13007" xr:uid="{3F69A358-71E3-4085-A92A-55454F4107FB}"/>
    <cellStyle name="40% - Accent1 3 8 3" xfId="21441" xr:uid="{A7DD03FC-B5C2-4A6E-AF5B-111EF6CF92E2}"/>
    <cellStyle name="40% - Accent1 3 9" xfId="8789" xr:uid="{03EDFAE7-D1DF-42CF-B445-ED823871DD9A}"/>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EBC5B16E-6C0A-454E-9015-6C3633BF66D7}"/>
    <cellStyle name="40% - Accent1 4 2 2 2 3" xfId="24002" xr:uid="{AD63DBB3-1629-4B89-96A3-3F26C76669FC}"/>
    <cellStyle name="40% - Accent1 4 2 2 3" xfId="11350" xr:uid="{DD1171D1-8DD8-4283-8EFD-EFCB906C3BF8}"/>
    <cellStyle name="40% - Accent1 4 2 2 4" xfId="19785" xr:uid="{A86210A4-DA5B-4AB0-BF1B-28DCA53FA547}"/>
    <cellStyle name="40% - Accent1 4 2 3" xfId="4973" xr:uid="{00000000-0005-0000-0000-00003E040000}"/>
    <cellStyle name="40% - Accent1 4 2 3 2" xfId="13423" xr:uid="{981102A4-090A-4366-8DA5-E9C677DEE064}"/>
    <cellStyle name="40% - Accent1 4 2 3 3" xfId="21857" xr:uid="{2D4A1425-827D-40BA-A801-AD0225415941}"/>
    <cellStyle name="40% - Accent1 4 2 4" xfId="9205" xr:uid="{5BA79EF1-04D5-48FB-A99C-41880679BAC8}"/>
    <cellStyle name="40% - Accent1 4 2 5" xfId="17640" xr:uid="{6BED0298-587C-45CE-BAEF-26E4E8EAF516}"/>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D37D222D-B768-4ABF-819C-DB0DDA3E98AD}"/>
    <cellStyle name="40% - Accent1 4 3 2 2 3" xfId="24415" xr:uid="{38A2F434-2D4A-4D58-8118-0D680CBB2DAA}"/>
    <cellStyle name="40% - Accent1 4 3 2 3" xfId="11763" xr:uid="{9FB4C6B9-8EF6-4D11-BE51-EC85AE658875}"/>
    <cellStyle name="40% - Accent1 4 3 2 4" xfId="20198" xr:uid="{46A5960B-4F9A-4C40-AADC-B162AD265EDC}"/>
    <cellStyle name="40% - Accent1 4 3 3" xfId="5386" xr:uid="{00000000-0005-0000-0000-000042040000}"/>
    <cellStyle name="40% - Accent1 4 3 3 2" xfId="13836" xr:uid="{09C69A37-8A6E-4105-8559-88D10C2C175D}"/>
    <cellStyle name="40% - Accent1 4 3 3 3" xfId="22270" xr:uid="{22CA4EEF-FC5B-46D3-9E1F-92478C51B58A}"/>
    <cellStyle name="40% - Accent1 4 3 4" xfId="9618" xr:uid="{EF71E803-D602-4840-B64D-188D311E2124}"/>
    <cellStyle name="40% - Accent1 4 3 5" xfId="18053" xr:uid="{E40D81C0-F25F-434B-9EB4-9CE687EB347A}"/>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B7858C59-6B52-4344-B170-D19DA30C34D9}"/>
    <cellStyle name="40% - Accent1 4 4 2 2 3" xfId="24828" xr:uid="{6790BE2C-0694-4AFE-B373-B862D2F8B490}"/>
    <cellStyle name="40% - Accent1 4 4 2 3" xfId="12176" xr:uid="{88B17608-373E-4623-8A3D-AAF1CC26E65A}"/>
    <cellStyle name="40% - Accent1 4 4 2 4" xfId="20611" xr:uid="{CDE6C9E6-F889-4F0D-BF36-2B9AE5F0E988}"/>
    <cellStyle name="40% - Accent1 4 4 3" xfId="5799" xr:uid="{00000000-0005-0000-0000-000046040000}"/>
    <cellStyle name="40% - Accent1 4 4 3 2" xfId="14249" xr:uid="{12714538-3711-46BA-AC04-52293D44E92F}"/>
    <cellStyle name="40% - Accent1 4 4 3 3" xfId="22683" xr:uid="{B6ECC5A9-33E5-4495-98BA-E3E46D310B8D}"/>
    <cellStyle name="40% - Accent1 4 4 4" xfId="10031" xr:uid="{7FEF0973-78DF-4DD9-BC52-03AE013D34DC}"/>
    <cellStyle name="40% - Accent1 4 4 5" xfId="18466" xr:uid="{F3ABAA52-2DFD-486A-A7CB-8F6329C977FF}"/>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70F14F30-9FE9-4795-84B0-BE12EB91DB31}"/>
    <cellStyle name="40% - Accent1 4 5 2 2 3" xfId="25241" xr:uid="{C3CD7280-A713-4B9A-B461-1A95B45E3E78}"/>
    <cellStyle name="40% - Accent1 4 5 2 3" xfId="12589" xr:uid="{29B69354-6C86-4387-AC6C-EE02B57D8F2D}"/>
    <cellStyle name="40% - Accent1 4 5 2 4" xfId="21024" xr:uid="{14C99C04-5C30-4387-9389-250C3BA8FA87}"/>
    <cellStyle name="40% - Accent1 4 5 3" xfId="6212" xr:uid="{00000000-0005-0000-0000-00004A040000}"/>
    <cellStyle name="40% - Accent1 4 5 3 2" xfId="14662" xr:uid="{A3B5E2FF-D818-4534-85D5-52AC1AD894C5}"/>
    <cellStyle name="40% - Accent1 4 5 3 3" xfId="23096" xr:uid="{0B89756F-A851-4B02-8D72-0FF4290FAE48}"/>
    <cellStyle name="40% - Accent1 4 5 4" xfId="10444" xr:uid="{999D5BD2-DE89-4BA5-B945-A2F75A2B82A3}"/>
    <cellStyle name="40% - Accent1 4 5 5" xfId="18879" xr:uid="{16D4C413-35DE-4B63-8107-6D2AB6EEEA4E}"/>
    <cellStyle name="40% - Accent1 4 6" xfId="2319" xr:uid="{00000000-0005-0000-0000-00004B040000}"/>
    <cellStyle name="40% - Accent1 4 6 2" xfId="6625" xr:uid="{00000000-0005-0000-0000-00004C040000}"/>
    <cellStyle name="40% - Accent1 4 6 2 2" xfId="15075" xr:uid="{740F4B9A-2CFD-48A0-8090-0636E7C62278}"/>
    <cellStyle name="40% - Accent1 4 6 2 3" xfId="23509" xr:uid="{4E7D57B7-F01C-49A6-9BE2-24CA903C801B}"/>
    <cellStyle name="40% - Accent1 4 6 3" xfId="10857" xr:uid="{1FDC68D0-62AE-4C35-B170-72017F0C9503}"/>
    <cellStyle name="40% - Accent1 4 6 4" xfId="19292" xr:uid="{42D44013-B2A1-44FF-BD18-92283ACB35A9}"/>
    <cellStyle name="40% - Accent1 4 7" xfId="4559" xr:uid="{00000000-0005-0000-0000-00004D040000}"/>
    <cellStyle name="40% - Accent1 4 7 2" xfId="13009" xr:uid="{749FDD2A-50FF-4F5D-B807-B1DE7AFC97EA}"/>
    <cellStyle name="40% - Accent1 4 7 3" xfId="21443" xr:uid="{6BD8EBC6-5249-4753-A53A-DCEE39BAE4A3}"/>
    <cellStyle name="40% - Accent1 4 8" xfId="8791" xr:uid="{CCB495F6-8E5C-49F8-B876-5AAD80FEA229}"/>
    <cellStyle name="40% - Accent1 4 9" xfId="17226" xr:uid="{16966E10-42A0-4F66-B714-FE4ED7E9AA0D}"/>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976DA599-C988-4DAE-A6D2-40BADCAAE226}"/>
    <cellStyle name="40% - Accent1 5 2 2 3" xfId="23995" xr:uid="{203137A6-236C-4EA3-B548-BE08C49FB07C}"/>
    <cellStyle name="40% - Accent1 5 2 3" xfId="11343" xr:uid="{43734F3B-DAAD-4656-9C04-A6D1A68C4147}"/>
    <cellStyle name="40% - Accent1 5 2 4" xfId="19778" xr:uid="{030C9211-4F51-4B5A-88E9-6A55FDFC6EF9}"/>
    <cellStyle name="40% - Accent1 5 3" xfId="4966" xr:uid="{00000000-0005-0000-0000-000051040000}"/>
    <cellStyle name="40% - Accent1 5 3 2" xfId="13416" xr:uid="{576F2C67-2087-425F-9825-E2B87868B3C9}"/>
    <cellStyle name="40% - Accent1 5 3 3" xfId="21850" xr:uid="{B1D507E9-F8AF-4382-9001-6D3B2186A8E1}"/>
    <cellStyle name="40% - Accent1 5 4" xfId="9198" xr:uid="{7C4C1A82-A4A3-4A14-8667-E260941D0E11}"/>
    <cellStyle name="40% - Accent1 5 5" xfId="17633" xr:uid="{F5AE7453-CABA-4FB2-8D05-49246939BB2E}"/>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5B202064-2594-48DD-8B97-1B896D7412CB}"/>
    <cellStyle name="40% - Accent1 6 2 2 3" xfId="24408" xr:uid="{A9EB0321-82BD-4ADF-ABAA-E5B12A567E82}"/>
    <cellStyle name="40% - Accent1 6 2 3" xfId="11756" xr:uid="{F86A4676-8F47-4771-979B-E8E1485F30F0}"/>
    <cellStyle name="40% - Accent1 6 2 4" xfId="20191" xr:uid="{4248827F-7F52-4AA2-9013-7256C1AC4510}"/>
    <cellStyle name="40% - Accent1 6 3" xfId="5379" xr:uid="{00000000-0005-0000-0000-000055040000}"/>
    <cellStyle name="40% - Accent1 6 3 2" xfId="13829" xr:uid="{E186832D-4D19-44B8-BEFD-8E50E0E62967}"/>
    <cellStyle name="40% - Accent1 6 3 3" xfId="22263" xr:uid="{6AAE972A-EEC2-420E-9032-2A5647D4D86B}"/>
    <cellStyle name="40% - Accent1 6 4" xfId="9611" xr:uid="{54944414-6A86-4CB2-8267-45552FADBCD9}"/>
    <cellStyle name="40% - Accent1 6 5" xfId="18046" xr:uid="{2D1F900B-3BDA-4758-B6B6-B8582EDA4E52}"/>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F853E434-5EA9-4770-A5A0-19C7A99FB705}"/>
    <cellStyle name="40% - Accent1 7 2 2 3" xfId="24821" xr:uid="{ACC3824B-DE87-4B97-BAF8-4C9DF0A47580}"/>
    <cellStyle name="40% - Accent1 7 2 3" xfId="12169" xr:uid="{FACDCDF5-A2C3-4CDB-BA3B-FE854FAD8FCF}"/>
    <cellStyle name="40% - Accent1 7 2 4" xfId="20604" xr:uid="{AF18720F-514E-4058-A0CA-2062EBCCAFD4}"/>
    <cellStyle name="40% - Accent1 7 3" xfId="5792" xr:uid="{00000000-0005-0000-0000-000059040000}"/>
    <cellStyle name="40% - Accent1 7 3 2" xfId="14242" xr:uid="{98B44919-1BEE-4D7A-A9CD-81C4A5E5BF32}"/>
    <cellStyle name="40% - Accent1 7 3 3" xfId="22676" xr:uid="{61AB264D-2965-4A21-B78F-79482784D8E4}"/>
    <cellStyle name="40% - Accent1 7 4" xfId="10024" xr:uid="{1FE18575-9E5C-458A-A6E4-A38A6421594C}"/>
    <cellStyle name="40% - Accent1 7 5" xfId="18459" xr:uid="{986CD6C8-6130-4993-B17E-8392CEC8FA75}"/>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0339CE1E-6EDD-400C-A14B-B565F60E4DCF}"/>
    <cellStyle name="40% - Accent1 8 2 2 3" xfId="25234" xr:uid="{1D04F63A-D0D5-4C55-B292-9DE60E65BC5F}"/>
    <cellStyle name="40% - Accent1 8 2 3" xfId="12582" xr:uid="{769C43ED-0CD4-4D3F-9237-76B921FF2601}"/>
    <cellStyle name="40% - Accent1 8 2 4" xfId="21017" xr:uid="{075C59A8-CCAA-4C47-89CC-E5969B2A4844}"/>
    <cellStyle name="40% - Accent1 8 3" xfId="6205" xr:uid="{00000000-0005-0000-0000-00005D040000}"/>
    <cellStyle name="40% - Accent1 8 3 2" xfId="14655" xr:uid="{22FC82FE-C648-482C-A882-384560A9C75D}"/>
    <cellStyle name="40% - Accent1 8 3 3" xfId="23089" xr:uid="{633DCFC6-ED2F-4B67-94B3-411BDBAB50B9}"/>
    <cellStyle name="40% - Accent1 8 4" xfId="10437" xr:uid="{4CB16CD0-A33D-490D-9150-0D56F68711DB}"/>
    <cellStyle name="40% - Accent1 8 5" xfId="18872" xr:uid="{923CE16C-A995-4695-81FA-76019BC59407}"/>
    <cellStyle name="40% - Accent1 9" xfId="2312" xr:uid="{00000000-0005-0000-0000-00005E040000}"/>
    <cellStyle name="40% - Accent1 9 2" xfId="6618" xr:uid="{00000000-0005-0000-0000-00005F040000}"/>
    <cellStyle name="40% - Accent1 9 2 2" xfId="15068" xr:uid="{5CC371BA-536C-4137-B200-A51008381DBB}"/>
    <cellStyle name="40% - Accent1 9 2 3" xfId="23502" xr:uid="{2BD2FEDF-F5BC-44D0-AD50-283D2FAB5298}"/>
    <cellStyle name="40% - Accent1 9 3" xfId="10850" xr:uid="{5332E41C-C09C-4749-917D-73DA35A81420}"/>
    <cellStyle name="40% - Accent1 9 4" xfId="19285" xr:uid="{9E5A88F0-5104-4D34-B8BF-BD0F675E8A42}"/>
    <cellStyle name="40% - Accent2" xfId="57" builtinId="35" customBuiltin="1"/>
    <cellStyle name="40% - Accent2 10" xfId="4560" xr:uid="{00000000-0005-0000-0000-000061040000}"/>
    <cellStyle name="40% - Accent2 10 2" xfId="13010" xr:uid="{C09AF681-5CAA-42E2-89B4-D66947C33C26}"/>
    <cellStyle name="40% - Accent2 10 3" xfId="21444" xr:uid="{1BB224B9-36D5-48EE-901B-452FC974B808}"/>
    <cellStyle name="40% - Accent2 11" xfId="8792" xr:uid="{08A403FE-C020-4426-AAB4-212FF69D469D}"/>
    <cellStyle name="40% - Accent2 12" xfId="17227" xr:uid="{023084F3-C07F-4F73-BC14-7759AE191365}"/>
    <cellStyle name="40% - Accent2 2" xfId="58" xr:uid="{00000000-0005-0000-0000-000062040000}"/>
    <cellStyle name="40% - Accent2 2 10" xfId="8793" xr:uid="{03CD7E48-5DA3-49A7-8E3D-7C6FEEAC9B3E}"/>
    <cellStyle name="40% - Accent2 2 11" xfId="17228" xr:uid="{954796B1-6009-4518-A14C-74FB02ADFBEE}"/>
    <cellStyle name="40% - Accent2 2 2" xfId="59" xr:uid="{00000000-0005-0000-0000-000063040000}"/>
    <cellStyle name="40% - Accent2 2 2 10" xfId="17229" xr:uid="{581CDDB6-416F-448E-A66E-CA12BE05FFD7}"/>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DBA121F5-ABCA-4DF5-9F0B-485EFC0D6862}"/>
    <cellStyle name="40% - Accent2 2 2 2 2 2 2 3" xfId="24006" xr:uid="{7A5AC0CE-34EC-4A98-B7E9-A37B04C55220}"/>
    <cellStyle name="40% - Accent2 2 2 2 2 2 3" xfId="11354" xr:uid="{72259DA1-B1B9-4B90-9473-B02E88E80008}"/>
    <cellStyle name="40% - Accent2 2 2 2 2 2 4" xfId="19789" xr:uid="{E208E2C8-6B03-431C-B675-739AEBDB46F3}"/>
    <cellStyle name="40% - Accent2 2 2 2 2 3" xfId="4977" xr:uid="{00000000-0005-0000-0000-000068040000}"/>
    <cellStyle name="40% - Accent2 2 2 2 2 3 2" xfId="13427" xr:uid="{3B54A410-14F4-4BFE-B1C3-293EF8E48B64}"/>
    <cellStyle name="40% - Accent2 2 2 2 2 3 3" xfId="21861" xr:uid="{A6C8FF9B-96B3-481F-B4EC-076872DAF79B}"/>
    <cellStyle name="40% - Accent2 2 2 2 2 4" xfId="9209" xr:uid="{337F47A5-2411-4F78-BC1C-3D9622F425DF}"/>
    <cellStyle name="40% - Accent2 2 2 2 2 5" xfId="17644" xr:uid="{BAE640BD-3DE7-4A87-81B3-CF23FEDD3EC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EBEE6301-9D69-4B39-80EB-994D9BB18A54}"/>
    <cellStyle name="40% - Accent2 2 2 2 3 2 2 3" xfId="24419" xr:uid="{3EF6D113-9550-437F-BEDB-D49DA8DC8452}"/>
    <cellStyle name="40% - Accent2 2 2 2 3 2 3" xfId="11767" xr:uid="{68E79E93-E572-451B-84BA-170C542A88A3}"/>
    <cellStyle name="40% - Accent2 2 2 2 3 2 4" xfId="20202" xr:uid="{ACB1294C-74D7-4E34-B6DF-FB839F4F6921}"/>
    <cellStyle name="40% - Accent2 2 2 2 3 3" xfId="5390" xr:uid="{00000000-0005-0000-0000-00006C040000}"/>
    <cellStyle name="40% - Accent2 2 2 2 3 3 2" xfId="13840" xr:uid="{DD1C670B-1D90-4950-90D1-644228A72E4B}"/>
    <cellStyle name="40% - Accent2 2 2 2 3 3 3" xfId="22274" xr:uid="{D530F0E7-9DA8-4C3E-8B37-49B2B026F70E}"/>
    <cellStyle name="40% - Accent2 2 2 2 3 4" xfId="9622" xr:uid="{C889CE01-2F57-46C8-B5EA-870C28AA4739}"/>
    <cellStyle name="40% - Accent2 2 2 2 3 5" xfId="18057" xr:uid="{A8CF6F4B-CDBA-4D7C-885A-391E7718AA25}"/>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D7FD4FCE-6117-4964-A153-D927AC0FB55E}"/>
    <cellStyle name="40% - Accent2 2 2 2 4 2 2 3" xfId="24832" xr:uid="{0C0E9DD2-58F7-4F37-BFAF-6845F618144B}"/>
    <cellStyle name="40% - Accent2 2 2 2 4 2 3" xfId="12180" xr:uid="{2588A1F8-257B-405E-8B6A-CEBBE14893A8}"/>
    <cellStyle name="40% - Accent2 2 2 2 4 2 4" xfId="20615" xr:uid="{C0EF3D63-E926-4AB0-A706-571775BE0FC2}"/>
    <cellStyle name="40% - Accent2 2 2 2 4 3" xfId="5803" xr:uid="{00000000-0005-0000-0000-000070040000}"/>
    <cellStyle name="40% - Accent2 2 2 2 4 3 2" xfId="14253" xr:uid="{19212A6A-7FF1-4F88-9800-2F72FBFE518E}"/>
    <cellStyle name="40% - Accent2 2 2 2 4 3 3" xfId="22687" xr:uid="{984C5F0C-283C-4E6F-85D1-EFFF335770E5}"/>
    <cellStyle name="40% - Accent2 2 2 2 4 4" xfId="10035" xr:uid="{1C7377B1-A73C-4FA8-934F-9C26DBFF04D0}"/>
    <cellStyle name="40% - Accent2 2 2 2 4 5" xfId="18470" xr:uid="{34BC5A6B-BD3D-418E-A2C2-2B24AAE63045}"/>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5FB236F6-BC97-429F-A7A6-02237DA47288}"/>
    <cellStyle name="40% - Accent2 2 2 2 5 2 2 3" xfId="25245" xr:uid="{E38F5FB9-84BB-4A9C-9BBF-F0B047ACC784}"/>
    <cellStyle name="40% - Accent2 2 2 2 5 2 3" xfId="12593" xr:uid="{AF6D6D2B-F81C-4A8B-9765-6F68079C840F}"/>
    <cellStyle name="40% - Accent2 2 2 2 5 2 4" xfId="21028" xr:uid="{07E1C564-4213-454A-822A-0EFF09A47610}"/>
    <cellStyle name="40% - Accent2 2 2 2 5 3" xfId="6216" xr:uid="{00000000-0005-0000-0000-000074040000}"/>
    <cellStyle name="40% - Accent2 2 2 2 5 3 2" xfId="14666" xr:uid="{C48B3847-ABF5-4FBA-8A98-857E7858E90F}"/>
    <cellStyle name="40% - Accent2 2 2 2 5 3 3" xfId="23100" xr:uid="{05749094-7719-401C-918F-BA14589D8346}"/>
    <cellStyle name="40% - Accent2 2 2 2 5 4" xfId="10448" xr:uid="{431B1B75-F811-448B-B378-28C18DD53DF8}"/>
    <cellStyle name="40% - Accent2 2 2 2 5 5" xfId="18883" xr:uid="{4E7F3D27-14A7-4846-AACD-3ADECDE1E922}"/>
    <cellStyle name="40% - Accent2 2 2 2 6" xfId="2323" xr:uid="{00000000-0005-0000-0000-000075040000}"/>
    <cellStyle name="40% - Accent2 2 2 2 6 2" xfId="6629" xr:uid="{00000000-0005-0000-0000-000076040000}"/>
    <cellStyle name="40% - Accent2 2 2 2 6 2 2" xfId="15079" xr:uid="{9F49BE54-7D55-4B77-B3E8-B387689B8825}"/>
    <cellStyle name="40% - Accent2 2 2 2 6 2 3" xfId="23513" xr:uid="{D2D58994-9EDE-4115-BCE1-65E598CCBAA7}"/>
    <cellStyle name="40% - Accent2 2 2 2 6 3" xfId="10861" xr:uid="{AFFB3570-50C4-4B69-9311-10E93E4A325B}"/>
    <cellStyle name="40% - Accent2 2 2 2 6 4" xfId="19296" xr:uid="{D2F071B2-00D9-4CAE-A41A-272874FDAB81}"/>
    <cellStyle name="40% - Accent2 2 2 2 7" xfId="4563" xr:uid="{00000000-0005-0000-0000-000077040000}"/>
    <cellStyle name="40% - Accent2 2 2 2 7 2" xfId="13013" xr:uid="{85E61DBC-454A-4D70-AC2C-53F23E63F74B}"/>
    <cellStyle name="40% - Accent2 2 2 2 7 3" xfId="21447" xr:uid="{4EDFA478-6395-4D5A-87AD-28537E129D82}"/>
    <cellStyle name="40% - Accent2 2 2 2 8" xfId="8795" xr:uid="{A77AB08C-B93E-4397-9956-AF87FFA0DD93}"/>
    <cellStyle name="40% - Accent2 2 2 2 9" xfId="17230" xr:uid="{839CC6CA-F176-4D6D-AC20-5F17DDFD9DCB}"/>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2A86C528-6C1D-4885-89F0-89F5DC209C51}"/>
    <cellStyle name="40% - Accent2 2 2 3 2 2 3" xfId="24005" xr:uid="{5E1DB146-8989-47B8-9719-4E7BC5357EB6}"/>
    <cellStyle name="40% - Accent2 2 2 3 2 3" xfId="11353" xr:uid="{F351B240-8FAF-4A6D-8940-4A7A0EE4502B}"/>
    <cellStyle name="40% - Accent2 2 2 3 2 4" xfId="19788" xr:uid="{3B20F1F1-E02A-4E98-8E40-A61D09238052}"/>
    <cellStyle name="40% - Accent2 2 2 3 3" xfId="4976" xr:uid="{00000000-0005-0000-0000-00007B040000}"/>
    <cellStyle name="40% - Accent2 2 2 3 3 2" xfId="13426" xr:uid="{3A5D0BE2-D7D9-4F49-8464-35054B6E1E7A}"/>
    <cellStyle name="40% - Accent2 2 2 3 3 3" xfId="21860" xr:uid="{4F5C5755-CEDC-4E1C-BECD-4BCB5986824F}"/>
    <cellStyle name="40% - Accent2 2 2 3 4" xfId="9208" xr:uid="{98026D3B-2885-4F0B-8768-CEF56395D86A}"/>
    <cellStyle name="40% - Accent2 2 2 3 5" xfId="17643" xr:uid="{CB674A3D-EEE4-425F-9EF9-AC65D05ADF0A}"/>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CFC41C12-9943-465F-9210-BC6E9BD96462}"/>
    <cellStyle name="40% - Accent2 2 2 4 2 2 3" xfId="24418" xr:uid="{EB271A18-9E6F-40AA-A821-A1CA5BC2C504}"/>
    <cellStyle name="40% - Accent2 2 2 4 2 3" xfId="11766" xr:uid="{B5B4A9B0-CCEB-498B-90DD-502F3E948B38}"/>
    <cellStyle name="40% - Accent2 2 2 4 2 4" xfId="20201" xr:uid="{4C47A42D-D977-422F-A0C3-546FBF1D43CC}"/>
    <cellStyle name="40% - Accent2 2 2 4 3" xfId="5389" xr:uid="{00000000-0005-0000-0000-00007F040000}"/>
    <cellStyle name="40% - Accent2 2 2 4 3 2" xfId="13839" xr:uid="{1B463A25-6E53-4DCC-B387-34949931C527}"/>
    <cellStyle name="40% - Accent2 2 2 4 3 3" xfId="22273" xr:uid="{A2B6570E-61C2-461D-9DE0-BE93DAA82E97}"/>
    <cellStyle name="40% - Accent2 2 2 4 4" xfId="9621" xr:uid="{635E1520-D5FA-44EF-AC4D-222213450CA3}"/>
    <cellStyle name="40% - Accent2 2 2 4 5" xfId="18056" xr:uid="{6C3BFF95-BC7F-4AE2-BA64-364607CE051F}"/>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0DAEF7DA-3A8A-427D-8B18-5C3309E438CB}"/>
    <cellStyle name="40% - Accent2 2 2 5 2 2 3" xfId="24831" xr:uid="{05D2D9B4-A665-4116-B32D-857585C28B4E}"/>
    <cellStyle name="40% - Accent2 2 2 5 2 3" xfId="12179" xr:uid="{C3BADBCD-EF73-4BA8-9C36-19CFFA6A1F93}"/>
    <cellStyle name="40% - Accent2 2 2 5 2 4" xfId="20614" xr:uid="{B04FBCE5-7F76-4608-AA16-7062BC3B1EEF}"/>
    <cellStyle name="40% - Accent2 2 2 5 3" xfId="5802" xr:uid="{00000000-0005-0000-0000-000083040000}"/>
    <cellStyle name="40% - Accent2 2 2 5 3 2" xfId="14252" xr:uid="{A22ECEB2-C8F2-450D-8425-22A5D55838F5}"/>
    <cellStyle name="40% - Accent2 2 2 5 3 3" xfId="22686" xr:uid="{56B5F1A6-37CF-475A-8B7E-304113F99819}"/>
    <cellStyle name="40% - Accent2 2 2 5 4" xfId="10034" xr:uid="{9B609D6A-5861-4D60-B7A2-3D8EAD5DEA68}"/>
    <cellStyle name="40% - Accent2 2 2 5 5" xfId="18469" xr:uid="{81F36390-DC53-4A08-A81F-802E268C5D4D}"/>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A3431708-51AC-48C9-9C03-F02C321D6C9A}"/>
    <cellStyle name="40% - Accent2 2 2 6 2 2 3" xfId="25244" xr:uid="{A47B07C8-FC7E-471F-9515-F70AAB905C30}"/>
    <cellStyle name="40% - Accent2 2 2 6 2 3" xfId="12592" xr:uid="{B454BF9B-A4F6-4C65-9134-B2258A626FD8}"/>
    <cellStyle name="40% - Accent2 2 2 6 2 4" xfId="21027" xr:uid="{3DE675A4-FF79-4C44-9548-B4C0887B6B07}"/>
    <cellStyle name="40% - Accent2 2 2 6 3" xfId="6215" xr:uid="{00000000-0005-0000-0000-000087040000}"/>
    <cellStyle name="40% - Accent2 2 2 6 3 2" xfId="14665" xr:uid="{886072A8-5173-4B2F-AF3B-3AA262F2331D}"/>
    <cellStyle name="40% - Accent2 2 2 6 3 3" xfId="23099" xr:uid="{FF8E8625-72F6-435C-B476-FD41FAB8AD1C}"/>
    <cellStyle name="40% - Accent2 2 2 6 4" xfId="10447" xr:uid="{A77214A9-AD9A-4113-9EBE-C24BF51D194B}"/>
    <cellStyle name="40% - Accent2 2 2 6 5" xfId="18882" xr:uid="{A4D82FEE-5D2E-4529-9E1F-E10F12AE4A0D}"/>
    <cellStyle name="40% - Accent2 2 2 7" xfId="2322" xr:uid="{00000000-0005-0000-0000-000088040000}"/>
    <cellStyle name="40% - Accent2 2 2 7 2" xfId="6628" xr:uid="{00000000-0005-0000-0000-000089040000}"/>
    <cellStyle name="40% - Accent2 2 2 7 2 2" xfId="15078" xr:uid="{AF54DCDB-7A04-422F-A059-5D282BA9CB24}"/>
    <cellStyle name="40% - Accent2 2 2 7 2 3" xfId="23512" xr:uid="{D76E6CE9-C02E-4357-9090-36B06F5F034B}"/>
    <cellStyle name="40% - Accent2 2 2 7 3" xfId="10860" xr:uid="{87697CE9-1326-4F77-BF42-A2D2F2275F58}"/>
    <cellStyle name="40% - Accent2 2 2 7 4" xfId="19295" xr:uid="{C0029975-0294-4406-B4F7-D46443F0D057}"/>
    <cellStyle name="40% - Accent2 2 2 8" xfId="4562" xr:uid="{00000000-0005-0000-0000-00008A040000}"/>
    <cellStyle name="40% - Accent2 2 2 8 2" xfId="13012" xr:uid="{DC69FC31-C0FC-4FBE-B40B-2603CDFFEBE6}"/>
    <cellStyle name="40% - Accent2 2 2 8 3" xfId="21446" xr:uid="{A94AA8A1-035E-4724-8B48-DAB66831B213}"/>
    <cellStyle name="40% - Accent2 2 2 9" xfId="8794" xr:uid="{56ED7F46-8EC9-4318-A7AB-C5C35FFA2D0E}"/>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4A6F57E0-A10F-4F0F-B7CC-4E6667881CB5}"/>
    <cellStyle name="40% - Accent2 2 3 2 2 2 3" xfId="24007" xr:uid="{C2B323A9-30EF-4493-B716-CDA174F8F2BD}"/>
    <cellStyle name="40% - Accent2 2 3 2 2 3" xfId="11355" xr:uid="{23B5FBDC-6949-4764-B3FE-56A559FA54F8}"/>
    <cellStyle name="40% - Accent2 2 3 2 2 4" xfId="19790" xr:uid="{1243DC40-F896-4F4A-844D-01055150052F}"/>
    <cellStyle name="40% - Accent2 2 3 2 3" xfId="4978" xr:uid="{00000000-0005-0000-0000-00008F040000}"/>
    <cellStyle name="40% - Accent2 2 3 2 3 2" xfId="13428" xr:uid="{45E332FA-392F-429C-BAD6-829119795346}"/>
    <cellStyle name="40% - Accent2 2 3 2 3 3" xfId="21862" xr:uid="{E7843267-0D1D-43B3-9511-0AA649084987}"/>
    <cellStyle name="40% - Accent2 2 3 2 4" xfId="9210" xr:uid="{B506E464-865E-42C6-A407-190DD69C95B7}"/>
    <cellStyle name="40% - Accent2 2 3 2 5" xfId="17645" xr:uid="{C9756412-740F-4AA8-B441-58ACAAD397E3}"/>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2C488F71-8B44-42F2-8A23-760B93156B6B}"/>
    <cellStyle name="40% - Accent2 2 3 3 2 2 3" xfId="24420" xr:uid="{AC22FB83-3D6A-4B9D-8BEF-922B3EC88A2F}"/>
    <cellStyle name="40% - Accent2 2 3 3 2 3" xfId="11768" xr:uid="{D3072293-7185-4B68-88AC-870CE073361A}"/>
    <cellStyle name="40% - Accent2 2 3 3 2 4" xfId="20203" xr:uid="{1305FF8F-14D9-4389-894D-93770B7B1CDE}"/>
    <cellStyle name="40% - Accent2 2 3 3 3" xfId="5391" xr:uid="{00000000-0005-0000-0000-000093040000}"/>
    <cellStyle name="40% - Accent2 2 3 3 3 2" xfId="13841" xr:uid="{05185ED6-6FF0-437A-8F92-978670A91DE7}"/>
    <cellStyle name="40% - Accent2 2 3 3 3 3" xfId="22275" xr:uid="{E91B279D-6473-4254-9E2A-83BE0EFCF5A8}"/>
    <cellStyle name="40% - Accent2 2 3 3 4" xfId="9623" xr:uid="{1C1E275D-6C5B-480A-9251-D9862249F2F8}"/>
    <cellStyle name="40% - Accent2 2 3 3 5" xfId="18058" xr:uid="{FA56B2D7-D4DA-4E71-9475-7224CC8FFB6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1D8D9101-6AB7-473F-97F7-FBE5163F3DAE}"/>
    <cellStyle name="40% - Accent2 2 3 4 2 2 3" xfId="24833" xr:uid="{7845CA75-6155-458F-AC58-5F9FE68BD1ED}"/>
    <cellStyle name="40% - Accent2 2 3 4 2 3" xfId="12181" xr:uid="{FF087028-24E8-43CB-BF12-4643F9BDE7B2}"/>
    <cellStyle name="40% - Accent2 2 3 4 2 4" xfId="20616" xr:uid="{19D96782-4468-4459-8205-2320FF845E4A}"/>
    <cellStyle name="40% - Accent2 2 3 4 3" xfId="5804" xr:uid="{00000000-0005-0000-0000-000097040000}"/>
    <cellStyle name="40% - Accent2 2 3 4 3 2" xfId="14254" xr:uid="{3F81F181-F0FA-4E30-BAD2-7CC7F28F3121}"/>
    <cellStyle name="40% - Accent2 2 3 4 3 3" xfId="22688" xr:uid="{15E9CA68-6D7F-4F3C-9C40-F88A2A178E01}"/>
    <cellStyle name="40% - Accent2 2 3 4 4" xfId="10036" xr:uid="{4AB50E2B-5BAD-4801-91E0-465AE19F6C2C}"/>
    <cellStyle name="40% - Accent2 2 3 4 5" xfId="18471" xr:uid="{5C835792-19AF-4BC2-A18B-40010892034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547A3D86-F4A4-4ED3-9B4F-B3B695BCC515}"/>
    <cellStyle name="40% - Accent2 2 3 5 2 2 3" xfId="25246" xr:uid="{60C50D64-092D-413D-BA9B-B4A54F6EA58C}"/>
    <cellStyle name="40% - Accent2 2 3 5 2 3" xfId="12594" xr:uid="{428F0C9D-1F31-4DD8-B50A-99B53F65869B}"/>
    <cellStyle name="40% - Accent2 2 3 5 2 4" xfId="21029" xr:uid="{4CF3E042-2EDF-40B5-8100-D1F4103A3A1A}"/>
    <cellStyle name="40% - Accent2 2 3 5 3" xfId="6217" xr:uid="{00000000-0005-0000-0000-00009B040000}"/>
    <cellStyle name="40% - Accent2 2 3 5 3 2" xfId="14667" xr:uid="{53EBA9C8-5C5F-4977-B2EF-890A4F10E15F}"/>
    <cellStyle name="40% - Accent2 2 3 5 3 3" xfId="23101" xr:uid="{E99D2EA3-1F43-49A5-AACC-5D6BFC2AD3C1}"/>
    <cellStyle name="40% - Accent2 2 3 5 4" xfId="10449" xr:uid="{5C1E8110-4FE7-4728-A776-84C84F37C499}"/>
    <cellStyle name="40% - Accent2 2 3 5 5" xfId="18884" xr:uid="{0B32D995-2455-4B9B-9B47-D5A5ACD97971}"/>
    <cellStyle name="40% - Accent2 2 3 6" xfId="2324" xr:uid="{00000000-0005-0000-0000-00009C040000}"/>
    <cellStyle name="40% - Accent2 2 3 6 2" xfId="6630" xr:uid="{00000000-0005-0000-0000-00009D040000}"/>
    <cellStyle name="40% - Accent2 2 3 6 2 2" xfId="15080" xr:uid="{8535D90C-63ED-42A8-B176-E6ACD481F6ED}"/>
    <cellStyle name="40% - Accent2 2 3 6 2 3" xfId="23514" xr:uid="{51C7DC43-E461-4421-BFA6-67144440864B}"/>
    <cellStyle name="40% - Accent2 2 3 6 3" xfId="10862" xr:uid="{9661547A-E56E-4759-AD98-7BFCA07C7520}"/>
    <cellStyle name="40% - Accent2 2 3 6 4" xfId="19297" xr:uid="{E7C7EF21-F32F-4914-8337-EAA1863BEEF0}"/>
    <cellStyle name="40% - Accent2 2 3 7" xfId="4564" xr:uid="{00000000-0005-0000-0000-00009E040000}"/>
    <cellStyle name="40% - Accent2 2 3 7 2" xfId="13014" xr:uid="{4E249A2A-F3E5-4120-8F3A-28DCDE7F749C}"/>
    <cellStyle name="40% - Accent2 2 3 7 3" xfId="21448" xr:uid="{7330D7E4-9BB8-4BA4-BBE6-6DC347FD2749}"/>
    <cellStyle name="40% - Accent2 2 3 8" xfId="8796" xr:uid="{FC0E0CB3-229C-4EB5-BAAE-9648B31B064E}"/>
    <cellStyle name="40% - Accent2 2 3 9" xfId="17231" xr:uid="{EF00B7DE-3A56-43D2-B984-437D56F72E62}"/>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B6E8A17A-E2DA-4873-AC66-ED2E681EEC02}"/>
    <cellStyle name="40% - Accent2 2 4 2 2 3" xfId="24004" xr:uid="{28621D7E-C456-4388-B9D5-C5E81E8B8F54}"/>
    <cellStyle name="40% - Accent2 2 4 2 3" xfId="11352" xr:uid="{147EBE62-EF0E-4D87-8E84-2ED94CB19C17}"/>
    <cellStyle name="40% - Accent2 2 4 2 4" xfId="19787" xr:uid="{1E356116-BC10-4EFD-9E48-B1B1E1012656}"/>
    <cellStyle name="40% - Accent2 2 4 3" xfId="4975" xr:uid="{00000000-0005-0000-0000-0000A2040000}"/>
    <cellStyle name="40% - Accent2 2 4 3 2" xfId="13425" xr:uid="{221FF8B7-823F-4FFA-A900-A90F740C0D69}"/>
    <cellStyle name="40% - Accent2 2 4 3 3" xfId="21859" xr:uid="{B41D7C06-2261-4B37-BC2F-F5F1496689B6}"/>
    <cellStyle name="40% - Accent2 2 4 4" xfId="9207" xr:uid="{61833C2C-3A55-4995-93B4-3C2B5538A054}"/>
    <cellStyle name="40% - Accent2 2 4 5" xfId="17642" xr:uid="{467E25F0-2D14-402E-9604-0DA951959F63}"/>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1DEFBBA6-047E-45F7-8641-C6A6F66973A3}"/>
    <cellStyle name="40% - Accent2 2 5 2 2 3" xfId="24417" xr:uid="{62123253-A926-45C2-B1F0-63220E7D9A91}"/>
    <cellStyle name="40% - Accent2 2 5 2 3" xfId="11765" xr:uid="{109E3740-CD4A-4F27-B7A9-3548D5403C88}"/>
    <cellStyle name="40% - Accent2 2 5 2 4" xfId="20200" xr:uid="{D53D4601-7F4A-448D-A8AB-F737A347EF18}"/>
    <cellStyle name="40% - Accent2 2 5 3" xfId="5388" xr:uid="{00000000-0005-0000-0000-0000A6040000}"/>
    <cellStyle name="40% - Accent2 2 5 3 2" xfId="13838" xr:uid="{B7DB3045-D03E-469F-9CB9-271BC712B154}"/>
    <cellStyle name="40% - Accent2 2 5 3 3" xfId="22272" xr:uid="{ED74F2AB-A25E-4421-85DB-CF57AA97A9DD}"/>
    <cellStyle name="40% - Accent2 2 5 4" xfId="9620" xr:uid="{D31335F2-8E52-4423-8816-7B5F05F2E61B}"/>
    <cellStyle name="40% - Accent2 2 5 5" xfId="18055" xr:uid="{18CDA202-D1FD-4E74-A566-1947B1C75DCA}"/>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D3641E09-7F14-404E-B58F-CFB5B8A10A22}"/>
    <cellStyle name="40% - Accent2 2 6 2 2 3" xfId="24830" xr:uid="{51298BC0-34F7-4A63-AF22-C712CD016477}"/>
    <cellStyle name="40% - Accent2 2 6 2 3" xfId="12178" xr:uid="{BE046005-1254-4B20-B256-C219168C3258}"/>
    <cellStyle name="40% - Accent2 2 6 2 4" xfId="20613" xr:uid="{A70B7FC7-1A9F-4A16-B184-1E9371537DA5}"/>
    <cellStyle name="40% - Accent2 2 6 3" xfId="5801" xr:uid="{00000000-0005-0000-0000-0000AA040000}"/>
    <cellStyle name="40% - Accent2 2 6 3 2" xfId="14251" xr:uid="{51E27792-67A3-4EEE-A499-3C72EAAC8275}"/>
    <cellStyle name="40% - Accent2 2 6 3 3" xfId="22685" xr:uid="{E1B6F986-CDF3-4EBF-BA92-9F18C9F3353C}"/>
    <cellStyle name="40% - Accent2 2 6 4" xfId="10033" xr:uid="{EB58B6B1-3BAE-408E-8553-CC48646E2CE0}"/>
    <cellStyle name="40% - Accent2 2 6 5" xfId="18468" xr:uid="{92799C5E-DC7B-49DD-A7F3-DF8A23A8FE01}"/>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A22695BE-1BD6-4E33-BC24-49010A212B7C}"/>
    <cellStyle name="40% - Accent2 2 7 2 2 3" xfId="25243" xr:uid="{6D6E136B-6F6A-4EFB-88F4-E4FC292117E4}"/>
    <cellStyle name="40% - Accent2 2 7 2 3" xfId="12591" xr:uid="{1AF5B0EA-957A-42C3-8307-0383BB69103E}"/>
    <cellStyle name="40% - Accent2 2 7 2 4" xfId="21026" xr:uid="{1E10CCF5-B139-4371-9D50-C599F5E96314}"/>
    <cellStyle name="40% - Accent2 2 7 3" xfId="6214" xr:uid="{00000000-0005-0000-0000-0000AE040000}"/>
    <cellStyle name="40% - Accent2 2 7 3 2" xfId="14664" xr:uid="{FA57F5EE-C432-4FC1-9CCE-219AA00E370E}"/>
    <cellStyle name="40% - Accent2 2 7 3 3" xfId="23098" xr:uid="{2F922AA6-AD5A-47BE-A35F-B321CE00F0A8}"/>
    <cellStyle name="40% - Accent2 2 7 4" xfId="10446" xr:uid="{96F38463-D492-459E-A83F-7414E4C918C5}"/>
    <cellStyle name="40% - Accent2 2 7 5" xfId="18881" xr:uid="{5C3B255B-E934-4689-AA8E-19D0FF5B86B7}"/>
    <cellStyle name="40% - Accent2 2 8" xfId="2321" xr:uid="{00000000-0005-0000-0000-0000AF040000}"/>
    <cellStyle name="40% - Accent2 2 8 2" xfId="6627" xr:uid="{00000000-0005-0000-0000-0000B0040000}"/>
    <cellStyle name="40% - Accent2 2 8 2 2" xfId="15077" xr:uid="{5505CA76-6A28-4F03-A471-76642F817D17}"/>
    <cellStyle name="40% - Accent2 2 8 2 3" xfId="23511" xr:uid="{A522F91C-7F97-4640-A6D5-4C66DC217D82}"/>
    <cellStyle name="40% - Accent2 2 8 3" xfId="10859" xr:uid="{9B369DB2-C81D-4580-ADD5-7815EF3BAD10}"/>
    <cellStyle name="40% - Accent2 2 8 4" xfId="19294" xr:uid="{3246590F-B83C-4C32-B21A-132BC2B23E3C}"/>
    <cellStyle name="40% - Accent2 2 9" xfId="4561" xr:uid="{00000000-0005-0000-0000-0000B1040000}"/>
    <cellStyle name="40% - Accent2 2 9 2" xfId="13011" xr:uid="{05F420E2-3498-4923-B6B5-A9E1462DA791}"/>
    <cellStyle name="40% - Accent2 2 9 3" xfId="21445" xr:uid="{F8101253-750B-43DA-97E3-963C3014E73E}"/>
    <cellStyle name="40% - Accent2 3" xfId="62" xr:uid="{00000000-0005-0000-0000-0000B2040000}"/>
    <cellStyle name="40% - Accent2 3 10" xfId="17232" xr:uid="{2A2D1F00-0B89-4D4A-95E5-FDD1C172046A}"/>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657674BD-7B2B-4D27-BABB-B6EA32256318}"/>
    <cellStyle name="40% - Accent2 3 2 2 2 2 3" xfId="24009" xr:uid="{56A10230-5C79-4964-A691-9E8F63D2EF14}"/>
    <cellStyle name="40% - Accent2 3 2 2 2 3" xfId="11357" xr:uid="{2FD99023-AA5B-4BDA-8D6E-A628BD68134C}"/>
    <cellStyle name="40% - Accent2 3 2 2 2 4" xfId="19792" xr:uid="{4B13EC0B-0843-4D1C-B975-776BF2458627}"/>
    <cellStyle name="40% - Accent2 3 2 2 3" xfId="4980" xr:uid="{00000000-0005-0000-0000-0000B7040000}"/>
    <cellStyle name="40% - Accent2 3 2 2 3 2" xfId="13430" xr:uid="{076F2722-4943-42E5-A59D-81586CC66A4E}"/>
    <cellStyle name="40% - Accent2 3 2 2 3 3" xfId="21864" xr:uid="{12648E41-0DC5-4D16-8B54-18344025EA0B}"/>
    <cellStyle name="40% - Accent2 3 2 2 4" xfId="9212" xr:uid="{46F4E695-DAE9-4D62-9257-888B5DF9AC0E}"/>
    <cellStyle name="40% - Accent2 3 2 2 5" xfId="17647" xr:uid="{DDA22012-9F79-47D8-9755-833C380D5F1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34F7D886-3880-4326-AA09-4D834B77FF57}"/>
    <cellStyle name="40% - Accent2 3 2 3 2 2 3" xfId="24422" xr:uid="{EE43376F-3086-4C25-97F0-EA27D3D545D8}"/>
    <cellStyle name="40% - Accent2 3 2 3 2 3" xfId="11770" xr:uid="{9065F90A-C94A-4681-998A-6E1B1C18596A}"/>
    <cellStyle name="40% - Accent2 3 2 3 2 4" xfId="20205" xr:uid="{1A1F06F1-406A-474F-BC23-E382324C939A}"/>
    <cellStyle name="40% - Accent2 3 2 3 3" xfId="5393" xr:uid="{00000000-0005-0000-0000-0000BB040000}"/>
    <cellStyle name="40% - Accent2 3 2 3 3 2" xfId="13843" xr:uid="{10B3B522-556B-4D95-90EE-9BED92DE61DE}"/>
    <cellStyle name="40% - Accent2 3 2 3 3 3" xfId="22277" xr:uid="{4F1A0BFD-A6E9-4164-968F-9D41FDC0BAA9}"/>
    <cellStyle name="40% - Accent2 3 2 3 4" xfId="9625" xr:uid="{C5860C7E-F648-40CD-9794-209954154B8C}"/>
    <cellStyle name="40% - Accent2 3 2 3 5" xfId="18060" xr:uid="{C5AC72B8-BB5C-478C-B90A-7C1FD0F0FCE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80C75ACE-2957-4B53-878D-83F90447EDBD}"/>
    <cellStyle name="40% - Accent2 3 2 4 2 2 3" xfId="24835" xr:uid="{26A80090-66D8-448F-97FE-F7DB066A1417}"/>
    <cellStyle name="40% - Accent2 3 2 4 2 3" xfId="12183" xr:uid="{54876D8F-66F9-43AB-AAB3-9973E6A04A2E}"/>
    <cellStyle name="40% - Accent2 3 2 4 2 4" xfId="20618" xr:uid="{4A1D4CEC-5191-4C99-A3D3-4485C9CCCB54}"/>
    <cellStyle name="40% - Accent2 3 2 4 3" xfId="5806" xr:uid="{00000000-0005-0000-0000-0000BF040000}"/>
    <cellStyle name="40% - Accent2 3 2 4 3 2" xfId="14256" xr:uid="{B1EB9A71-07CA-4793-8721-0F16A15E2B6B}"/>
    <cellStyle name="40% - Accent2 3 2 4 3 3" xfId="22690" xr:uid="{4809F85E-AB63-4578-9A79-7FDB1F2F5AB3}"/>
    <cellStyle name="40% - Accent2 3 2 4 4" xfId="10038" xr:uid="{8DC6676A-98EC-4F7E-AA11-AEF95468B6C4}"/>
    <cellStyle name="40% - Accent2 3 2 4 5" xfId="18473" xr:uid="{3CB87A43-17CC-40BC-8A3A-53269B69E7FA}"/>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8E9002DB-68D4-4639-A909-3ACBB4DDE6CE}"/>
    <cellStyle name="40% - Accent2 3 2 5 2 2 3" xfId="25248" xr:uid="{675AB4AB-630E-4092-A95A-2EEF70B0D745}"/>
    <cellStyle name="40% - Accent2 3 2 5 2 3" xfId="12596" xr:uid="{E6E9A378-71C9-4231-8AD5-0801FDF9A5B1}"/>
    <cellStyle name="40% - Accent2 3 2 5 2 4" xfId="21031" xr:uid="{722B25F6-8F66-4BA8-AD69-04340D165117}"/>
    <cellStyle name="40% - Accent2 3 2 5 3" xfId="6219" xr:uid="{00000000-0005-0000-0000-0000C3040000}"/>
    <cellStyle name="40% - Accent2 3 2 5 3 2" xfId="14669" xr:uid="{7BC2B6AA-8AC0-421F-AF52-9E42B0A254E0}"/>
    <cellStyle name="40% - Accent2 3 2 5 3 3" xfId="23103" xr:uid="{82282109-1124-43BB-AAB0-99D6EBDA7D9F}"/>
    <cellStyle name="40% - Accent2 3 2 5 4" xfId="10451" xr:uid="{CB1D932C-96B2-4C49-91FF-582E0A0D8702}"/>
    <cellStyle name="40% - Accent2 3 2 5 5" xfId="18886" xr:uid="{F9F96F40-9595-46D3-A3D4-6D4EA79F2A27}"/>
    <cellStyle name="40% - Accent2 3 2 6" xfId="2326" xr:uid="{00000000-0005-0000-0000-0000C4040000}"/>
    <cellStyle name="40% - Accent2 3 2 6 2" xfId="6632" xr:uid="{00000000-0005-0000-0000-0000C5040000}"/>
    <cellStyle name="40% - Accent2 3 2 6 2 2" xfId="15082" xr:uid="{337157EB-0AF1-43CA-B376-D069A6816AA2}"/>
    <cellStyle name="40% - Accent2 3 2 6 2 3" xfId="23516" xr:uid="{BCA28BE4-EDEC-4E95-98C2-9BAB0BE24BA2}"/>
    <cellStyle name="40% - Accent2 3 2 6 3" xfId="10864" xr:uid="{96C7F15E-5F5C-4507-985A-71C86DE007B0}"/>
    <cellStyle name="40% - Accent2 3 2 6 4" xfId="19299" xr:uid="{0F86352F-D8D7-4F79-A725-5E2CD3A85392}"/>
    <cellStyle name="40% - Accent2 3 2 7" xfId="4566" xr:uid="{00000000-0005-0000-0000-0000C6040000}"/>
    <cellStyle name="40% - Accent2 3 2 7 2" xfId="13016" xr:uid="{A13AB9E0-2BF7-4BDB-82A0-BFDC00F32CAB}"/>
    <cellStyle name="40% - Accent2 3 2 7 3" xfId="21450" xr:uid="{6F423F97-31AD-4627-A467-CEFA6E197C2C}"/>
    <cellStyle name="40% - Accent2 3 2 8" xfId="8798" xr:uid="{9AE92149-FC90-4A0F-916B-58223634E3E4}"/>
    <cellStyle name="40% - Accent2 3 2 9" xfId="17233" xr:uid="{392F9EFF-5DF8-45D3-9FD2-65BFAE8A0CBC}"/>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5E1C6B7B-BE89-4800-BD3F-D9FCD5435B54}"/>
    <cellStyle name="40% - Accent2 3 3 2 2 3" xfId="24008" xr:uid="{024F70A3-3BE0-4894-BAB5-BB95B573458A}"/>
    <cellStyle name="40% - Accent2 3 3 2 3" xfId="11356" xr:uid="{C40F9288-77DC-4D3E-8633-08745BC64872}"/>
    <cellStyle name="40% - Accent2 3 3 2 4" xfId="19791" xr:uid="{4A353885-65BA-4257-A2FE-76EFC09C7FBA}"/>
    <cellStyle name="40% - Accent2 3 3 3" xfId="4979" xr:uid="{00000000-0005-0000-0000-0000CA040000}"/>
    <cellStyle name="40% - Accent2 3 3 3 2" xfId="13429" xr:uid="{AD00ACF7-2DC7-4C29-99EF-7A9C025C57D4}"/>
    <cellStyle name="40% - Accent2 3 3 3 3" xfId="21863" xr:uid="{E2E76BA5-F7F5-4FCA-8555-09E6AD1605EB}"/>
    <cellStyle name="40% - Accent2 3 3 4" xfId="9211" xr:uid="{333F962A-1840-401E-9F80-2893E204723D}"/>
    <cellStyle name="40% - Accent2 3 3 5" xfId="17646" xr:uid="{DBD30F32-817C-4EC0-943B-0BCD6B758ED8}"/>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FD7ADB8E-5D3F-467B-81AB-9C8C86CF3B36}"/>
    <cellStyle name="40% - Accent2 3 4 2 2 3" xfId="24421" xr:uid="{46FE1F9E-11E1-4EB5-B520-7C08AA8CC75E}"/>
    <cellStyle name="40% - Accent2 3 4 2 3" xfId="11769" xr:uid="{502D1F7D-D05D-44FA-AF5B-46CF561838BE}"/>
    <cellStyle name="40% - Accent2 3 4 2 4" xfId="20204" xr:uid="{D5266725-D75F-4962-8FFD-7AD2BE22000A}"/>
    <cellStyle name="40% - Accent2 3 4 3" xfId="5392" xr:uid="{00000000-0005-0000-0000-0000CE040000}"/>
    <cellStyle name="40% - Accent2 3 4 3 2" xfId="13842" xr:uid="{D15107E9-DE21-42DB-9A86-5949A355D6E4}"/>
    <cellStyle name="40% - Accent2 3 4 3 3" xfId="22276" xr:uid="{92C2129D-9FE4-41A7-AC5A-FB830C88D4AA}"/>
    <cellStyle name="40% - Accent2 3 4 4" xfId="9624" xr:uid="{7451DA6C-54A1-4686-9E1C-7B7B15C7BA18}"/>
    <cellStyle name="40% - Accent2 3 4 5" xfId="18059" xr:uid="{459EEC89-4C8F-4F45-A9F1-B26FC1102D42}"/>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94355E35-F14E-416D-9488-2E7DCB1E1813}"/>
    <cellStyle name="40% - Accent2 3 5 2 2 3" xfId="24834" xr:uid="{F30F89C7-22DA-4E37-81F7-F70F6C8A113D}"/>
    <cellStyle name="40% - Accent2 3 5 2 3" xfId="12182" xr:uid="{94344549-E030-48A9-ABDA-C0DB844A8059}"/>
    <cellStyle name="40% - Accent2 3 5 2 4" xfId="20617" xr:uid="{042BF6D3-AE18-42DB-B834-5561EBB43A80}"/>
    <cellStyle name="40% - Accent2 3 5 3" xfId="5805" xr:uid="{00000000-0005-0000-0000-0000D2040000}"/>
    <cellStyle name="40% - Accent2 3 5 3 2" xfId="14255" xr:uid="{6DD85384-F4F6-4762-9579-652EC79C8B77}"/>
    <cellStyle name="40% - Accent2 3 5 3 3" xfId="22689" xr:uid="{3178343D-90AB-41A5-9063-C22E15DEDC41}"/>
    <cellStyle name="40% - Accent2 3 5 4" xfId="10037" xr:uid="{36D18A96-9A16-4F76-87F2-7ED28C2E6DD9}"/>
    <cellStyle name="40% - Accent2 3 5 5" xfId="18472" xr:uid="{EBCF2E58-F524-4FB0-82B5-2B110CDD43D5}"/>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946A56A1-306F-4E40-8277-18D2F122754B}"/>
    <cellStyle name="40% - Accent2 3 6 2 2 3" xfId="25247" xr:uid="{58FB6978-5A1D-4FD1-8903-F77B433B727B}"/>
    <cellStyle name="40% - Accent2 3 6 2 3" xfId="12595" xr:uid="{C8D12408-39CD-40DA-81AB-FDD7A2ED063A}"/>
    <cellStyle name="40% - Accent2 3 6 2 4" xfId="21030" xr:uid="{6C44C159-40C9-4CA9-B2F1-AB4C6F8CE293}"/>
    <cellStyle name="40% - Accent2 3 6 3" xfId="6218" xr:uid="{00000000-0005-0000-0000-0000D6040000}"/>
    <cellStyle name="40% - Accent2 3 6 3 2" xfId="14668" xr:uid="{DBCA5B08-FDBE-4525-882B-FABFBD7A3DCB}"/>
    <cellStyle name="40% - Accent2 3 6 3 3" xfId="23102" xr:uid="{A12CBB24-AB4D-4E66-A2E8-7DF270FB1C0F}"/>
    <cellStyle name="40% - Accent2 3 6 4" xfId="10450" xr:uid="{99A82545-8A2C-477D-8C68-94D24385328F}"/>
    <cellStyle name="40% - Accent2 3 6 5" xfId="18885" xr:uid="{4B3A3878-01DE-4389-8252-67236F205398}"/>
    <cellStyle name="40% - Accent2 3 7" xfId="2325" xr:uid="{00000000-0005-0000-0000-0000D7040000}"/>
    <cellStyle name="40% - Accent2 3 7 2" xfId="6631" xr:uid="{00000000-0005-0000-0000-0000D8040000}"/>
    <cellStyle name="40% - Accent2 3 7 2 2" xfId="15081" xr:uid="{2E52DDAC-706B-4EED-8755-1B164B276EEB}"/>
    <cellStyle name="40% - Accent2 3 7 2 3" xfId="23515" xr:uid="{BD340775-097D-40E6-9587-D2BF78BAD3B7}"/>
    <cellStyle name="40% - Accent2 3 7 3" xfId="10863" xr:uid="{FF5FCCA5-BA7C-4A9A-831E-8A1CFC2131A7}"/>
    <cellStyle name="40% - Accent2 3 7 4" xfId="19298" xr:uid="{2B5E21C7-3E80-43C6-AD0F-D639181EA957}"/>
    <cellStyle name="40% - Accent2 3 8" xfId="4565" xr:uid="{00000000-0005-0000-0000-0000D9040000}"/>
    <cellStyle name="40% - Accent2 3 8 2" xfId="13015" xr:uid="{94F18E45-5DA3-4358-B3A5-8C09694489A1}"/>
    <cellStyle name="40% - Accent2 3 8 3" xfId="21449" xr:uid="{41D51EAF-F753-4F78-BB82-1389D2FB3005}"/>
    <cellStyle name="40% - Accent2 3 9" xfId="8797" xr:uid="{87C9D031-B7D2-4CFD-BC48-839BC566C72F}"/>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A6D268EE-2484-47E4-A592-321E4A2E8B7C}"/>
    <cellStyle name="40% - Accent2 4 2 2 2 3" xfId="24010" xr:uid="{7EA2BD90-3475-498E-909B-D4EC8A605324}"/>
    <cellStyle name="40% - Accent2 4 2 2 3" xfId="11358" xr:uid="{ECDB2B68-4D64-4344-A359-D72585F2DB40}"/>
    <cellStyle name="40% - Accent2 4 2 2 4" xfId="19793" xr:uid="{A88BC22D-676B-45F1-BCB5-71EFFABC725A}"/>
    <cellStyle name="40% - Accent2 4 2 3" xfId="4981" xr:uid="{00000000-0005-0000-0000-0000DE040000}"/>
    <cellStyle name="40% - Accent2 4 2 3 2" xfId="13431" xr:uid="{30517D57-A19D-432C-80FC-F791922A1F4E}"/>
    <cellStyle name="40% - Accent2 4 2 3 3" xfId="21865" xr:uid="{69E360B2-43F8-4EB0-BDF8-9DC0E038B246}"/>
    <cellStyle name="40% - Accent2 4 2 4" xfId="9213" xr:uid="{906DE030-8806-47F5-B5C8-370B4CF8E40A}"/>
    <cellStyle name="40% - Accent2 4 2 5" xfId="17648" xr:uid="{A9BCBB38-1D1D-4CD9-9458-3F7A46D3D79F}"/>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45489C89-1B25-4064-AE17-D909E2E0E5F0}"/>
    <cellStyle name="40% - Accent2 4 3 2 2 3" xfId="24423" xr:uid="{2F868263-822E-4F50-A70A-3573ED3B1A8F}"/>
    <cellStyle name="40% - Accent2 4 3 2 3" xfId="11771" xr:uid="{3CAE1645-03DC-42C1-ACB7-7389CCE4159C}"/>
    <cellStyle name="40% - Accent2 4 3 2 4" xfId="20206" xr:uid="{2CD93996-E14A-4767-A7B8-E87DD2388D9C}"/>
    <cellStyle name="40% - Accent2 4 3 3" xfId="5394" xr:uid="{00000000-0005-0000-0000-0000E2040000}"/>
    <cellStyle name="40% - Accent2 4 3 3 2" xfId="13844" xr:uid="{3ACD3BDB-64D4-4770-9BC6-C8D689839C52}"/>
    <cellStyle name="40% - Accent2 4 3 3 3" xfId="22278" xr:uid="{53D1F0EF-6602-4FE6-98E7-0537A3C283FF}"/>
    <cellStyle name="40% - Accent2 4 3 4" xfId="9626" xr:uid="{29C96443-C0EB-424A-843E-87F738385285}"/>
    <cellStyle name="40% - Accent2 4 3 5" xfId="18061" xr:uid="{21777051-595A-4915-B767-AE8FFD656C2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F9F4C81F-7F1F-4B80-9651-425AFA080D07}"/>
    <cellStyle name="40% - Accent2 4 4 2 2 3" xfId="24836" xr:uid="{85A4FCD1-9102-45C7-9E3D-2F1AA40B87C3}"/>
    <cellStyle name="40% - Accent2 4 4 2 3" xfId="12184" xr:uid="{5FB21871-944D-434E-8114-D0986FFBDB87}"/>
    <cellStyle name="40% - Accent2 4 4 2 4" xfId="20619" xr:uid="{1DD2F5F0-AB2F-4799-8B5C-1450E8DD3004}"/>
    <cellStyle name="40% - Accent2 4 4 3" xfId="5807" xr:uid="{00000000-0005-0000-0000-0000E6040000}"/>
    <cellStyle name="40% - Accent2 4 4 3 2" xfId="14257" xr:uid="{8F3CB3C6-584A-4E66-A0C3-2AF66B0C037B}"/>
    <cellStyle name="40% - Accent2 4 4 3 3" xfId="22691" xr:uid="{F98C8ECF-D70C-49F5-95A4-4D42BC5A3FBE}"/>
    <cellStyle name="40% - Accent2 4 4 4" xfId="10039" xr:uid="{D7DB8595-F6E4-4EE2-B435-FB25A7234E15}"/>
    <cellStyle name="40% - Accent2 4 4 5" xfId="18474" xr:uid="{60BC510D-5397-44C1-9B6D-0DE0CB95B88C}"/>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9C9ADE4C-06F6-4CFB-A5D2-E37C45017D70}"/>
    <cellStyle name="40% - Accent2 4 5 2 2 3" xfId="25249" xr:uid="{473F7D29-C6D0-4118-8654-C1C96B5BB088}"/>
    <cellStyle name="40% - Accent2 4 5 2 3" xfId="12597" xr:uid="{DEF064BC-73EC-40E1-946C-ACECF3E84144}"/>
    <cellStyle name="40% - Accent2 4 5 2 4" xfId="21032" xr:uid="{77A82D31-9EB7-4F1D-BCD7-88B53B03864D}"/>
    <cellStyle name="40% - Accent2 4 5 3" xfId="6220" xr:uid="{00000000-0005-0000-0000-0000EA040000}"/>
    <cellStyle name="40% - Accent2 4 5 3 2" xfId="14670" xr:uid="{E79413C2-8484-4A86-8103-ED7D1E14A880}"/>
    <cellStyle name="40% - Accent2 4 5 3 3" xfId="23104" xr:uid="{C745CBB1-942B-4F37-B285-61F2A3A020B1}"/>
    <cellStyle name="40% - Accent2 4 5 4" xfId="10452" xr:uid="{1C2B602C-0395-45C5-BE15-E7131DFD7A72}"/>
    <cellStyle name="40% - Accent2 4 5 5" xfId="18887" xr:uid="{6C898134-C30F-46AD-91ED-51539DE1C1DC}"/>
    <cellStyle name="40% - Accent2 4 6" xfId="2327" xr:uid="{00000000-0005-0000-0000-0000EB040000}"/>
    <cellStyle name="40% - Accent2 4 6 2" xfId="6633" xr:uid="{00000000-0005-0000-0000-0000EC040000}"/>
    <cellStyle name="40% - Accent2 4 6 2 2" xfId="15083" xr:uid="{A61D385A-B4F7-4057-8D45-C6F1574DEA90}"/>
    <cellStyle name="40% - Accent2 4 6 2 3" xfId="23517" xr:uid="{C752745B-BB41-4B50-B72E-78131FC1243C}"/>
    <cellStyle name="40% - Accent2 4 6 3" xfId="10865" xr:uid="{DD86D1E6-E025-45CF-B099-83218AFADA62}"/>
    <cellStyle name="40% - Accent2 4 6 4" xfId="19300" xr:uid="{37988A92-A237-4BBA-8B7D-C635E0E62A44}"/>
    <cellStyle name="40% - Accent2 4 7" xfId="4567" xr:uid="{00000000-0005-0000-0000-0000ED040000}"/>
    <cellStyle name="40% - Accent2 4 7 2" xfId="13017" xr:uid="{FDBEFB2E-7740-4296-8E4C-B04729DA2499}"/>
    <cellStyle name="40% - Accent2 4 7 3" xfId="21451" xr:uid="{B1984BB2-C4D4-4ED6-8D99-6A26512F6CF2}"/>
    <cellStyle name="40% - Accent2 4 8" xfId="8799" xr:uid="{00A1CE45-5B83-4F1E-A3CD-4852DE8AACF3}"/>
    <cellStyle name="40% - Accent2 4 9" xfId="17234" xr:uid="{0D3B8547-8562-4637-AD55-333C4EA4A53E}"/>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165EBC27-C41D-46A4-A42D-1E26DAF99FC3}"/>
    <cellStyle name="40% - Accent2 5 2 2 3" xfId="24003" xr:uid="{C3A928A2-18E3-4E84-AD3C-DF5ED30DCF2A}"/>
    <cellStyle name="40% - Accent2 5 2 3" xfId="11351" xr:uid="{ADACA658-9FEC-4168-A42F-FEC821874C3D}"/>
    <cellStyle name="40% - Accent2 5 2 4" xfId="19786" xr:uid="{0554AD9A-FEDD-4C3A-8E48-B5F5987A5F88}"/>
    <cellStyle name="40% - Accent2 5 3" xfId="4974" xr:uid="{00000000-0005-0000-0000-0000F1040000}"/>
    <cellStyle name="40% - Accent2 5 3 2" xfId="13424" xr:uid="{81142B3B-B175-4F6A-A157-64947E827FFD}"/>
    <cellStyle name="40% - Accent2 5 3 3" xfId="21858" xr:uid="{93DD9A92-7B37-4807-92F9-DF03D285003D}"/>
    <cellStyle name="40% - Accent2 5 4" xfId="9206" xr:uid="{52457962-4AC8-4C7E-BAAB-D490F2113BE5}"/>
    <cellStyle name="40% - Accent2 5 5" xfId="17641" xr:uid="{E3FBAAE5-AEE3-4C81-89BD-CCA090D52AFE}"/>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6E8237B3-55B8-457E-B3E9-9A1938FE4A40}"/>
    <cellStyle name="40% - Accent2 6 2 2 3" xfId="24416" xr:uid="{C2F38027-3026-4168-8582-4D33D02B67C1}"/>
    <cellStyle name="40% - Accent2 6 2 3" xfId="11764" xr:uid="{CF702773-5135-4E8A-AD90-942164C79C51}"/>
    <cellStyle name="40% - Accent2 6 2 4" xfId="20199" xr:uid="{952F155F-83AA-45B2-8D71-523E93F1E863}"/>
    <cellStyle name="40% - Accent2 6 3" xfId="5387" xr:uid="{00000000-0005-0000-0000-0000F5040000}"/>
    <cellStyle name="40% - Accent2 6 3 2" xfId="13837" xr:uid="{C23C0BD7-F9E2-4466-BD2D-44809130287B}"/>
    <cellStyle name="40% - Accent2 6 3 3" xfId="22271" xr:uid="{015C19B6-658E-44B1-8AC0-1505C09CDB43}"/>
    <cellStyle name="40% - Accent2 6 4" xfId="9619" xr:uid="{FF79533D-B181-49D9-B6DF-5EF07759DA28}"/>
    <cellStyle name="40% - Accent2 6 5" xfId="18054" xr:uid="{8C5CEB5F-5E7A-437B-B933-0C3B5795D688}"/>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F8EB9ACE-0E68-41E2-A649-5F4DB0AD9DBB}"/>
    <cellStyle name="40% - Accent2 7 2 2 3" xfId="24829" xr:uid="{A5E89AB5-4F8A-48F6-87E3-454DD3E5351A}"/>
    <cellStyle name="40% - Accent2 7 2 3" xfId="12177" xr:uid="{D81FD000-E08E-4DEB-8164-D6FA010A1542}"/>
    <cellStyle name="40% - Accent2 7 2 4" xfId="20612" xr:uid="{ED9D5A13-3813-40AF-92A2-7598C6AE3004}"/>
    <cellStyle name="40% - Accent2 7 3" xfId="5800" xr:uid="{00000000-0005-0000-0000-0000F9040000}"/>
    <cellStyle name="40% - Accent2 7 3 2" xfId="14250" xr:uid="{5295D904-C1D2-4554-9395-A9454E9841F1}"/>
    <cellStyle name="40% - Accent2 7 3 3" xfId="22684" xr:uid="{B7842825-28E2-43DE-ADE2-6B35F339BA27}"/>
    <cellStyle name="40% - Accent2 7 4" xfId="10032" xr:uid="{5266E4E6-57FF-4011-9B99-DC94C07C3A5A}"/>
    <cellStyle name="40% - Accent2 7 5" xfId="18467" xr:uid="{4ACCD6C2-5BAC-4BAC-A8C6-985EF280098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95272E9A-A266-449E-A621-E9B694C28B65}"/>
    <cellStyle name="40% - Accent2 8 2 2 3" xfId="25242" xr:uid="{3B022549-98AF-4820-926D-3C23BDF78DB8}"/>
    <cellStyle name="40% - Accent2 8 2 3" xfId="12590" xr:uid="{7BCD6F10-1B59-46C9-9A2D-ECD7F600347F}"/>
    <cellStyle name="40% - Accent2 8 2 4" xfId="21025" xr:uid="{C0251858-C4E6-469D-9363-325EFF7B088D}"/>
    <cellStyle name="40% - Accent2 8 3" xfId="6213" xr:uid="{00000000-0005-0000-0000-0000FD040000}"/>
    <cellStyle name="40% - Accent2 8 3 2" xfId="14663" xr:uid="{607941FE-B53D-46C5-AA07-5C61949BE09A}"/>
    <cellStyle name="40% - Accent2 8 3 3" xfId="23097" xr:uid="{3071CFB6-4A19-4657-AB07-A5D34771362D}"/>
    <cellStyle name="40% - Accent2 8 4" xfId="10445" xr:uid="{6CF05E56-9269-4D5A-87F1-0666E8964AE6}"/>
    <cellStyle name="40% - Accent2 8 5" xfId="18880" xr:uid="{66F40718-A198-4E69-96B1-FA408CDA5087}"/>
    <cellStyle name="40% - Accent2 9" xfId="2320" xr:uid="{00000000-0005-0000-0000-0000FE040000}"/>
    <cellStyle name="40% - Accent2 9 2" xfId="6626" xr:uid="{00000000-0005-0000-0000-0000FF040000}"/>
    <cellStyle name="40% - Accent2 9 2 2" xfId="15076" xr:uid="{1C60CB3A-DBB6-4D46-8D9B-84043878353B}"/>
    <cellStyle name="40% - Accent2 9 2 3" xfId="23510" xr:uid="{74157C46-DC4A-41CF-A361-6CE73A4CF345}"/>
    <cellStyle name="40% - Accent2 9 3" xfId="10858" xr:uid="{C8341C0A-9A30-4954-A404-03C3F83B011F}"/>
    <cellStyle name="40% - Accent2 9 4" xfId="19293" xr:uid="{2BBFAE39-3829-4957-B676-F100CC717B66}"/>
    <cellStyle name="40% - Accent3" xfId="65" builtinId="39" customBuiltin="1"/>
    <cellStyle name="40% - Accent3 10" xfId="4568" xr:uid="{00000000-0005-0000-0000-000001050000}"/>
    <cellStyle name="40% - Accent3 10 2" xfId="13018" xr:uid="{B736199B-EF75-4DF1-96F5-80BDC44F3C23}"/>
    <cellStyle name="40% - Accent3 10 3" xfId="21452" xr:uid="{B40F56A0-EE80-42C8-B638-CC0723767A6E}"/>
    <cellStyle name="40% - Accent3 11" xfId="8800" xr:uid="{CFB08849-B29B-4BB4-90F5-26454D31CBA4}"/>
    <cellStyle name="40% - Accent3 12" xfId="17235" xr:uid="{42D71B90-00D0-4E5F-8F38-154AC98C76C0}"/>
    <cellStyle name="40% - Accent3 2" xfId="66" xr:uid="{00000000-0005-0000-0000-000002050000}"/>
    <cellStyle name="40% - Accent3 2 10" xfId="8801" xr:uid="{6DC0C6BF-BC22-4BF3-8BE5-CA7AA1696AEE}"/>
    <cellStyle name="40% - Accent3 2 11" xfId="17236" xr:uid="{3177ECD4-549B-4926-AC67-F90FFB0FD3CF}"/>
    <cellStyle name="40% - Accent3 2 2" xfId="67" xr:uid="{00000000-0005-0000-0000-000003050000}"/>
    <cellStyle name="40% - Accent3 2 2 10" xfId="17237" xr:uid="{F87B38D3-0149-40A0-9E54-8A19EFF84548}"/>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FB4CA003-466D-410C-AEB6-4C1E65E54DE1}"/>
    <cellStyle name="40% - Accent3 2 2 2 2 2 2 3" xfId="24014" xr:uid="{EE532961-0728-4681-84BD-00F25667DE49}"/>
    <cellStyle name="40% - Accent3 2 2 2 2 2 3" xfId="11362" xr:uid="{2D7C93B1-838E-49A9-84A7-482B51E74A4B}"/>
    <cellStyle name="40% - Accent3 2 2 2 2 2 4" xfId="19797" xr:uid="{7A40D2F7-F887-4A9A-AF9B-8A4B61AF081B}"/>
    <cellStyle name="40% - Accent3 2 2 2 2 3" xfId="4985" xr:uid="{00000000-0005-0000-0000-000008050000}"/>
    <cellStyle name="40% - Accent3 2 2 2 2 3 2" xfId="13435" xr:uid="{4D3EEB18-3039-4E92-8EE7-2153F6D0B577}"/>
    <cellStyle name="40% - Accent3 2 2 2 2 3 3" xfId="21869" xr:uid="{A4CC6133-5F7B-4353-B373-8530E9BB0111}"/>
    <cellStyle name="40% - Accent3 2 2 2 2 4" xfId="9217" xr:uid="{3CCABB6E-A854-4DF9-B22E-D6BDA967DF65}"/>
    <cellStyle name="40% - Accent3 2 2 2 2 5" xfId="17652" xr:uid="{FC7B7AA1-8779-4897-A500-B1613CCE6241}"/>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188382C7-106C-4227-9F10-76E2322FAD69}"/>
    <cellStyle name="40% - Accent3 2 2 2 3 2 2 3" xfId="24427" xr:uid="{485FDD43-D615-4F04-921F-A6B4B42EAF7E}"/>
    <cellStyle name="40% - Accent3 2 2 2 3 2 3" xfId="11775" xr:uid="{1DD0118F-3811-48A0-9D23-846BE752747D}"/>
    <cellStyle name="40% - Accent3 2 2 2 3 2 4" xfId="20210" xr:uid="{14AC594D-8840-439F-B8E5-5ADB05C4311C}"/>
    <cellStyle name="40% - Accent3 2 2 2 3 3" xfId="5398" xr:uid="{00000000-0005-0000-0000-00000C050000}"/>
    <cellStyle name="40% - Accent3 2 2 2 3 3 2" xfId="13848" xr:uid="{4DA10A40-F629-44EF-B8AC-9794FDC74C5F}"/>
    <cellStyle name="40% - Accent3 2 2 2 3 3 3" xfId="22282" xr:uid="{1E29C0AB-0D04-4612-982F-DC12D1BFEA54}"/>
    <cellStyle name="40% - Accent3 2 2 2 3 4" xfId="9630" xr:uid="{630DBD93-72BC-4D85-8EF5-EBD10B304F5A}"/>
    <cellStyle name="40% - Accent3 2 2 2 3 5" xfId="18065" xr:uid="{5F9FDC42-C6D6-42BA-B716-E02B8B5A463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955A1189-FC7C-4F59-9E71-14E8C7B5FB50}"/>
    <cellStyle name="40% - Accent3 2 2 2 4 2 2 3" xfId="24840" xr:uid="{104F1F6B-758C-4872-A369-959598CA5AAC}"/>
    <cellStyle name="40% - Accent3 2 2 2 4 2 3" xfId="12188" xr:uid="{9A79AA0C-2E37-42F9-8FF2-15B82C86C005}"/>
    <cellStyle name="40% - Accent3 2 2 2 4 2 4" xfId="20623" xr:uid="{DC2EC7FD-300D-4F27-B203-88707E8F5325}"/>
    <cellStyle name="40% - Accent3 2 2 2 4 3" xfId="5811" xr:uid="{00000000-0005-0000-0000-000010050000}"/>
    <cellStyle name="40% - Accent3 2 2 2 4 3 2" xfId="14261" xr:uid="{BD68C685-4AA8-4680-95A2-A5F77ADEAE88}"/>
    <cellStyle name="40% - Accent3 2 2 2 4 3 3" xfId="22695" xr:uid="{7575A399-5514-407B-9E3B-9BCA63B6C714}"/>
    <cellStyle name="40% - Accent3 2 2 2 4 4" xfId="10043" xr:uid="{A92BF0C2-5940-4560-80C9-65E6467E4FD4}"/>
    <cellStyle name="40% - Accent3 2 2 2 4 5" xfId="18478" xr:uid="{96C2F0AF-0099-4668-B250-F6B76A3D35F8}"/>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67171E13-4A53-4EF8-807E-475976F7FC7C}"/>
    <cellStyle name="40% - Accent3 2 2 2 5 2 2 3" xfId="25253" xr:uid="{28667479-9E2E-49DE-B8FB-562A608FA03B}"/>
    <cellStyle name="40% - Accent3 2 2 2 5 2 3" xfId="12601" xr:uid="{05D0968F-82C0-4F94-BB25-931BAA1E3261}"/>
    <cellStyle name="40% - Accent3 2 2 2 5 2 4" xfId="21036" xr:uid="{0065D6D2-BB2C-4D0F-B525-E603CCC6E099}"/>
    <cellStyle name="40% - Accent3 2 2 2 5 3" xfId="6224" xr:uid="{00000000-0005-0000-0000-000014050000}"/>
    <cellStyle name="40% - Accent3 2 2 2 5 3 2" xfId="14674" xr:uid="{9694F16E-81C8-4BAD-B9CA-899BF5FA1F90}"/>
    <cellStyle name="40% - Accent3 2 2 2 5 3 3" xfId="23108" xr:uid="{B7CAA73D-1E89-496B-9AD9-010D3047CB76}"/>
    <cellStyle name="40% - Accent3 2 2 2 5 4" xfId="10456" xr:uid="{023B42B1-4322-4FCC-9EBF-856284141341}"/>
    <cellStyle name="40% - Accent3 2 2 2 5 5" xfId="18891" xr:uid="{DDBA833B-0929-49DF-AE8B-145810E65B72}"/>
    <cellStyle name="40% - Accent3 2 2 2 6" xfId="2331" xr:uid="{00000000-0005-0000-0000-000015050000}"/>
    <cellStyle name="40% - Accent3 2 2 2 6 2" xfId="6637" xr:uid="{00000000-0005-0000-0000-000016050000}"/>
    <cellStyle name="40% - Accent3 2 2 2 6 2 2" xfId="15087" xr:uid="{4D5A0A5B-CB92-4CED-82AB-24B8D53D09E6}"/>
    <cellStyle name="40% - Accent3 2 2 2 6 2 3" xfId="23521" xr:uid="{1B977C64-D899-44CB-A043-3C7362501FDB}"/>
    <cellStyle name="40% - Accent3 2 2 2 6 3" xfId="10869" xr:uid="{AA9F214B-4533-46A9-B8B2-E3C2D72AE3BE}"/>
    <cellStyle name="40% - Accent3 2 2 2 6 4" xfId="19304" xr:uid="{CEB67A69-3189-481B-B5C6-2C06BFF7357C}"/>
    <cellStyle name="40% - Accent3 2 2 2 7" xfId="4571" xr:uid="{00000000-0005-0000-0000-000017050000}"/>
    <cellStyle name="40% - Accent3 2 2 2 7 2" xfId="13021" xr:uid="{6C805AEB-3653-4A6C-9C7C-C43AF62DAC14}"/>
    <cellStyle name="40% - Accent3 2 2 2 7 3" xfId="21455" xr:uid="{84733565-070E-4E3C-918A-383B789730FF}"/>
    <cellStyle name="40% - Accent3 2 2 2 8" xfId="8803" xr:uid="{C2CB612D-69BD-4BD3-A0A1-84A33F2029A4}"/>
    <cellStyle name="40% - Accent3 2 2 2 9" xfId="17238" xr:uid="{F04062DC-9D2F-4991-85F8-3A26D616A24B}"/>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FD95267A-F8C2-41C2-A1CD-4C94058E95D6}"/>
    <cellStyle name="40% - Accent3 2 2 3 2 2 3" xfId="24013" xr:uid="{0D82AEE4-BD6E-4EDB-B0A9-C3444CFC32DD}"/>
    <cellStyle name="40% - Accent3 2 2 3 2 3" xfId="11361" xr:uid="{A68791ED-3E84-468E-8F98-BDD2AB136044}"/>
    <cellStyle name="40% - Accent3 2 2 3 2 4" xfId="19796" xr:uid="{8234944F-2F68-4D9E-937A-6CC61B2386E0}"/>
    <cellStyle name="40% - Accent3 2 2 3 3" xfId="4984" xr:uid="{00000000-0005-0000-0000-00001B050000}"/>
    <cellStyle name="40% - Accent3 2 2 3 3 2" xfId="13434" xr:uid="{54BC7C44-1CB9-4A4E-AEEB-8CED91912BB1}"/>
    <cellStyle name="40% - Accent3 2 2 3 3 3" xfId="21868" xr:uid="{DE63BA99-3177-4A79-B08C-0B4940B4C617}"/>
    <cellStyle name="40% - Accent3 2 2 3 4" xfId="9216" xr:uid="{E8FE0BFF-AFF0-4935-91E5-BC769A19049E}"/>
    <cellStyle name="40% - Accent3 2 2 3 5" xfId="17651" xr:uid="{0BE9922F-DF4E-47A1-A1CC-C36BA15CB371}"/>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E89BC8F5-9151-4D65-8284-556B4E84BA11}"/>
    <cellStyle name="40% - Accent3 2 2 4 2 2 3" xfId="24426" xr:uid="{7E9F83DF-10DE-4DA4-80B3-0B9DF419E9D9}"/>
    <cellStyle name="40% - Accent3 2 2 4 2 3" xfId="11774" xr:uid="{223C18C3-818C-46A5-9D22-2ED044E30EBD}"/>
    <cellStyle name="40% - Accent3 2 2 4 2 4" xfId="20209" xr:uid="{5584EB58-500E-4237-80D7-597505DA7573}"/>
    <cellStyle name="40% - Accent3 2 2 4 3" xfId="5397" xr:uid="{00000000-0005-0000-0000-00001F050000}"/>
    <cellStyle name="40% - Accent3 2 2 4 3 2" xfId="13847" xr:uid="{1B3C0BD8-D10D-412F-9A12-CDE384211E9F}"/>
    <cellStyle name="40% - Accent3 2 2 4 3 3" xfId="22281" xr:uid="{19F13A4B-4B1D-4BC7-8048-C42C3D4BE17F}"/>
    <cellStyle name="40% - Accent3 2 2 4 4" xfId="9629" xr:uid="{0957982B-9087-45BD-A1BB-1E3BF2ABB557}"/>
    <cellStyle name="40% - Accent3 2 2 4 5" xfId="18064" xr:uid="{9BE10791-44BD-4376-A061-14A82A9F6CF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2EB2C392-D533-4347-A9A0-279775B625F9}"/>
    <cellStyle name="40% - Accent3 2 2 5 2 2 3" xfId="24839" xr:uid="{40A97D13-FB8B-4BC1-8464-10DF74A42C2C}"/>
    <cellStyle name="40% - Accent3 2 2 5 2 3" xfId="12187" xr:uid="{7DF91091-EFD5-4E15-8369-4BA45103909A}"/>
    <cellStyle name="40% - Accent3 2 2 5 2 4" xfId="20622" xr:uid="{512DD1B8-6AEF-4829-96AD-67544159ACA6}"/>
    <cellStyle name="40% - Accent3 2 2 5 3" xfId="5810" xr:uid="{00000000-0005-0000-0000-000023050000}"/>
    <cellStyle name="40% - Accent3 2 2 5 3 2" xfId="14260" xr:uid="{62114ABC-15E7-4E92-A233-DFF70CA78EB8}"/>
    <cellStyle name="40% - Accent3 2 2 5 3 3" xfId="22694" xr:uid="{F8345472-1223-45DC-A98B-401ACA2106B2}"/>
    <cellStyle name="40% - Accent3 2 2 5 4" xfId="10042" xr:uid="{C395A8DA-022E-4E20-B0DF-F187930948A6}"/>
    <cellStyle name="40% - Accent3 2 2 5 5" xfId="18477" xr:uid="{20D9B689-745B-49AE-B87D-0E602EC45BD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94D8143D-39F9-401E-8F92-4B1B599D46F9}"/>
    <cellStyle name="40% - Accent3 2 2 6 2 2 3" xfId="25252" xr:uid="{AE3C0590-18CF-4530-A62A-5B4EE1853679}"/>
    <cellStyle name="40% - Accent3 2 2 6 2 3" xfId="12600" xr:uid="{EFAAB9D2-3960-4CE6-8FFF-CB476981232A}"/>
    <cellStyle name="40% - Accent3 2 2 6 2 4" xfId="21035" xr:uid="{CDEAEAA4-BCD1-48AC-90FC-B39469E28BD3}"/>
    <cellStyle name="40% - Accent3 2 2 6 3" xfId="6223" xr:uid="{00000000-0005-0000-0000-000027050000}"/>
    <cellStyle name="40% - Accent3 2 2 6 3 2" xfId="14673" xr:uid="{B2FEAFCE-63C6-41DB-81A3-755BD97C9DA8}"/>
    <cellStyle name="40% - Accent3 2 2 6 3 3" xfId="23107" xr:uid="{91E49284-0390-48BC-8A97-8F219E70B7F4}"/>
    <cellStyle name="40% - Accent3 2 2 6 4" xfId="10455" xr:uid="{DE1E90E0-ECC3-4555-8C2E-B31A6D5025E7}"/>
    <cellStyle name="40% - Accent3 2 2 6 5" xfId="18890" xr:uid="{F69FA79C-3C29-4C7C-8DFA-8150163FCB5E}"/>
    <cellStyle name="40% - Accent3 2 2 7" xfId="2330" xr:uid="{00000000-0005-0000-0000-000028050000}"/>
    <cellStyle name="40% - Accent3 2 2 7 2" xfId="6636" xr:uid="{00000000-0005-0000-0000-000029050000}"/>
    <cellStyle name="40% - Accent3 2 2 7 2 2" xfId="15086" xr:uid="{7D281910-9516-44AB-AE0B-55EBD10AAB5A}"/>
    <cellStyle name="40% - Accent3 2 2 7 2 3" xfId="23520" xr:uid="{9B265FA3-1C62-41D2-A9B0-25EDF83EE16A}"/>
    <cellStyle name="40% - Accent3 2 2 7 3" xfId="10868" xr:uid="{D3F07CE6-8620-436E-AF82-03034D4C4221}"/>
    <cellStyle name="40% - Accent3 2 2 7 4" xfId="19303" xr:uid="{C5DB76B5-E4AC-4D6D-B162-8F53C584A539}"/>
    <cellStyle name="40% - Accent3 2 2 8" xfId="4570" xr:uid="{00000000-0005-0000-0000-00002A050000}"/>
    <cellStyle name="40% - Accent3 2 2 8 2" xfId="13020" xr:uid="{AB969C6C-3F1D-49F2-9F34-E3773DC1FDB2}"/>
    <cellStyle name="40% - Accent3 2 2 8 3" xfId="21454" xr:uid="{9B189826-AF3D-448C-9445-67E4BC787687}"/>
    <cellStyle name="40% - Accent3 2 2 9" xfId="8802" xr:uid="{B8FB76FB-B93F-4947-83FE-345DC607144B}"/>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070FAB57-7772-4528-AE8A-BE8AFAF3FE12}"/>
    <cellStyle name="40% - Accent3 2 3 2 2 2 3" xfId="24015" xr:uid="{7A685639-577C-4AAB-88C7-86023D173740}"/>
    <cellStyle name="40% - Accent3 2 3 2 2 3" xfId="11363" xr:uid="{3B0E5C78-5D6D-4805-BDC8-4977D995EEA3}"/>
    <cellStyle name="40% - Accent3 2 3 2 2 4" xfId="19798" xr:uid="{D53EA85E-D876-48BB-8476-1CBF7C9FC194}"/>
    <cellStyle name="40% - Accent3 2 3 2 3" xfId="4986" xr:uid="{00000000-0005-0000-0000-00002F050000}"/>
    <cellStyle name="40% - Accent3 2 3 2 3 2" xfId="13436" xr:uid="{C616DBE1-30E4-465B-AA84-75412C895718}"/>
    <cellStyle name="40% - Accent3 2 3 2 3 3" xfId="21870" xr:uid="{AF6199E1-3F87-4AA8-B795-300949E85E82}"/>
    <cellStyle name="40% - Accent3 2 3 2 4" xfId="9218" xr:uid="{42BF4F45-7540-4A48-AC99-AD2E17829D08}"/>
    <cellStyle name="40% - Accent3 2 3 2 5" xfId="17653" xr:uid="{37E58243-49D2-4489-B91C-B390D1BD6184}"/>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8131965C-4171-480A-81D2-2F201FF19CCA}"/>
    <cellStyle name="40% - Accent3 2 3 3 2 2 3" xfId="24428" xr:uid="{14DE2D41-BCB9-439C-A44C-FC531EC52D02}"/>
    <cellStyle name="40% - Accent3 2 3 3 2 3" xfId="11776" xr:uid="{2981BC09-6FC1-453C-BE10-1169A1FA0506}"/>
    <cellStyle name="40% - Accent3 2 3 3 2 4" xfId="20211" xr:uid="{4067C63F-2E35-4F21-BA36-40D05636FB6C}"/>
    <cellStyle name="40% - Accent3 2 3 3 3" xfId="5399" xr:uid="{00000000-0005-0000-0000-000033050000}"/>
    <cellStyle name="40% - Accent3 2 3 3 3 2" xfId="13849" xr:uid="{EF1FB71D-1156-424A-912C-CDF687E4F13F}"/>
    <cellStyle name="40% - Accent3 2 3 3 3 3" xfId="22283" xr:uid="{28567629-26D6-4EEB-910D-578138B9AF5E}"/>
    <cellStyle name="40% - Accent3 2 3 3 4" xfId="9631" xr:uid="{4F28A68D-1ECD-448E-8B0C-D99C1F0373FF}"/>
    <cellStyle name="40% - Accent3 2 3 3 5" xfId="18066" xr:uid="{34FDE068-92AA-431D-AC3C-7EB10ED3B52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E9E34793-1138-4181-8F6E-1ABC2C30F1DF}"/>
    <cellStyle name="40% - Accent3 2 3 4 2 2 3" xfId="24841" xr:uid="{C99F08C8-4624-4D5D-A1BC-2A4E10ED75D0}"/>
    <cellStyle name="40% - Accent3 2 3 4 2 3" xfId="12189" xr:uid="{5EA110D6-8FEB-46B0-91DA-968E4556A698}"/>
    <cellStyle name="40% - Accent3 2 3 4 2 4" xfId="20624" xr:uid="{70A3469D-258F-4EFB-B373-A15E2CE3E571}"/>
    <cellStyle name="40% - Accent3 2 3 4 3" xfId="5812" xr:uid="{00000000-0005-0000-0000-000037050000}"/>
    <cellStyle name="40% - Accent3 2 3 4 3 2" xfId="14262" xr:uid="{BCA685CD-609F-401F-AA9B-FDDCDA5D2D69}"/>
    <cellStyle name="40% - Accent3 2 3 4 3 3" xfId="22696" xr:uid="{BC192504-642D-4EBF-B7B4-F890CD955668}"/>
    <cellStyle name="40% - Accent3 2 3 4 4" xfId="10044" xr:uid="{07173A61-136B-4788-9864-ABAB062801D0}"/>
    <cellStyle name="40% - Accent3 2 3 4 5" xfId="18479" xr:uid="{46650D88-C2FD-4ABB-9B46-621D482505E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4EDDECEF-2092-45FD-B160-587C181077C1}"/>
    <cellStyle name="40% - Accent3 2 3 5 2 2 3" xfId="25254" xr:uid="{C539B750-709A-4EC0-9C66-0669B4C474D5}"/>
    <cellStyle name="40% - Accent3 2 3 5 2 3" xfId="12602" xr:uid="{EBAAB9CD-EF66-47C8-8EC0-EC2DC8DB9DD6}"/>
    <cellStyle name="40% - Accent3 2 3 5 2 4" xfId="21037" xr:uid="{9DAC3D57-89D9-45F5-9776-71699B8F1DDD}"/>
    <cellStyle name="40% - Accent3 2 3 5 3" xfId="6225" xr:uid="{00000000-0005-0000-0000-00003B050000}"/>
    <cellStyle name="40% - Accent3 2 3 5 3 2" xfId="14675" xr:uid="{2DFA5EEA-C478-4F90-9ECA-94405662AE4F}"/>
    <cellStyle name="40% - Accent3 2 3 5 3 3" xfId="23109" xr:uid="{5879C673-3487-4609-BB39-A387188A575B}"/>
    <cellStyle name="40% - Accent3 2 3 5 4" xfId="10457" xr:uid="{C05BD2B5-959F-460E-9D77-D68DBDBA9C8C}"/>
    <cellStyle name="40% - Accent3 2 3 5 5" xfId="18892" xr:uid="{C757A4B1-1FEB-4AE6-9285-A1A0D0B4902F}"/>
    <cellStyle name="40% - Accent3 2 3 6" xfId="2332" xr:uid="{00000000-0005-0000-0000-00003C050000}"/>
    <cellStyle name="40% - Accent3 2 3 6 2" xfId="6638" xr:uid="{00000000-0005-0000-0000-00003D050000}"/>
    <cellStyle name="40% - Accent3 2 3 6 2 2" xfId="15088" xr:uid="{E1C4E634-7EE1-4636-84A5-65827F59A6B0}"/>
    <cellStyle name="40% - Accent3 2 3 6 2 3" xfId="23522" xr:uid="{5E0AB8D5-E26D-479D-A3E0-FEED8F8C5CC2}"/>
    <cellStyle name="40% - Accent3 2 3 6 3" xfId="10870" xr:uid="{FC6074F7-D454-4763-8DF6-8681F16DAA79}"/>
    <cellStyle name="40% - Accent3 2 3 6 4" xfId="19305" xr:uid="{7287A5B1-6812-4E3F-80F1-5C21BC8CC18A}"/>
    <cellStyle name="40% - Accent3 2 3 7" xfId="4572" xr:uid="{00000000-0005-0000-0000-00003E050000}"/>
    <cellStyle name="40% - Accent3 2 3 7 2" xfId="13022" xr:uid="{33E7E0BA-03EC-4E4A-9A43-B414A9CCD199}"/>
    <cellStyle name="40% - Accent3 2 3 7 3" xfId="21456" xr:uid="{68BDFBB9-BF5C-4294-94EC-E0A63B4FF5F3}"/>
    <cellStyle name="40% - Accent3 2 3 8" xfId="8804" xr:uid="{3E9763F9-DE99-4306-843A-335BF785DF84}"/>
    <cellStyle name="40% - Accent3 2 3 9" xfId="17239" xr:uid="{FAF4E91A-AA69-43E7-8993-6C7078EB416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CB4DDB3D-56FA-4EE3-80D3-203A1B6D9DB7}"/>
    <cellStyle name="40% - Accent3 2 4 2 2 3" xfId="24012" xr:uid="{F6C4363D-B9CB-4F5A-8CBE-6979FE1D9866}"/>
    <cellStyle name="40% - Accent3 2 4 2 3" xfId="11360" xr:uid="{F08E8474-73FF-4A92-AEDC-83374FDE3DAA}"/>
    <cellStyle name="40% - Accent3 2 4 2 4" xfId="19795" xr:uid="{0BDB9CF5-C8AE-4671-9E20-EEDBAF466FD9}"/>
    <cellStyle name="40% - Accent3 2 4 3" xfId="4983" xr:uid="{00000000-0005-0000-0000-000042050000}"/>
    <cellStyle name="40% - Accent3 2 4 3 2" xfId="13433" xr:uid="{8554BE81-33EF-4FD2-9232-0B873F6FB791}"/>
    <cellStyle name="40% - Accent3 2 4 3 3" xfId="21867" xr:uid="{E35148C9-FD7B-43F9-98CF-BDC9CA69E3EB}"/>
    <cellStyle name="40% - Accent3 2 4 4" xfId="9215" xr:uid="{0780D4EB-21C9-4C48-974A-A659B85D4D01}"/>
    <cellStyle name="40% - Accent3 2 4 5" xfId="17650" xr:uid="{CEBC27C6-AB05-4FE7-80DC-93412503653C}"/>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FCA370F2-C899-4465-9AE4-AA19D8EDE170}"/>
    <cellStyle name="40% - Accent3 2 5 2 2 3" xfId="24425" xr:uid="{832BC054-AB84-4F13-8753-006028C1E8A5}"/>
    <cellStyle name="40% - Accent3 2 5 2 3" xfId="11773" xr:uid="{2BBD4CFA-4103-43D1-92A5-F5300727308E}"/>
    <cellStyle name="40% - Accent3 2 5 2 4" xfId="20208" xr:uid="{267A3150-AE59-47B7-858D-6BCA1C9C563B}"/>
    <cellStyle name="40% - Accent3 2 5 3" xfId="5396" xr:uid="{00000000-0005-0000-0000-000046050000}"/>
    <cellStyle name="40% - Accent3 2 5 3 2" xfId="13846" xr:uid="{E8A3CBBE-2DBE-4D45-880C-E4849D8AE800}"/>
    <cellStyle name="40% - Accent3 2 5 3 3" xfId="22280" xr:uid="{9FDA79AB-9FFB-495C-B722-1CF75FA95ACC}"/>
    <cellStyle name="40% - Accent3 2 5 4" xfId="9628" xr:uid="{BCD25E52-46E0-49CA-89E1-28488E62DC90}"/>
    <cellStyle name="40% - Accent3 2 5 5" xfId="18063" xr:uid="{99320190-DAC5-44CA-95FB-E30D41AD6A60}"/>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79F97071-1196-4731-8F2B-38489B280ED7}"/>
    <cellStyle name="40% - Accent3 2 6 2 2 3" xfId="24838" xr:uid="{780E07FD-0F4D-434A-82DF-718E9BE52F9A}"/>
    <cellStyle name="40% - Accent3 2 6 2 3" xfId="12186" xr:uid="{8D16030C-A029-4E9A-AE40-927CC9D3446C}"/>
    <cellStyle name="40% - Accent3 2 6 2 4" xfId="20621" xr:uid="{57AE5933-33D6-4796-846F-D6C789CE7795}"/>
    <cellStyle name="40% - Accent3 2 6 3" xfId="5809" xr:uid="{00000000-0005-0000-0000-00004A050000}"/>
    <cellStyle name="40% - Accent3 2 6 3 2" xfId="14259" xr:uid="{2BA25E36-B721-4F5B-9E4A-B9D6F4241A6F}"/>
    <cellStyle name="40% - Accent3 2 6 3 3" xfId="22693" xr:uid="{EC19DD38-D3C1-492A-8118-9DCC94017B14}"/>
    <cellStyle name="40% - Accent3 2 6 4" xfId="10041" xr:uid="{D60A5CE3-2C4B-40F3-9E28-7AD06FC158D9}"/>
    <cellStyle name="40% - Accent3 2 6 5" xfId="18476" xr:uid="{B72DCB5E-A9A4-4576-A906-52B640405927}"/>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90F78E42-97EC-49B6-A202-3714AA1023EB}"/>
    <cellStyle name="40% - Accent3 2 7 2 2 3" xfId="25251" xr:uid="{25BF3453-CF10-42CB-9A37-9BC0BC9BE31B}"/>
    <cellStyle name="40% - Accent3 2 7 2 3" xfId="12599" xr:uid="{7AD0CCAB-D388-491F-8C37-894A8DD9F1CE}"/>
    <cellStyle name="40% - Accent3 2 7 2 4" xfId="21034" xr:uid="{6E5ACED4-3043-41E2-A4D1-85EC51E8F766}"/>
    <cellStyle name="40% - Accent3 2 7 3" xfId="6222" xr:uid="{00000000-0005-0000-0000-00004E050000}"/>
    <cellStyle name="40% - Accent3 2 7 3 2" xfId="14672" xr:uid="{1F818AAB-A641-4412-BAB5-015794E41497}"/>
    <cellStyle name="40% - Accent3 2 7 3 3" xfId="23106" xr:uid="{72EEC3E9-05F8-4BC9-B50A-4CF9F9AB1FF2}"/>
    <cellStyle name="40% - Accent3 2 7 4" xfId="10454" xr:uid="{991628B7-7F54-495B-954C-35C4333C8284}"/>
    <cellStyle name="40% - Accent3 2 7 5" xfId="18889" xr:uid="{1706C8BC-08FC-4E17-869A-55C08B655441}"/>
    <cellStyle name="40% - Accent3 2 8" xfId="2329" xr:uid="{00000000-0005-0000-0000-00004F050000}"/>
    <cellStyle name="40% - Accent3 2 8 2" xfId="6635" xr:uid="{00000000-0005-0000-0000-000050050000}"/>
    <cellStyle name="40% - Accent3 2 8 2 2" xfId="15085" xr:uid="{3EC6A323-D863-4C5B-B21E-0789B111CAAB}"/>
    <cellStyle name="40% - Accent3 2 8 2 3" xfId="23519" xr:uid="{9F87DBFF-6883-4900-9072-A486319B8518}"/>
    <cellStyle name="40% - Accent3 2 8 3" xfId="10867" xr:uid="{6429C84E-40C7-4A08-BA91-8C1F0CC25FF8}"/>
    <cellStyle name="40% - Accent3 2 8 4" xfId="19302" xr:uid="{791C70F1-0609-4876-A41F-6F4B99FADE99}"/>
    <cellStyle name="40% - Accent3 2 9" xfId="4569" xr:uid="{00000000-0005-0000-0000-000051050000}"/>
    <cellStyle name="40% - Accent3 2 9 2" xfId="13019" xr:uid="{62C94F1A-0AE4-43B0-B1DA-34F2C02EF34F}"/>
    <cellStyle name="40% - Accent3 2 9 3" xfId="21453" xr:uid="{58AA733D-A9AF-47BB-8DAF-60FB7B020AAD}"/>
    <cellStyle name="40% - Accent3 3" xfId="70" xr:uid="{00000000-0005-0000-0000-000052050000}"/>
    <cellStyle name="40% - Accent3 3 10" xfId="17240" xr:uid="{01571C9C-D140-4685-9FAA-CA407D6EF73A}"/>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08947D40-DB29-4271-B6C4-CB0AF19F3043}"/>
    <cellStyle name="40% - Accent3 3 2 2 2 2 3" xfId="24017" xr:uid="{4543B408-DD43-4CB9-A942-E4E8C4DE552B}"/>
    <cellStyle name="40% - Accent3 3 2 2 2 3" xfId="11365" xr:uid="{3CE0399C-2429-4D27-B053-E57C9DEA6DB4}"/>
    <cellStyle name="40% - Accent3 3 2 2 2 4" xfId="19800" xr:uid="{E711077A-87D1-49CD-84DE-BA86F641FF8E}"/>
    <cellStyle name="40% - Accent3 3 2 2 3" xfId="4988" xr:uid="{00000000-0005-0000-0000-000057050000}"/>
    <cellStyle name="40% - Accent3 3 2 2 3 2" xfId="13438" xr:uid="{34DA3ADD-B171-4AB6-88CD-540EC3E10B89}"/>
    <cellStyle name="40% - Accent3 3 2 2 3 3" xfId="21872" xr:uid="{58E7A2F6-9767-471B-B433-CA8EAB0654F8}"/>
    <cellStyle name="40% - Accent3 3 2 2 4" xfId="9220" xr:uid="{D2E19294-4D7A-4D96-999B-506F0D94C374}"/>
    <cellStyle name="40% - Accent3 3 2 2 5" xfId="17655" xr:uid="{F5053CAD-40EA-481F-B693-E6ADAE9E7C1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210ABB9D-90E0-4B18-89B4-DFCFF32695BE}"/>
    <cellStyle name="40% - Accent3 3 2 3 2 2 3" xfId="24430" xr:uid="{F573D8C1-1FFD-4D69-8C68-50C08F3BA444}"/>
    <cellStyle name="40% - Accent3 3 2 3 2 3" xfId="11778" xr:uid="{060F1915-3AD3-420A-877B-1DBB6FA6B956}"/>
    <cellStyle name="40% - Accent3 3 2 3 2 4" xfId="20213" xr:uid="{A42E1038-269B-45D0-B906-7BB767BA46FF}"/>
    <cellStyle name="40% - Accent3 3 2 3 3" xfId="5401" xr:uid="{00000000-0005-0000-0000-00005B050000}"/>
    <cellStyle name="40% - Accent3 3 2 3 3 2" xfId="13851" xr:uid="{E8370C7D-90A0-42BD-BC4F-8831A214BF53}"/>
    <cellStyle name="40% - Accent3 3 2 3 3 3" xfId="22285" xr:uid="{4F6AD3C3-2A7F-42E6-B75F-B86B74D59D01}"/>
    <cellStyle name="40% - Accent3 3 2 3 4" xfId="9633" xr:uid="{C2F6D552-AAE3-4F9F-B2F6-7561FC7C67C6}"/>
    <cellStyle name="40% - Accent3 3 2 3 5" xfId="18068" xr:uid="{E56ABA55-B896-492D-9138-3ADA04DC8F19}"/>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A852C56-579A-45B5-95BD-57F5C7498C07}"/>
    <cellStyle name="40% - Accent3 3 2 4 2 2 3" xfId="24843" xr:uid="{14D452DA-F143-487A-8225-2923AF8BBAC3}"/>
    <cellStyle name="40% - Accent3 3 2 4 2 3" xfId="12191" xr:uid="{DCF45EFD-113B-4180-9C91-D532E03D0C52}"/>
    <cellStyle name="40% - Accent3 3 2 4 2 4" xfId="20626" xr:uid="{7178C24B-1D7E-47EE-88B7-0BE307764259}"/>
    <cellStyle name="40% - Accent3 3 2 4 3" xfId="5814" xr:uid="{00000000-0005-0000-0000-00005F050000}"/>
    <cellStyle name="40% - Accent3 3 2 4 3 2" xfId="14264" xr:uid="{FF156794-99A2-42FA-9797-8505AF04683E}"/>
    <cellStyle name="40% - Accent3 3 2 4 3 3" xfId="22698" xr:uid="{F3461F01-9C22-4837-9620-7CBD2E03CE0A}"/>
    <cellStyle name="40% - Accent3 3 2 4 4" xfId="10046" xr:uid="{E2504F18-0751-4554-8A68-AB1A30E5A4B4}"/>
    <cellStyle name="40% - Accent3 3 2 4 5" xfId="18481" xr:uid="{9C25937E-F5D1-4EC8-B068-B3C34E5201F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53D47930-A533-45CE-AF2F-D7FBEBA09D67}"/>
    <cellStyle name="40% - Accent3 3 2 5 2 2 3" xfId="25256" xr:uid="{F1BC5206-7714-428D-B520-09B67DB51B41}"/>
    <cellStyle name="40% - Accent3 3 2 5 2 3" xfId="12604" xr:uid="{7E575B90-8388-4ED2-A93C-3502A17CB149}"/>
    <cellStyle name="40% - Accent3 3 2 5 2 4" xfId="21039" xr:uid="{1AD5C420-CEB7-4FA9-8DB5-8FE3A2EF3643}"/>
    <cellStyle name="40% - Accent3 3 2 5 3" xfId="6227" xr:uid="{00000000-0005-0000-0000-000063050000}"/>
    <cellStyle name="40% - Accent3 3 2 5 3 2" xfId="14677" xr:uid="{4DD23C63-2FBA-45D8-AE74-2B45ECF4E915}"/>
    <cellStyle name="40% - Accent3 3 2 5 3 3" xfId="23111" xr:uid="{DAFAA697-C8D7-4E2C-83DC-871038FD88ED}"/>
    <cellStyle name="40% - Accent3 3 2 5 4" xfId="10459" xr:uid="{AE59FCAA-7F57-4C96-8AE6-209536258C3C}"/>
    <cellStyle name="40% - Accent3 3 2 5 5" xfId="18894" xr:uid="{870FEAF8-CA8E-4DBE-9CD0-FC4BD3F84EDA}"/>
    <cellStyle name="40% - Accent3 3 2 6" xfId="2334" xr:uid="{00000000-0005-0000-0000-000064050000}"/>
    <cellStyle name="40% - Accent3 3 2 6 2" xfId="6640" xr:uid="{00000000-0005-0000-0000-000065050000}"/>
    <cellStyle name="40% - Accent3 3 2 6 2 2" xfId="15090" xr:uid="{995FE6BF-55BA-42A3-B3CB-E2ACBFA5BCDC}"/>
    <cellStyle name="40% - Accent3 3 2 6 2 3" xfId="23524" xr:uid="{DBDD18E1-D58E-4A59-B6F0-C3EA39CD6DE3}"/>
    <cellStyle name="40% - Accent3 3 2 6 3" xfId="10872" xr:uid="{B070C408-0427-4525-99D6-4B91ED3AF1E6}"/>
    <cellStyle name="40% - Accent3 3 2 6 4" xfId="19307" xr:uid="{EAC547F2-4C9F-4B93-A7CA-AA2A0724492B}"/>
    <cellStyle name="40% - Accent3 3 2 7" xfId="4574" xr:uid="{00000000-0005-0000-0000-000066050000}"/>
    <cellStyle name="40% - Accent3 3 2 7 2" xfId="13024" xr:uid="{1B0492F8-F218-4134-8D2A-6806E21EE3D6}"/>
    <cellStyle name="40% - Accent3 3 2 7 3" xfId="21458" xr:uid="{F827DC33-2315-4F5B-A46A-705D9C0F40CB}"/>
    <cellStyle name="40% - Accent3 3 2 8" xfId="8806" xr:uid="{364CED5F-3454-470E-A56F-15A466E59B64}"/>
    <cellStyle name="40% - Accent3 3 2 9" xfId="17241" xr:uid="{30254778-0D8D-4DE2-B4F3-F641B425638A}"/>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4A58DA3A-3B2F-47F3-A997-5AD21105BA17}"/>
    <cellStyle name="40% - Accent3 3 3 2 2 3" xfId="24016" xr:uid="{2C6A4A34-800A-4A8D-84C7-E939A213979D}"/>
    <cellStyle name="40% - Accent3 3 3 2 3" xfId="11364" xr:uid="{733D0B57-499D-436E-9191-8CF8168C269E}"/>
    <cellStyle name="40% - Accent3 3 3 2 4" xfId="19799" xr:uid="{9DE9E0CF-7F9A-492F-82C3-D0CE26F22BD5}"/>
    <cellStyle name="40% - Accent3 3 3 3" xfId="4987" xr:uid="{00000000-0005-0000-0000-00006A050000}"/>
    <cellStyle name="40% - Accent3 3 3 3 2" xfId="13437" xr:uid="{84B3EF93-F15C-4D73-BCA7-E2596E903FF5}"/>
    <cellStyle name="40% - Accent3 3 3 3 3" xfId="21871" xr:uid="{CB11F1C5-686A-47D8-8B62-9A2B0D6D6221}"/>
    <cellStyle name="40% - Accent3 3 3 4" xfId="9219" xr:uid="{31E6ECF9-A1E0-4B79-AD13-AC9A67242399}"/>
    <cellStyle name="40% - Accent3 3 3 5" xfId="17654" xr:uid="{B996D42A-1C29-4B2B-8CC2-50765362890A}"/>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48AAD727-B145-455B-8EA8-63F66AF1ECB5}"/>
    <cellStyle name="40% - Accent3 3 4 2 2 3" xfId="24429" xr:uid="{8ECB7897-6111-477C-A21B-A31B4552E2CB}"/>
    <cellStyle name="40% - Accent3 3 4 2 3" xfId="11777" xr:uid="{567D0FCA-0FFE-4D4E-9EE5-E3E8B75CBAED}"/>
    <cellStyle name="40% - Accent3 3 4 2 4" xfId="20212" xr:uid="{F006E25A-4D92-4E61-8010-82FDD7B21478}"/>
    <cellStyle name="40% - Accent3 3 4 3" xfId="5400" xr:uid="{00000000-0005-0000-0000-00006E050000}"/>
    <cellStyle name="40% - Accent3 3 4 3 2" xfId="13850" xr:uid="{140B9DE1-08D4-471B-83D2-5CCA2E83B884}"/>
    <cellStyle name="40% - Accent3 3 4 3 3" xfId="22284" xr:uid="{7E9E5A83-E779-443D-8A51-2421A973544F}"/>
    <cellStyle name="40% - Accent3 3 4 4" xfId="9632" xr:uid="{72AEAE58-F49B-4E22-9BBB-6964EAF69BDA}"/>
    <cellStyle name="40% - Accent3 3 4 5" xfId="18067" xr:uid="{CFE8478A-56A8-4334-BA44-44F31CC8E2E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E88AAB34-2473-45B7-9EBB-18E6A7811C20}"/>
    <cellStyle name="40% - Accent3 3 5 2 2 3" xfId="24842" xr:uid="{AC894830-B45B-41F3-9C7E-BFE22D91520F}"/>
    <cellStyle name="40% - Accent3 3 5 2 3" xfId="12190" xr:uid="{878B1355-88D2-4E62-B5E4-31AF84AFBEE1}"/>
    <cellStyle name="40% - Accent3 3 5 2 4" xfId="20625" xr:uid="{089980B9-64F3-4791-AFA0-1834ED5698AB}"/>
    <cellStyle name="40% - Accent3 3 5 3" xfId="5813" xr:uid="{00000000-0005-0000-0000-000072050000}"/>
    <cellStyle name="40% - Accent3 3 5 3 2" xfId="14263" xr:uid="{0F1C37B9-D2C8-4404-A9A4-37DCAF596AE3}"/>
    <cellStyle name="40% - Accent3 3 5 3 3" xfId="22697" xr:uid="{E4752A77-CBE7-4B43-92FC-2260993F011F}"/>
    <cellStyle name="40% - Accent3 3 5 4" xfId="10045" xr:uid="{5960D17A-0EF9-4549-B9E9-A5E11F652279}"/>
    <cellStyle name="40% - Accent3 3 5 5" xfId="18480" xr:uid="{9BE40B69-6C57-478E-9D86-E60971202DC6}"/>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4DF99275-F2F6-46F5-A4DC-E0C07CBE20B0}"/>
    <cellStyle name="40% - Accent3 3 6 2 2 3" xfId="25255" xr:uid="{2E18874F-EBCA-4288-A9A5-7EA9202CCDB6}"/>
    <cellStyle name="40% - Accent3 3 6 2 3" xfId="12603" xr:uid="{FB1436F6-EECB-40E2-9AAA-2D9F05067A2F}"/>
    <cellStyle name="40% - Accent3 3 6 2 4" xfId="21038" xr:uid="{911B7D74-092F-4E2F-964B-6304D2B44CEB}"/>
    <cellStyle name="40% - Accent3 3 6 3" xfId="6226" xr:uid="{00000000-0005-0000-0000-000076050000}"/>
    <cellStyle name="40% - Accent3 3 6 3 2" xfId="14676" xr:uid="{42F8D3ED-DE11-416A-8DBA-F34970032058}"/>
    <cellStyle name="40% - Accent3 3 6 3 3" xfId="23110" xr:uid="{5AD169FA-11EB-4EBD-A81E-59D712FA1100}"/>
    <cellStyle name="40% - Accent3 3 6 4" xfId="10458" xr:uid="{FBE8268F-40F5-47E1-91BD-B1BD303E6F18}"/>
    <cellStyle name="40% - Accent3 3 6 5" xfId="18893" xr:uid="{C2944FB2-DBE6-47DA-8F94-3BCCF5682F5D}"/>
    <cellStyle name="40% - Accent3 3 7" xfId="2333" xr:uid="{00000000-0005-0000-0000-000077050000}"/>
    <cellStyle name="40% - Accent3 3 7 2" xfId="6639" xr:uid="{00000000-0005-0000-0000-000078050000}"/>
    <cellStyle name="40% - Accent3 3 7 2 2" xfId="15089" xr:uid="{268B8C3E-701B-4A05-820D-90213D705D14}"/>
    <cellStyle name="40% - Accent3 3 7 2 3" xfId="23523" xr:uid="{D7327BD7-3F11-4B12-8F77-03FF136E9855}"/>
    <cellStyle name="40% - Accent3 3 7 3" xfId="10871" xr:uid="{6CEC40CB-4B5B-41D2-BBE5-3E520AEDD9B9}"/>
    <cellStyle name="40% - Accent3 3 7 4" xfId="19306" xr:uid="{CFA8632A-BEBA-4831-9839-969F2F54FA59}"/>
    <cellStyle name="40% - Accent3 3 8" xfId="4573" xr:uid="{00000000-0005-0000-0000-000079050000}"/>
    <cellStyle name="40% - Accent3 3 8 2" xfId="13023" xr:uid="{707BCB5C-7C03-4636-BDC0-0B208B8C40F6}"/>
    <cellStyle name="40% - Accent3 3 8 3" xfId="21457" xr:uid="{E1A92DE5-BEA0-48C1-BE3D-A7923A5B1757}"/>
    <cellStyle name="40% - Accent3 3 9" xfId="8805" xr:uid="{FF6D7961-68A0-4F9D-A46D-7F95EF01FC4E}"/>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5591EFB7-8D77-4CA1-BF43-E3CFAA7DB8BA}"/>
    <cellStyle name="40% - Accent3 4 2 2 2 3" xfId="24018" xr:uid="{1DE04634-D93E-4CA1-9312-F66E3D306E43}"/>
    <cellStyle name="40% - Accent3 4 2 2 3" xfId="11366" xr:uid="{AA5ACABD-BE49-4892-8B69-75A9CF2CF28C}"/>
    <cellStyle name="40% - Accent3 4 2 2 4" xfId="19801" xr:uid="{6A0B960A-DA3E-42F2-9F94-CB13301D9254}"/>
    <cellStyle name="40% - Accent3 4 2 3" xfId="4989" xr:uid="{00000000-0005-0000-0000-00007E050000}"/>
    <cellStyle name="40% - Accent3 4 2 3 2" xfId="13439" xr:uid="{F9F10956-51BB-4A11-B484-8D128C920889}"/>
    <cellStyle name="40% - Accent3 4 2 3 3" xfId="21873" xr:uid="{44BA5A0D-298D-45F3-B92C-E3EDFC10E7DC}"/>
    <cellStyle name="40% - Accent3 4 2 4" xfId="9221" xr:uid="{73147FA1-1406-43A3-A533-42FC659F9AB9}"/>
    <cellStyle name="40% - Accent3 4 2 5" xfId="17656" xr:uid="{DA3555A8-3087-4A4D-9A20-CB99589C59F7}"/>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3FED2811-7E80-4B23-9A07-587C9604BC4A}"/>
    <cellStyle name="40% - Accent3 4 3 2 2 3" xfId="24431" xr:uid="{E528FC11-3FEF-421D-B275-3E69682F4DAE}"/>
    <cellStyle name="40% - Accent3 4 3 2 3" xfId="11779" xr:uid="{0205308E-32CC-4A3C-9DA9-5DECDF9AF9A4}"/>
    <cellStyle name="40% - Accent3 4 3 2 4" xfId="20214" xr:uid="{EA6FBDAE-45B2-4950-B066-80EF2EA2DB14}"/>
    <cellStyle name="40% - Accent3 4 3 3" xfId="5402" xr:uid="{00000000-0005-0000-0000-000082050000}"/>
    <cellStyle name="40% - Accent3 4 3 3 2" xfId="13852" xr:uid="{E3A8274F-D901-477E-8512-00B629C9134D}"/>
    <cellStyle name="40% - Accent3 4 3 3 3" xfId="22286" xr:uid="{58276A1D-867E-4482-A454-A8BC66AB9ACE}"/>
    <cellStyle name="40% - Accent3 4 3 4" xfId="9634" xr:uid="{C4ADD703-8F25-4EF1-A7A1-C15C3D53CC56}"/>
    <cellStyle name="40% - Accent3 4 3 5" xfId="18069" xr:uid="{AB41F981-0E45-4B3A-80E4-676E530D17E6}"/>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CA356825-1357-4513-BF62-A2ED7C6B3006}"/>
    <cellStyle name="40% - Accent3 4 4 2 2 3" xfId="24844" xr:uid="{D55F4677-B520-4F9E-8BE7-8B7F1447238D}"/>
    <cellStyle name="40% - Accent3 4 4 2 3" xfId="12192" xr:uid="{3C548D8D-2B1A-4E76-94EE-06F44572D7EA}"/>
    <cellStyle name="40% - Accent3 4 4 2 4" xfId="20627" xr:uid="{3BA0235A-F460-40FB-BE7E-C7032EC46460}"/>
    <cellStyle name="40% - Accent3 4 4 3" xfId="5815" xr:uid="{00000000-0005-0000-0000-000086050000}"/>
    <cellStyle name="40% - Accent3 4 4 3 2" xfId="14265" xr:uid="{FAAB9B65-78F5-47C3-9B55-E792944A28AD}"/>
    <cellStyle name="40% - Accent3 4 4 3 3" xfId="22699" xr:uid="{06567349-AB68-4532-A719-2D133B5C3C49}"/>
    <cellStyle name="40% - Accent3 4 4 4" xfId="10047" xr:uid="{DEFF3174-950C-4256-A0D5-5B700C2AE31B}"/>
    <cellStyle name="40% - Accent3 4 4 5" xfId="18482" xr:uid="{008169CF-3D12-4EE1-A856-1F060763E03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6679E656-4A6A-4212-93A9-5AE67A59A5F0}"/>
    <cellStyle name="40% - Accent3 4 5 2 2 3" xfId="25257" xr:uid="{7B31602B-70F8-4233-AE79-0EABE42F71BA}"/>
    <cellStyle name="40% - Accent3 4 5 2 3" xfId="12605" xr:uid="{50A6DF89-CCD8-44C6-93C1-5196D782BCB0}"/>
    <cellStyle name="40% - Accent3 4 5 2 4" xfId="21040" xr:uid="{DF4C8F30-C62C-4932-82C0-CA2A3CD57CAF}"/>
    <cellStyle name="40% - Accent3 4 5 3" xfId="6228" xr:uid="{00000000-0005-0000-0000-00008A050000}"/>
    <cellStyle name="40% - Accent3 4 5 3 2" xfId="14678" xr:uid="{F3D0BD4B-05DE-4FA2-B8EE-5497551C24CD}"/>
    <cellStyle name="40% - Accent3 4 5 3 3" xfId="23112" xr:uid="{F0FB729B-4A6F-4F29-8136-BB7223AE9C7A}"/>
    <cellStyle name="40% - Accent3 4 5 4" xfId="10460" xr:uid="{48DF86D5-881B-4748-8485-EAC95D334BB1}"/>
    <cellStyle name="40% - Accent3 4 5 5" xfId="18895" xr:uid="{D1CA8212-A3F5-4000-83B8-C225342D03F8}"/>
    <cellStyle name="40% - Accent3 4 6" xfId="2335" xr:uid="{00000000-0005-0000-0000-00008B050000}"/>
    <cellStyle name="40% - Accent3 4 6 2" xfId="6641" xr:uid="{00000000-0005-0000-0000-00008C050000}"/>
    <cellStyle name="40% - Accent3 4 6 2 2" xfId="15091" xr:uid="{3EE18B6C-604E-472C-B081-947C9C4FFD01}"/>
    <cellStyle name="40% - Accent3 4 6 2 3" xfId="23525" xr:uid="{E8E6EDE7-91D8-4387-BABC-858E323BC860}"/>
    <cellStyle name="40% - Accent3 4 6 3" xfId="10873" xr:uid="{7C2AE46E-7814-4802-A4CD-808ABDF525DF}"/>
    <cellStyle name="40% - Accent3 4 6 4" xfId="19308" xr:uid="{1DA06623-97FD-4774-912A-00467E79C3DC}"/>
    <cellStyle name="40% - Accent3 4 7" xfId="4575" xr:uid="{00000000-0005-0000-0000-00008D050000}"/>
    <cellStyle name="40% - Accent3 4 7 2" xfId="13025" xr:uid="{3CD4842F-1AAD-46DA-A829-7B728A13DFE3}"/>
    <cellStyle name="40% - Accent3 4 7 3" xfId="21459" xr:uid="{451C976C-D811-4B81-A77C-25013EB70DDB}"/>
    <cellStyle name="40% - Accent3 4 8" xfId="8807" xr:uid="{1E9437B7-CCD9-4687-8954-0AB227CA2006}"/>
    <cellStyle name="40% - Accent3 4 9" xfId="17242" xr:uid="{F7CF8DFA-CEFF-4A9D-981D-88FC22A73F8B}"/>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9354717B-D073-41C7-BDF3-7DE2D99232F1}"/>
    <cellStyle name="40% - Accent3 5 2 2 3" xfId="24011" xr:uid="{756AE26A-07F3-49A5-AAB5-E69B35FF8CC0}"/>
    <cellStyle name="40% - Accent3 5 2 3" xfId="11359" xr:uid="{9A4A15CC-9A1B-4E99-BA2E-8DCC7E76E4DE}"/>
    <cellStyle name="40% - Accent3 5 2 4" xfId="19794" xr:uid="{8E8802DD-8414-42D7-BA8D-D46FE99D61A9}"/>
    <cellStyle name="40% - Accent3 5 3" xfId="4982" xr:uid="{00000000-0005-0000-0000-000091050000}"/>
    <cellStyle name="40% - Accent3 5 3 2" xfId="13432" xr:uid="{9E087132-96F8-43B2-8616-7A9221C6A2AB}"/>
    <cellStyle name="40% - Accent3 5 3 3" xfId="21866" xr:uid="{46B5D78E-5A06-4DF5-9B26-AE14B47C9512}"/>
    <cellStyle name="40% - Accent3 5 4" xfId="9214" xr:uid="{B5F0988B-0553-488F-A2B5-F79B73FE333E}"/>
    <cellStyle name="40% - Accent3 5 5" xfId="17649" xr:uid="{625B9EB6-3155-4493-8149-398436E3F82A}"/>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13960924-7397-4CA7-BFDD-479CECDEB05F}"/>
    <cellStyle name="40% - Accent3 6 2 2 3" xfId="24424" xr:uid="{25674E92-01AC-456A-BE0C-D59D8C43AFFF}"/>
    <cellStyle name="40% - Accent3 6 2 3" xfId="11772" xr:uid="{EFAEB22F-51BF-47AB-AED7-6E69422A6D5B}"/>
    <cellStyle name="40% - Accent3 6 2 4" xfId="20207" xr:uid="{B199ABF4-86D8-4615-BBCA-1E791F4373CB}"/>
    <cellStyle name="40% - Accent3 6 3" xfId="5395" xr:uid="{00000000-0005-0000-0000-000095050000}"/>
    <cellStyle name="40% - Accent3 6 3 2" xfId="13845" xr:uid="{350A6BD1-41CA-4BB2-ADDA-39F890C01B1D}"/>
    <cellStyle name="40% - Accent3 6 3 3" xfId="22279" xr:uid="{548A8480-CC6B-4D90-921B-BD8F5795BC70}"/>
    <cellStyle name="40% - Accent3 6 4" xfId="9627" xr:uid="{802D864E-844E-47A9-A972-FF26B96CE83C}"/>
    <cellStyle name="40% - Accent3 6 5" xfId="18062" xr:uid="{46F4636D-0092-4A6E-92D2-18C84E0FABF1}"/>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27516627-AF55-41FD-9506-5E8B3B19EED7}"/>
    <cellStyle name="40% - Accent3 7 2 2 3" xfId="24837" xr:uid="{3779C072-4464-438C-910B-5E03A778A12E}"/>
    <cellStyle name="40% - Accent3 7 2 3" xfId="12185" xr:uid="{E5695C4D-9EB9-44EA-B6FF-64ACC1ABC40A}"/>
    <cellStyle name="40% - Accent3 7 2 4" xfId="20620" xr:uid="{A00FF861-9642-4910-855E-EBECA7855E9A}"/>
    <cellStyle name="40% - Accent3 7 3" xfId="5808" xr:uid="{00000000-0005-0000-0000-000099050000}"/>
    <cellStyle name="40% - Accent3 7 3 2" xfId="14258" xr:uid="{BBEC79B1-21C6-4770-90EA-414AFA7D4D4A}"/>
    <cellStyle name="40% - Accent3 7 3 3" xfId="22692" xr:uid="{38EE5162-0143-45E7-BCC3-4ECA5514B33B}"/>
    <cellStyle name="40% - Accent3 7 4" xfId="10040" xr:uid="{1B4B8ACD-593B-4B32-A8CA-1A0DB750EBFA}"/>
    <cellStyle name="40% - Accent3 7 5" xfId="18475" xr:uid="{269068A6-D680-40C2-B543-AC5A8C176DE4}"/>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6A84A2B9-F1AF-4046-8207-3F215A30F167}"/>
    <cellStyle name="40% - Accent3 8 2 2 3" xfId="25250" xr:uid="{5EFD81DE-B818-4224-8997-4AF73FABF628}"/>
    <cellStyle name="40% - Accent3 8 2 3" xfId="12598" xr:uid="{E8AE1BDE-B3BB-4E83-8F16-777C85169ED6}"/>
    <cellStyle name="40% - Accent3 8 2 4" xfId="21033" xr:uid="{486B7B1A-5450-4724-B82E-EE5220FD2326}"/>
    <cellStyle name="40% - Accent3 8 3" xfId="6221" xr:uid="{00000000-0005-0000-0000-00009D050000}"/>
    <cellStyle name="40% - Accent3 8 3 2" xfId="14671" xr:uid="{4E6D9D1F-D890-46BB-A451-494DCF5F9569}"/>
    <cellStyle name="40% - Accent3 8 3 3" xfId="23105" xr:uid="{9BE35A4C-35D7-48A6-BACE-D338A44889BB}"/>
    <cellStyle name="40% - Accent3 8 4" xfId="10453" xr:uid="{A615569B-7189-4B1C-A21B-899BCDAB8358}"/>
    <cellStyle name="40% - Accent3 8 5" xfId="18888" xr:uid="{F7043C9A-1381-45E8-827B-F3674CA8F341}"/>
    <cellStyle name="40% - Accent3 9" xfId="2328" xr:uid="{00000000-0005-0000-0000-00009E050000}"/>
    <cellStyle name="40% - Accent3 9 2" xfId="6634" xr:uid="{00000000-0005-0000-0000-00009F050000}"/>
    <cellStyle name="40% - Accent3 9 2 2" xfId="15084" xr:uid="{8CA451F5-2AF8-4062-8BA9-6713D07F17F3}"/>
    <cellStyle name="40% - Accent3 9 2 3" xfId="23518" xr:uid="{D107013F-2FC0-436B-9A0B-BB1602ABFDA9}"/>
    <cellStyle name="40% - Accent3 9 3" xfId="10866" xr:uid="{746EF7EB-B724-44C0-8197-C260D2DCE4B6}"/>
    <cellStyle name="40% - Accent3 9 4" xfId="19301" xr:uid="{349B0EE2-887D-4957-81AB-198E4E72EED1}"/>
    <cellStyle name="40% - Accent4" xfId="73" builtinId="43" customBuiltin="1"/>
    <cellStyle name="40% - Accent4 10" xfId="4576" xr:uid="{00000000-0005-0000-0000-0000A1050000}"/>
    <cellStyle name="40% - Accent4 10 2" xfId="13026" xr:uid="{B860DC10-E639-4757-B1C7-143991C033AC}"/>
    <cellStyle name="40% - Accent4 10 3" xfId="21460" xr:uid="{B6FB040D-F59B-4E34-AE88-0AC3E64EE3C4}"/>
    <cellStyle name="40% - Accent4 11" xfId="8808" xr:uid="{0325D4AA-28C7-4E8E-BFCD-2594EB851E1E}"/>
    <cellStyle name="40% - Accent4 12" xfId="17243" xr:uid="{4A2B669B-60D9-4069-BAC9-7E94D559A2CF}"/>
    <cellStyle name="40% - Accent4 2" xfId="74" xr:uid="{00000000-0005-0000-0000-0000A2050000}"/>
    <cellStyle name="40% - Accent4 2 10" xfId="8809" xr:uid="{85D32EB1-7D8E-43C7-AAB8-F01E373E7BA4}"/>
    <cellStyle name="40% - Accent4 2 11" xfId="17244" xr:uid="{EA446EC9-0348-4F2B-9DA8-1BF3938E1DEE}"/>
    <cellStyle name="40% - Accent4 2 2" xfId="75" xr:uid="{00000000-0005-0000-0000-0000A3050000}"/>
    <cellStyle name="40% - Accent4 2 2 10" xfId="17245" xr:uid="{7E31CE77-4D4A-4EF2-A046-D836B48D0555}"/>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200FA160-A6EE-4654-A28B-F7917CFAA9DB}"/>
    <cellStyle name="40% - Accent4 2 2 2 2 2 2 3" xfId="24022" xr:uid="{0DCF04B1-CF96-4627-9716-E77261908961}"/>
    <cellStyle name="40% - Accent4 2 2 2 2 2 3" xfId="11370" xr:uid="{8888BFE7-80D0-4203-9658-C7EFC3389A29}"/>
    <cellStyle name="40% - Accent4 2 2 2 2 2 4" xfId="19805" xr:uid="{0E17776A-6E57-459F-A2D6-BCA50CDB220D}"/>
    <cellStyle name="40% - Accent4 2 2 2 2 3" xfId="4993" xr:uid="{00000000-0005-0000-0000-0000A8050000}"/>
    <cellStyle name="40% - Accent4 2 2 2 2 3 2" xfId="13443" xr:uid="{8A98C69B-AB6B-43C4-93FB-6DC0B698AA29}"/>
    <cellStyle name="40% - Accent4 2 2 2 2 3 3" xfId="21877" xr:uid="{6ECCF2E7-CC5C-4283-9A75-AC3BE82F0220}"/>
    <cellStyle name="40% - Accent4 2 2 2 2 4" xfId="9225" xr:uid="{014463DB-C689-4C17-8D6E-D0F462C16489}"/>
    <cellStyle name="40% - Accent4 2 2 2 2 5" xfId="17660" xr:uid="{2F88FB77-6D0B-4C29-9CB2-50BECAFB3DE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3837D0C3-572A-4BF0-B6B6-23F2AC8A6439}"/>
    <cellStyle name="40% - Accent4 2 2 2 3 2 2 3" xfId="24435" xr:uid="{4C7035D0-0C8C-4465-B99C-F531D55539EB}"/>
    <cellStyle name="40% - Accent4 2 2 2 3 2 3" xfId="11783" xr:uid="{7471FAC6-F2B3-451E-BFDD-A0E5857C7B57}"/>
    <cellStyle name="40% - Accent4 2 2 2 3 2 4" xfId="20218" xr:uid="{A1183F6A-0EA4-4C31-B8FD-80BEEA55F2CD}"/>
    <cellStyle name="40% - Accent4 2 2 2 3 3" xfId="5406" xr:uid="{00000000-0005-0000-0000-0000AC050000}"/>
    <cellStyle name="40% - Accent4 2 2 2 3 3 2" xfId="13856" xr:uid="{AE9B42C1-653B-4365-9455-636B65B637AB}"/>
    <cellStyle name="40% - Accent4 2 2 2 3 3 3" xfId="22290" xr:uid="{EC06EB75-DDB4-4D4B-B4DD-0F6023CB076D}"/>
    <cellStyle name="40% - Accent4 2 2 2 3 4" xfId="9638" xr:uid="{CC622133-2629-4429-B6F0-F05DF5167A8F}"/>
    <cellStyle name="40% - Accent4 2 2 2 3 5" xfId="18073" xr:uid="{B94A46A4-0463-448F-9D8A-3D897CFBBB49}"/>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B274ED0C-F083-47E0-9566-BF24EF59B4E5}"/>
    <cellStyle name="40% - Accent4 2 2 2 4 2 2 3" xfId="24848" xr:uid="{F22EE4E9-0A62-4EE2-B9A6-7EAB236732A2}"/>
    <cellStyle name="40% - Accent4 2 2 2 4 2 3" xfId="12196" xr:uid="{99AE8FA9-1D6F-47F6-BC76-AD13A2730C4D}"/>
    <cellStyle name="40% - Accent4 2 2 2 4 2 4" xfId="20631" xr:uid="{973133D5-470F-404A-95DF-DFDBFA8BEE8F}"/>
    <cellStyle name="40% - Accent4 2 2 2 4 3" xfId="5819" xr:uid="{00000000-0005-0000-0000-0000B0050000}"/>
    <cellStyle name="40% - Accent4 2 2 2 4 3 2" xfId="14269" xr:uid="{A39EB2ED-5FBF-45AF-8EBF-5188BF69045D}"/>
    <cellStyle name="40% - Accent4 2 2 2 4 3 3" xfId="22703" xr:uid="{E48CC0F5-6049-4451-A1C4-004BFE14929E}"/>
    <cellStyle name="40% - Accent4 2 2 2 4 4" xfId="10051" xr:uid="{5EA10136-2983-4164-A0EF-BC315EAA47AD}"/>
    <cellStyle name="40% - Accent4 2 2 2 4 5" xfId="18486" xr:uid="{1C4CC0F6-2BD0-40FE-B5F8-3111D9AF8C58}"/>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B0389AC7-259C-4C8D-B650-4B7318A328E4}"/>
    <cellStyle name="40% - Accent4 2 2 2 5 2 2 3" xfId="25261" xr:uid="{E09CC776-25B6-4ACB-B629-50B9B825A0CE}"/>
    <cellStyle name="40% - Accent4 2 2 2 5 2 3" xfId="12609" xr:uid="{5074B6CE-06D3-4C91-A394-871DF00A119A}"/>
    <cellStyle name="40% - Accent4 2 2 2 5 2 4" xfId="21044" xr:uid="{B2F45C24-4C67-4E4A-8FC5-AE0188C52873}"/>
    <cellStyle name="40% - Accent4 2 2 2 5 3" xfId="6232" xr:uid="{00000000-0005-0000-0000-0000B4050000}"/>
    <cellStyle name="40% - Accent4 2 2 2 5 3 2" xfId="14682" xr:uid="{92576EE4-F4A3-43FA-A6EF-8EA37BBBAEE7}"/>
    <cellStyle name="40% - Accent4 2 2 2 5 3 3" xfId="23116" xr:uid="{DDDC11BA-5D19-4293-AC9F-D9ED37FF962C}"/>
    <cellStyle name="40% - Accent4 2 2 2 5 4" xfId="10464" xr:uid="{2EF29333-9B86-4C62-8974-FA76A45E044C}"/>
    <cellStyle name="40% - Accent4 2 2 2 5 5" xfId="18899" xr:uid="{ED16E9BD-2BC3-41B4-B4A0-6C4AA1B09722}"/>
    <cellStyle name="40% - Accent4 2 2 2 6" xfId="2339" xr:uid="{00000000-0005-0000-0000-0000B5050000}"/>
    <cellStyle name="40% - Accent4 2 2 2 6 2" xfId="6645" xr:uid="{00000000-0005-0000-0000-0000B6050000}"/>
    <cellStyle name="40% - Accent4 2 2 2 6 2 2" xfId="15095" xr:uid="{DA7BF8BE-D705-44F9-9C25-F91112306236}"/>
    <cellStyle name="40% - Accent4 2 2 2 6 2 3" xfId="23529" xr:uid="{D400B7A8-7271-4CE5-8E68-1B76ADE413D3}"/>
    <cellStyle name="40% - Accent4 2 2 2 6 3" xfId="10877" xr:uid="{3B9840EF-8698-432F-A7CE-F1A4F7613BD7}"/>
    <cellStyle name="40% - Accent4 2 2 2 6 4" xfId="19312" xr:uid="{35F53839-42C1-41AD-88FE-324E54CE05B3}"/>
    <cellStyle name="40% - Accent4 2 2 2 7" xfId="4579" xr:uid="{00000000-0005-0000-0000-0000B7050000}"/>
    <cellStyle name="40% - Accent4 2 2 2 7 2" xfId="13029" xr:uid="{42234154-1C51-4EFB-B516-609D00024120}"/>
    <cellStyle name="40% - Accent4 2 2 2 7 3" xfId="21463" xr:uid="{1E42F720-CE90-4C04-8218-39C5A14D8595}"/>
    <cellStyle name="40% - Accent4 2 2 2 8" xfId="8811" xr:uid="{CD01F525-607D-4456-887B-75834530BC96}"/>
    <cellStyle name="40% - Accent4 2 2 2 9" xfId="17246" xr:uid="{B2B511B4-7CE3-4DBC-9A71-A6E7EBFB481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E195C6D9-17E5-481C-BC05-9336A7B88B67}"/>
    <cellStyle name="40% - Accent4 2 2 3 2 2 3" xfId="24021" xr:uid="{A2450B17-1EDC-418E-AC6D-4777A2B48C34}"/>
    <cellStyle name="40% - Accent4 2 2 3 2 3" xfId="11369" xr:uid="{FBE5B9B5-448F-453F-9456-452653A5FA0B}"/>
    <cellStyle name="40% - Accent4 2 2 3 2 4" xfId="19804" xr:uid="{310854A1-1355-42F5-8585-29C435C2B5F6}"/>
    <cellStyle name="40% - Accent4 2 2 3 3" xfId="4992" xr:uid="{00000000-0005-0000-0000-0000BB050000}"/>
    <cellStyle name="40% - Accent4 2 2 3 3 2" xfId="13442" xr:uid="{452075E3-9992-44F4-AD11-1F1F78522613}"/>
    <cellStyle name="40% - Accent4 2 2 3 3 3" xfId="21876" xr:uid="{D2559B8E-AA3F-4C02-B4E0-53C06669BFBD}"/>
    <cellStyle name="40% - Accent4 2 2 3 4" xfId="9224" xr:uid="{DA538525-C4B9-411B-B4CD-EF780CA60B47}"/>
    <cellStyle name="40% - Accent4 2 2 3 5" xfId="17659" xr:uid="{77E05CA7-F2A3-4FA6-AAAE-DCFA89BA6A6D}"/>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F2F2EF34-6C1C-48C5-8E76-12DCFF0FD419}"/>
    <cellStyle name="40% - Accent4 2 2 4 2 2 3" xfId="24434" xr:uid="{FCCF7AC3-C34B-4558-9AD5-24CD5B942DD0}"/>
    <cellStyle name="40% - Accent4 2 2 4 2 3" xfId="11782" xr:uid="{5FE31C7B-0EBE-47B4-9B57-0BB4DDC2F451}"/>
    <cellStyle name="40% - Accent4 2 2 4 2 4" xfId="20217" xr:uid="{5108A457-3806-42B8-BEB9-C29FB13AA26E}"/>
    <cellStyle name="40% - Accent4 2 2 4 3" xfId="5405" xr:uid="{00000000-0005-0000-0000-0000BF050000}"/>
    <cellStyle name="40% - Accent4 2 2 4 3 2" xfId="13855" xr:uid="{E52C5A3C-156F-459B-B6DE-3C54CE2820BA}"/>
    <cellStyle name="40% - Accent4 2 2 4 3 3" xfId="22289" xr:uid="{9CCAEF2B-82C6-4E04-87CD-664C66331F45}"/>
    <cellStyle name="40% - Accent4 2 2 4 4" xfId="9637" xr:uid="{FE6DE19E-FB55-433C-B88B-114768D81340}"/>
    <cellStyle name="40% - Accent4 2 2 4 5" xfId="18072" xr:uid="{4D2D84CE-A199-413A-BBA6-C52EFB6DC8B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A4F9FFF6-EA45-48C4-821F-D3C9B1CC1125}"/>
    <cellStyle name="40% - Accent4 2 2 5 2 2 3" xfId="24847" xr:uid="{76C0329C-A108-4D7E-9E41-BE789AF20486}"/>
    <cellStyle name="40% - Accent4 2 2 5 2 3" xfId="12195" xr:uid="{43E34B26-9A94-4C55-B47B-EB32F76FCAD7}"/>
    <cellStyle name="40% - Accent4 2 2 5 2 4" xfId="20630" xr:uid="{24D36A43-4739-4CC0-A65A-D615F7AF90AB}"/>
    <cellStyle name="40% - Accent4 2 2 5 3" xfId="5818" xr:uid="{00000000-0005-0000-0000-0000C3050000}"/>
    <cellStyle name="40% - Accent4 2 2 5 3 2" xfId="14268" xr:uid="{9BFA7DF8-1A0C-4E4B-B1F1-1BC0033F77FE}"/>
    <cellStyle name="40% - Accent4 2 2 5 3 3" xfId="22702" xr:uid="{E9EB5377-C12F-421B-A7DC-8FBFEEDC2A44}"/>
    <cellStyle name="40% - Accent4 2 2 5 4" xfId="10050" xr:uid="{99576695-09E5-4F31-A884-2A5ED1B14B45}"/>
    <cellStyle name="40% - Accent4 2 2 5 5" xfId="18485" xr:uid="{1B6C0B32-F1C8-4A31-84FD-ECB5780E0F8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89E3D429-3855-4461-B718-91B4ACE41DBD}"/>
    <cellStyle name="40% - Accent4 2 2 6 2 2 3" xfId="25260" xr:uid="{5E3AC1BA-3F90-4A0B-AA88-3F7F527F8FBA}"/>
    <cellStyle name="40% - Accent4 2 2 6 2 3" xfId="12608" xr:uid="{74D8CC9C-F96F-4BED-BB87-B999ECCFF77D}"/>
    <cellStyle name="40% - Accent4 2 2 6 2 4" xfId="21043" xr:uid="{92FE12FF-FEAD-4119-9E43-72DFE4CB3327}"/>
    <cellStyle name="40% - Accent4 2 2 6 3" xfId="6231" xr:uid="{00000000-0005-0000-0000-0000C7050000}"/>
    <cellStyle name="40% - Accent4 2 2 6 3 2" xfId="14681" xr:uid="{8ADEA8FB-E247-4956-8C27-D030589B03D4}"/>
    <cellStyle name="40% - Accent4 2 2 6 3 3" xfId="23115" xr:uid="{15AB13ED-F2CF-4711-8BA0-D31E45521600}"/>
    <cellStyle name="40% - Accent4 2 2 6 4" xfId="10463" xr:uid="{EE129116-6D7A-481D-B5FD-02E3BB55DEBE}"/>
    <cellStyle name="40% - Accent4 2 2 6 5" xfId="18898" xr:uid="{68CDA9E6-93D7-4ED1-AEBC-EBACBFEC132B}"/>
    <cellStyle name="40% - Accent4 2 2 7" xfId="2338" xr:uid="{00000000-0005-0000-0000-0000C8050000}"/>
    <cellStyle name="40% - Accent4 2 2 7 2" xfId="6644" xr:uid="{00000000-0005-0000-0000-0000C9050000}"/>
    <cellStyle name="40% - Accent4 2 2 7 2 2" xfId="15094" xr:uid="{34C47ECC-6C1D-4474-9F4E-6B5886522B9F}"/>
    <cellStyle name="40% - Accent4 2 2 7 2 3" xfId="23528" xr:uid="{6E20105F-2D57-4930-8E57-4EA027F5E99B}"/>
    <cellStyle name="40% - Accent4 2 2 7 3" xfId="10876" xr:uid="{74007E74-6DCF-4B72-BFE0-FEE865A1502E}"/>
    <cellStyle name="40% - Accent4 2 2 7 4" xfId="19311" xr:uid="{6DC09943-DDDB-4594-BE8B-8F7C09041247}"/>
    <cellStyle name="40% - Accent4 2 2 8" xfId="4578" xr:uid="{00000000-0005-0000-0000-0000CA050000}"/>
    <cellStyle name="40% - Accent4 2 2 8 2" xfId="13028" xr:uid="{10916423-1348-4170-A9A5-09746E63C34E}"/>
    <cellStyle name="40% - Accent4 2 2 8 3" xfId="21462" xr:uid="{841C1ACE-C0A5-4519-9D74-38C89AF4A58A}"/>
    <cellStyle name="40% - Accent4 2 2 9" xfId="8810" xr:uid="{45839C9F-4DA2-42B0-91A9-BEA3725F7F0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89BF42AE-8D2E-4962-B965-9FBBCBD11D2B}"/>
    <cellStyle name="40% - Accent4 2 3 2 2 2 3" xfId="24023" xr:uid="{1F2BD74A-B3CF-43BF-B79E-A46904F92CC2}"/>
    <cellStyle name="40% - Accent4 2 3 2 2 3" xfId="11371" xr:uid="{A7B3683C-48E2-4C58-A9E4-6C6C1320D4D3}"/>
    <cellStyle name="40% - Accent4 2 3 2 2 4" xfId="19806" xr:uid="{FC836270-01A0-4F94-878F-F24EAC3F2506}"/>
    <cellStyle name="40% - Accent4 2 3 2 3" xfId="4994" xr:uid="{00000000-0005-0000-0000-0000CF050000}"/>
    <cellStyle name="40% - Accent4 2 3 2 3 2" xfId="13444" xr:uid="{760E9654-5E91-4132-A526-869A450274B5}"/>
    <cellStyle name="40% - Accent4 2 3 2 3 3" xfId="21878" xr:uid="{E2F293AA-B21F-4CEB-BEC3-83E16A99329E}"/>
    <cellStyle name="40% - Accent4 2 3 2 4" xfId="9226" xr:uid="{038F41B2-8182-4E06-8FC7-18C05B6DCCFC}"/>
    <cellStyle name="40% - Accent4 2 3 2 5" xfId="17661" xr:uid="{E3CDC392-C9B5-4677-A5BE-A6A5A44FD634}"/>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37AAB64B-50C8-4DF6-8780-DA33015D7551}"/>
    <cellStyle name="40% - Accent4 2 3 3 2 2 3" xfId="24436" xr:uid="{D744BAED-5BE2-43AC-8A7F-A2AC10434515}"/>
    <cellStyle name="40% - Accent4 2 3 3 2 3" xfId="11784" xr:uid="{A280CA8E-543A-41A1-BBA8-662DCBD05E2E}"/>
    <cellStyle name="40% - Accent4 2 3 3 2 4" xfId="20219" xr:uid="{056FE4EA-2AB4-4828-98B4-4321C0A6081F}"/>
    <cellStyle name="40% - Accent4 2 3 3 3" xfId="5407" xr:uid="{00000000-0005-0000-0000-0000D3050000}"/>
    <cellStyle name="40% - Accent4 2 3 3 3 2" xfId="13857" xr:uid="{242058DD-9422-48F3-BF4F-69E150C089C7}"/>
    <cellStyle name="40% - Accent4 2 3 3 3 3" xfId="22291" xr:uid="{23A70BA6-BBE1-48B1-AB36-ABD33329D52E}"/>
    <cellStyle name="40% - Accent4 2 3 3 4" xfId="9639" xr:uid="{FF0DF354-1D03-48E2-8B57-560A1E9724BD}"/>
    <cellStyle name="40% - Accent4 2 3 3 5" xfId="18074" xr:uid="{D9C77CDC-CE85-421B-BEFD-0B3BB5D75DC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B46C0C10-0845-491A-B169-840238B7BEDE}"/>
    <cellStyle name="40% - Accent4 2 3 4 2 2 3" xfId="24849" xr:uid="{5EA396BB-5E72-4F74-A5C6-E6FA5AC6A8AF}"/>
    <cellStyle name="40% - Accent4 2 3 4 2 3" xfId="12197" xr:uid="{F43F00D6-5A19-49FC-A8D8-7ABC565FA654}"/>
    <cellStyle name="40% - Accent4 2 3 4 2 4" xfId="20632" xr:uid="{06FBB463-577C-49DC-909D-546E2BE44A20}"/>
    <cellStyle name="40% - Accent4 2 3 4 3" xfId="5820" xr:uid="{00000000-0005-0000-0000-0000D7050000}"/>
    <cellStyle name="40% - Accent4 2 3 4 3 2" xfId="14270" xr:uid="{7A5DD978-18E8-4FCD-ADBF-19A77E03C969}"/>
    <cellStyle name="40% - Accent4 2 3 4 3 3" xfId="22704" xr:uid="{CB43B238-FCC1-4267-BAD4-B94C73B97D47}"/>
    <cellStyle name="40% - Accent4 2 3 4 4" xfId="10052" xr:uid="{227939C8-9FB1-4D60-A5C9-6E41AA5B8178}"/>
    <cellStyle name="40% - Accent4 2 3 4 5" xfId="18487" xr:uid="{C51AFD55-5E29-4E43-9D77-FCC6506576E9}"/>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293B2826-87FC-49F3-A4E6-6F3AFB91A75B}"/>
    <cellStyle name="40% - Accent4 2 3 5 2 2 3" xfId="25262" xr:uid="{EE1C1CB7-5DBA-42D3-8150-46DAE55666B6}"/>
    <cellStyle name="40% - Accent4 2 3 5 2 3" xfId="12610" xr:uid="{985B6562-4F74-4B6A-A87C-B0702C9B19B2}"/>
    <cellStyle name="40% - Accent4 2 3 5 2 4" xfId="21045" xr:uid="{66DF3923-85B7-4740-9B70-DAAD1001A673}"/>
    <cellStyle name="40% - Accent4 2 3 5 3" xfId="6233" xr:uid="{00000000-0005-0000-0000-0000DB050000}"/>
    <cellStyle name="40% - Accent4 2 3 5 3 2" xfId="14683" xr:uid="{15F8A5D7-3D6F-4EAF-9D71-23F22B1E9E8E}"/>
    <cellStyle name="40% - Accent4 2 3 5 3 3" xfId="23117" xr:uid="{2DB1FE42-DCBC-49FA-B000-9B0DCC316729}"/>
    <cellStyle name="40% - Accent4 2 3 5 4" xfId="10465" xr:uid="{6201590B-E27A-4069-B032-75E0C8E4EC21}"/>
    <cellStyle name="40% - Accent4 2 3 5 5" xfId="18900" xr:uid="{831E21B7-C279-4224-B138-F6A9EE159DAD}"/>
    <cellStyle name="40% - Accent4 2 3 6" xfId="2340" xr:uid="{00000000-0005-0000-0000-0000DC050000}"/>
    <cellStyle name="40% - Accent4 2 3 6 2" xfId="6646" xr:uid="{00000000-0005-0000-0000-0000DD050000}"/>
    <cellStyle name="40% - Accent4 2 3 6 2 2" xfId="15096" xr:uid="{83DA4754-5246-48B9-8A65-F57F4E1BCF4E}"/>
    <cellStyle name="40% - Accent4 2 3 6 2 3" xfId="23530" xr:uid="{22CD43C7-C440-4924-8234-A7D438C84680}"/>
    <cellStyle name="40% - Accent4 2 3 6 3" xfId="10878" xr:uid="{035908CF-CD08-497B-8A75-082DDD5E9E6A}"/>
    <cellStyle name="40% - Accent4 2 3 6 4" xfId="19313" xr:uid="{C0C75560-3518-43AB-8A8E-BC90BFBB1349}"/>
    <cellStyle name="40% - Accent4 2 3 7" xfId="4580" xr:uid="{00000000-0005-0000-0000-0000DE050000}"/>
    <cellStyle name="40% - Accent4 2 3 7 2" xfId="13030" xr:uid="{F088CDB3-7330-4B9A-8D52-38FDCD7D1927}"/>
    <cellStyle name="40% - Accent4 2 3 7 3" xfId="21464" xr:uid="{8E146578-44A8-4C58-B749-5C1FD1EFF3B5}"/>
    <cellStyle name="40% - Accent4 2 3 8" xfId="8812" xr:uid="{22F4FE08-580C-4BDC-BFD5-5F992758A709}"/>
    <cellStyle name="40% - Accent4 2 3 9" xfId="17247" xr:uid="{2FACCD51-8579-4AD0-9611-E1FFCD6F1232}"/>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D1ADD66D-4828-4112-A89B-47C142C56AF5}"/>
    <cellStyle name="40% - Accent4 2 4 2 2 3" xfId="24020" xr:uid="{6B6C2E70-D0A1-427A-AAF2-220DAEFF4EC0}"/>
    <cellStyle name="40% - Accent4 2 4 2 3" xfId="11368" xr:uid="{5C5E17F4-78C6-40D1-B9FB-A42B348213A3}"/>
    <cellStyle name="40% - Accent4 2 4 2 4" xfId="19803" xr:uid="{D4D0BE7B-2C28-4F08-BEF9-3C8B71FB54D2}"/>
    <cellStyle name="40% - Accent4 2 4 3" xfId="4991" xr:uid="{00000000-0005-0000-0000-0000E2050000}"/>
    <cellStyle name="40% - Accent4 2 4 3 2" xfId="13441" xr:uid="{2192A927-C807-470C-A65A-1139DF5B29A2}"/>
    <cellStyle name="40% - Accent4 2 4 3 3" xfId="21875" xr:uid="{7A571A1F-E214-4111-8973-E6BDE853968A}"/>
    <cellStyle name="40% - Accent4 2 4 4" xfId="9223" xr:uid="{27782EB7-B8F3-4241-B024-78582107A3B9}"/>
    <cellStyle name="40% - Accent4 2 4 5" xfId="17658" xr:uid="{98E614E8-326C-43DA-9723-5A8A62B11DEB}"/>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E8E47899-BC99-416E-938F-91BA03990782}"/>
    <cellStyle name="40% - Accent4 2 5 2 2 3" xfId="24433" xr:uid="{B8F94D15-55DA-4076-A192-91EE979ED028}"/>
    <cellStyle name="40% - Accent4 2 5 2 3" xfId="11781" xr:uid="{2AB1384C-C0BF-44D5-9C19-1A6E46212358}"/>
    <cellStyle name="40% - Accent4 2 5 2 4" xfId="20216" xr:uid="{C12E3D7C-D8D2-4BB7-8246-A2D62A21ABB6}"/>
    <cellStyle name="40% - Accent4 2 5 3" xfId="5404" xr:uid="{00000000-0005-0000-0000-0000E6050000}"/>
    <cellStyle name="40% - Accent4 2 5 3 2" xfId="13854" xr:uid="{D3683259-4B92-47AA-A360-B699B0BF3AFD}"/>
    <cellStyle name="40% - Accent4 2 5 3 3" xfId="22288" xr:uid="{0C447DCC-1B93-423F-B9A3-F9B20E397E90}"/>
    <cellStyle name="40% - Accent4 2 5 4" xfId="9636" xr:uid="{F966971E-EA03-400A-B58D-F45FB212909D}"/>
    <cellStyle name="40% - Accent4 2 5 5" xfId="18071" xr:uid="{7737B90D-9B0E-4F48-86A5-D6C5319018DE}"/>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EFCFEA31-7247-4703-A052-EE04E88AF903}"/>
    <cellStyle name="40% - Accent4 2 6 2 2 3" xfId="24846" xr:uid="{75361E66-C168-4C95-99B9-CDF090F9042D}"/>
    <cellStyle name="40% - Accent4 2 6 2 3" xfId="12194" xr:uid="{551E6D2D-39E0-483A-8592-F7BA0D8F1DED}"/>
    <cellStyle name="40% - Accent4 2 6 2 4" xfId="20629" xr:uid="{993EC416-9927-4617-8A5B-27F212B823B2}"/>
    <cellStyle name="40% - Accent4 2 6 3" xfId="5817" xr:uid="{00000000-0005-0000-0000-0000EA050000}"/>
    <cellStyle name="40% - Accent4 2 6 3 2" xfId="14267" xr:uid="{FC52FE71-9FD8-470A-BD53-DBA1BA0235EC}"/>
    <cellStyle name="40% - Accent4 2 6 3 3" xfId="22701" xr:uid="{8C201E27-696A-4C03-897D-45DF52E20E05}"/>
    <cellStyle name="40% - Accent4 2 6 4" xfId="10049" xr:uid="{47BBE2A3-4B0C-4285-B935-B3A774017B92}"/>
    <cellStyle name="40% - Accent4 2 6 5" xfId="18484" xr:uid="{A7848258-31F7-46F7-BDAB-EF73A36CC2A0}"/>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3A28B646-DF58-406D-B83B-D7314721F1FD}"/>
    <cellStyle name="40% - Accent4 2 7 2 2 3" xfId="25259" xr:uid="{D3140E4A-020A-4190-BA43-4BE4B0C51728}"/>
    <cellStyle name="40% - Accent4 2 7 2 3" xfId="12607" xr:uid="{F3AF7FC0-A174-46DA-B12E-051429CB3289}"/>
    <cellStyle name="40% - Accent4 2 7 2 4" xfId="21042" xr:uid="{8AF9FF4F-44D5-4D9F-A6F1-CA92810A1520}"/>
    <cellStyle name="40% - Accent4 2 7 3" xfId="6230" xr:uid="{00000000-0005-0000-0000-0000EE050000}"/>
    <cellStyle name="40% - Accent4 2 7 3 2" xfId="14680" xr:uid="{C8B0DC28-9E64-4F0C-8922-0819DC07F1AC}"/>
    <cellStyle name="40% - Accent4 2 7 3 3" xfId="23114" xr:uid="{9436FFD3-A57F-4D9E-B5D0-5730685AEFE0}"/>
    <cellStyle name="40% - Accent4 2 7 4" xfId="10462" xr:uid="{68A73854-EB58-4BB5-BB3A-93453530DCD0}"/>
    <cellStyle name="40% - Accent4 2 7 5" xfId="18897" xr:uid="{D1EEF9B8-994A-411C-A4E4-E260142E9DEA}"/>
    <cellStyle name="40% - Accent4 2 8" xfId="2337" xr:uid="{00000000-0005-0000-0000-0000EF050000}"/>
    <cellStyle name="40% - Accent4 2 8 2" xfId="6643" xr:uid="{00000000-0005-0000-0000-0000F0050000}"/>
    <cellStyle name="40% - Accent4 2 8 2 2" xfId="15093" xr:uid="{3C82DCD0-AAAD-4942-85F3-DAA950923ED2}"/>
    <cellStyle name="40% - Accent4 2 8 2 3" xfId="23527" xr:uid="{18648491-A8E2-4D9A-A826-2EEB162B640A}"/>
    <cellStyle name="40% - Accent4 2 8 3" xfId="10875" xr:uid="{E7ECE3D0-A234-4324-90D0-4370CABA5272}"/>
    <cellStyle name="40% - Accent4 2 8 4" xfId="19310" xr:uid="{B67D506E-97A0-4C8C-BDC7-537BD409F55C}"/>
    <cellStyle name="40% - Accent4 2 9" xfId="4577" xr:uid="{00000000-0005-0000-0000-0000F1050000}"/>
    <cellStyle name="40% - Accent4 2 9 2" xfId="13027" xr:uid="{77931AB6-3ECB-4FF1-A4E9-D309EC72B531}"/>
    <cellStyle name="40% - Accent4 2 9 3" xfId="21461" xr:uid="{0CCF185D-084D-4B5B-8168-22A9AC719B85}"/>
    <cellStyle name="40% - Accent4 3" xfId="78" xr:uid="{00000000-0005-0000-0000-0000F2050000}"/>
    <cellStyle name="40% - Accent4 3 10" xfId="17248" xr:uid="{517323F4-958C-4319-B05D-6E20C841EF1B}"/>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A0DEBFDA-D824-4DE9-B368-5E536660877C}"/>
    <cellStyle name="40% - Accent4 3 2 2 2 2 3" xfId="24025" xr:uid="{5F9F9AC3-1A8F-49B8-81E3-4905297B7EC0}"/>
    <cellStyle name="40% - Accent4 3 2 2 2 3" xfId="11373" xr:uid="{A913D926-D3C5-44C2-A9A3-308087A01BB0}"/>
    <cellStyle name="40% - Accent4 3 2 2 2 4" xfId="19808" xr:uid="{19B29DE1-993C-4304-96E7-9CF91842884E}"/>
    <cellStyle name="40% - Accent4 3 2 2 3" xfId="4996" xr:uid="{00000000-0005-0000-0000-0000F7050000}"/>
    <cellStyle name="40% - Accent4 3 2 2 3 2" xfId="13446" xr:uid="{9310C52D-3596-4A55-94CA-9936B0612A4D}"/>
    <cellStyle name="40% - Accent4 3 2 2 3 3" xfId="21880" xr:uid="{FBCC99B3-4C31-41B8-962D-491B8320018E}"/>
    <cellStyle name="40% - Accent4 3 2 2 4" xfId="9228" xr:uid="{D39D1778-7430-4C48-924A-769274E2605D}"/>
    <cellStyle name="40% - Accent4 3 2 2 5" xfId="17663" xr:uid="{8BF7D783-B468-4452-A7C8-5197A8BF0B43}"/>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DA6AE921-0149-4A26-942B-74236A134584}"/>
    <cellStyle name="40% - Accent4 3 2 3 2 2 3" xfId="24438" xr:uid="{EB117337-58CE-4B95-A944-E4D51B2C7B07}"/>
    <cellStyle name="40% - Accent4 3 2 3 2 3" xfId="11786" xr:uid="{C78219B2-0162-4921-8249-FFF4FB4CFEE0}"/>
    <cellStyle name="40% - Accent4 3 2 3 2 4" xfId="20221" xr:uid="{425A97DF-226A-4A48-82C4-9FA85B25960C}"/>
    <cellStyle name="40% - Accent4 3 2 3 3" xfId="5409" xr:uid="{00000000-0005-0000-0000-0000FB050000}"/>
    <cellStyle name="40% - Accent4 3 2 3 3 2" xfId="13859" xr:uid="{6D4DD436-3CF6-45B8-8804-E899B33F229A}"/>
    <cellStyle name="40% - Accent4 3 2 3 3 3" xfId="22293" xr:uid="{46EA6018-0B7C-4775-8F80-507004C7F520}"/>
    <cellStyle name="40% - Accent4 3 2 3 4" xfId="9641" xr:uid="{ECDA6C9B-FBC7-4F82-81CF-015B6F2B9F92}"/>
    <cellStyle name="40% - Accent4 3 2 3 5" xfId="18076" xr:uid="{35CBE29D-02AF-44F3-83AB-2EB02E764CC9}"/>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53C3FC7D-6837-4BE3-B339-21FBEBE2931E}"/>
    <cellStyle name="40% - Accent4 3 2 4 2 2 3" xfId="24851" xr:uid="{54402596-0F21-4460-8F11-10E5CBA464F8}"/>
    <cellStyle name="40% - Accent4 3 2 4 2 3" xfId="12199" xr:uid="{3326866B-C9AC-4559-B767-12CC7964DF54}"/>
    <cellStyle name="40% - Accent4 3 2 4 2 4" xfId="20634" xr:uid="{F7BAAE72-7DF6-4187-8458-AD824696E283}"/>
    <cellStyle name="40% - Accent4 3 2 4 3" xfId="5822" xr:uid="{00000000-0005-0000-0000-0000FF050000}"/>
    <cellStyle name="40% - Accent4 3 2 4 3 2" xfId="14272" xr:uid="{ECF320CE-FC5E-4889-8958-0F8DC819C278}"/>
    <cellStyle name="40% - Accent4 3 2 4 3 3" xfId="22706" xr:uid="{03C3C63B-0D88-4B0F-8A58-8777697D3AE7}"/>
    <cellStyle name="40% - Accent4 3 2 4 4" xfId="10054" xr:uid="{F6F751CE-EE79-4BD4-8AB6-68DD333AF7D7}"/>
    <cellStyle name="40% - Accent4 3 2 4 5" xfId="18489" xr:uid="{20F7469C-17DC-43BA-A654-C5E14690B03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1F6C3D3A-853A-4E5A-852A-B4E677EB17D1}"/>
    <cellStyle name="40% - Accent4 3 2 5 2 2 3" xfId="25264" xr:uid="{70D02B6E-338A-4022-9F00-C21B5904E0FF}"/>
    <cellStyle name="40% - Accent4 3 2 5 2 3" xfId="12612" xr:uid="{ADD79BAA-B5D8-4622-AA7A-F05B1F6FCEC4}"/>
    <cellStyle name="40% - Accent4 3 2 5 2 4" xfId="21047" xr:uid="{049DB206-6B84-42F5-A7B5-DCEF5492434B}"/>
    <cellStyle name="40% - Accent4 3 2 5 3" xfId="6235" xr:uid="{00000000-0005-0000-0000-000003060000}"/>
    <cellStyle name="40% - Accent4 3 2 5 3 2" xfId="14685" xr:uid="{DE0FC3ED-C1B3-4C17-A2D2-26B4F76607A9}"/>
    <cellStyle name="40% - Accent4 3 2 5 3 3" xfId="23119" xr:uid="{70C45F54-002B-480B-A6E9-D032259F1075}"/>
    <cellStyle name="40% - Accent4 3 2 5 4" xfId="10467" xr:uid="{F4E73F6B-CCE6-4734-94D2-40D5936C73B9}"/>
    <cellStyle name="40% - Accent4 3 2 5 5" xfId="18902" xr:uid="{B2CB7404-61C0-42DB-81A0-D7997B1EC360}"/>
    <cellStyle name="40% - Accent4 3 2 6" xfId="2342" xr:uid="{00000000-0005-0000-0000-000004060000}"/>
    <cellStyle name="40% - Accent4 3 2 6 2" xfId="6648" xr:uid="{00000000-0005-0000-0000-000005060000}"/>
    <cellStyle name="40% - Accent4 3 2 6 2 2" xfId="15098" xr:uid="{9C553811-D994-4B08-BA56-625C75BD2DCE}"/>
    <cellStyle name="40% - Accent4 3 2 6 2 3" xfId="23532" xr:uid="{5E04129D-F2A8-47BF-A1AD-D204CDA03013}"/>
    <cellStyle name="40% - Accent4 3 2 6 3" xfId="10880" xr:uid="{5549940C-848E-4655-B9C6-B44A32512AE0}"/>
    <cellStyle name="40% - Accent4 3 2 6 4" xfId="19315" xr:uid="{2790B845-A0F9-4B66-86DE-CDFDB89F1F4E}"/>
    <cellStyle name="40% - Accent4 3 2 7" xfId="4582" xr:uid="{00000000-0005-0000-0000-000006060000}"/>
    <cellStyle name="40% - Accent4 3 2 7 2" xfId="13032" xr:uid="{75AA2AD3-0979-4FFA-9280-2C9DD1A0B0AF}"/>
    <cellStyle name="40% - Accent4 3 2 7 3" xfId="21466" xr:uid="{EB19EEE1-AB9C-403E-8992-DF68E960CB14}"/>
    <cellStyle name="40% - Accent4 3 2 8" xfId="8814" xr:uid="{CC8F79E2-F433-4CE4-9F22-785437958595}"/>
    <cellStyle name="40% - Accent4 3 2 9" xfId="17249" xr:uid="{C142EED7-6531-47B3-987F-A8772C9ED6E5}"/>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47955F10-7BDC-486E-97EA-BE19FF165A0E}"/>
    <cellStyle name="40% - Accent4 3 3 2 2 3" xfId="24024" xr:uid="{C845A68B-055B-4E4D-B3EA-79DEAC236F20}"/>
    <cellStyle name="40% - Accent4 3 3 2 3" xfId="11372" xr:uid="{C0078C8B-81EF-48F2-8BB4-2BC4E9A8947D}"/>
    <cellStyle name="40% - Accent4 3 3 2 4" xfId="19807" xr:uid="{3CDA6F67-1267-4EF2-AD07-8FEB4A0FF9D2}"/>
    <cellStyle name="40% - Accent4 3 3 3" xfId="4995" xr:uid="{00000000-0005-0000-0000-00000A060000}"/>
    <cellStyle name="40% - Accent4 3 3 3 2" xfId="13445" xr:uid="{B5B31EBA-A8A7-4538-A927-ACC87B53837A}"/>
    <cellStyle name="40% - Accent4 3 3 3 3" xfId="21879" xr:uid="{FCA89A9B-8B57-4070-9ACB-963D6AFE69B3}"/>
    <cellStyle name="40% - Accent4 3 3 4" xfId="9227" xr:uid="{D3D4C33D-B75B-479F-9494-A0E27CE52DA7}"/>
    <cellStyle name="40% - Accent4 3 3 5" xfId="17662" xr:uid="{5DD262D7-F05F-4CD5-9E5A-D4A6CF472569}"/>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441714D5-8FE5-48A0-BF37-CCF2BFFDA399}"/>
    <cellStyle name="40% - Accent4 3 4 2 2 3" xfId="24437" xr:uid="{BA747A4B-986A-46E5-B895-46D1B068D517}"/>
    <cellStyle name="40% - Accent4 3 4 2 3" xfId="11785" xr:uid="{37DED245-B4F3-4080-B3B3-34DBF76CDE27}"/>
    <cellStyle name="40% - Accent4 3 4 2 4" xfId="20220" xr:uid="{921430F5-10AF-4A14-89D0-47BF326C5875}"/>
    <cellStyle name="40% - Accent4 3 4 3" xfId="5408" xr:uid="{00000000-0005-0000-0000-00000E060000}"/>
    <cellStyle name="40% - Accent4 3 4 3 2" xfId="13858" xr:uid="{5BC7D249-3D8F-4D90-A954-6B49A083E8CF}"/>
    <cellStyle name="40% - Accent4 3 4 3 3" xfId="22292" xr:uid="{C78158DD-DC47-4978-8CD5-30B247D2CB74}"/>
    <cellStyle name="40% - Accent4 3 4 4" xfId="9640" xr:uid="{5F0BD7EF-E62D-4946-B6CC-9B3BDD94D12C}"/>
    <cellStyle name="40% - Accent4 3 4 5" xfId="18075" xr:uid="{583FFBE8-3B04-4FAF-A08E-07F3064155EE}"/>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F9717224-5D4F-4180-ABEB-3BA098E60C1E}"/>
    <cellStyle name="40% - Accent4 3 5 2 2 3" xfId="24850" xr:uid="{C2C71AA6-A5D5-4252-BEC0-848705F717A7}"/>
    <cellStyle name="40% - Accent4 3 5 2 3" xfId="12198" xr:uid="{F9505EFC-26DE-4DA5-B0A0-CE0B7D9050AF}"/>
    <cellStyle name="40% - Accent4 3 5 2 4" xfId="20633" xr:uid="{3757318B-4295-4AE2-BFA5-1BAE17E7482B}"/>
    <cellStyle name="40% - Accent4 3 5 3" xfId="5821" xr:uid="{00000000-0005-0000-0000-000012060000}"/>
    <cellStyle name="40% - Accent4 3 5 3 2" xfId="14271" xr:uid="{D162A112-3420-45A3-805B-9EA9FA1AFD51}"/>
    <cellStyle name="40% - Accent4 3 5 3 3" xfId="22705" xr:uid="{D03FF9E1-D3F6-4383-86EC-37CD0B838ED4}"/>
    <cellStyle name="40% - Accent4 3 5 4" xfId="10053" xr:uid="{73E6F1C9-EBD9-453E-A681-125FABEBDCF5}"/>
    <cellStyle name="40% - Accent4 3 5 5" xfId="18488" xr:uid="{950D7BB2-8399-4062-966D-300BA2DF9C6F}"/>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A0CA44A2-C15B-4BFF-B18A-9197F78A858E}"/>
    <cellStyle name="40% - Accent4 3 6 2 2 3" xfId="25263" xr:uid="{B59343A4-C6BD-453E-B72C-9A3EBD1048CF}"/>
    <cellStyle name="40% - Accent4 3 6 2 3" xfId="12611" xr:uid="{A3B1DBCC-8ED7-4937-9534-98586BDBBF9A}"/>
    <cellStyle name="40% - Accent4 3 6 2 4" xfId="21046" xr:uid="{897F63F5-2EDF-4557-B588-BB2D99CE21D0}"/>
    <cellStyle name="40% - Accent4 3 6 3" xfId="6234" xr:uid="{00000000-0005-0000-0000-000016060000}"/>
    <cellStyle name="40% - Accent4 3 6 3 2" xfId="14684" xr:uid="{1E4A7723-062C-446F-8C6E-A27E200D63D4}"/>
    <cellStyle name="40% - Accent4 3 6 3 3" xfId="23118" xr:uid="{1932E729-E138-4D31-88C2-A537B3717942}"/>
    <cellStyle name="40% - Accent4 3 6 4" xfId="10466" xr:uid="{71C3B3F4-FB72-4F53-984D-C57F5EE46293}"/>
    <cellStyle name="40% - Accent4 3 6 5" xfId="18901" xr:uid="{884DB405-9996-4371-91D4-B6D911F4D56C}"/>
    <cellStyle name="40% - Accent4 3 7" xfId="2341" xr:uid="{00000000-0005-0000-0000-000017060000}"/>
    <cellStyle name="40% - Accent4 3 7 2" xfId="6647" xr:uid="{00000000-0005-0000-0000-000018060000}"/>
    <cellStyle name="40% - Accent4 3 7 2 2" xfId="15097" xr:uid="{6001E9AC-7F05-4005-99BB-0D80AC9DF299}"/>
    <cellStyle name="40% - Accent4 3 7 2 3" xfId="23531" xr:uid="{C94D2673-9A5C-4CAB-87AB-C2240903D47D}"/>
    <cellStyle name="40% - Accent4 3 7 3" xfId="10879" xr:uid="{5ABA0B8B-8E00-442C-984B-2D0440C1F6D2}"/>
    <cellStyle name="40% - Accent4 3 7 4" xfId="19314" xr:uid="{D928D712-D85B-4216-89FF-FB786DDFC135}"/>
    <cellStyle name="40% - Accent4 3 8" xfId="4581" xr:uid="{00000000-0005-0000-0000-000019060000}"/>
    <cellStyle name="40% - Accent4 3 8 2" xfId="13031" xr:uid="{CD59A6B2-F4EE-4E40-A385-6782CE58BDD4}"/>
    <cellStyle name="40% - Accent4 3 8 3" xfId="21465" xr:uid="{EB6C021B-DEC9-480D-AF84-475E36D94354}"/>
    <cellStyle name="40% - Accent4 3 9" xfId="8813" xr:uid="{D8025783-0DB6-4DC7-B0ED-C7FDD649E3B9}"/>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AD81AC75-1EDE-4E37-B251-C290F68EC1DA}"/>
    <cellStyle name="40% - Accent4 4 2 2 2 3" xfId="24026" xr:uid="{27D716FA-97F8-40D3-90BC-C8D87F64B3C0}"/>
    <cellStyle name="40% - Accent4 4 2 2 3" xfId="11374" xr:uid="{10480F5F-42BB-4DE7-9AE4-772E04AA875C}"/>
    <cellStyle name="40% - Accent4 4 2 2 4" xfId="19809" xr:uid="{9BCBEBC4-F406-4E5A-80F1-FBD197A1C4CB}"/>
    <cellStyle name="40% - Accent4 4 2 3" xfId="4997" xr:uid="{00000000-0005-0000-0000-00001E060000}"/>
    <cellStyle name="40% - Accent4 4 2 3 2" xfId="13447" xr:uid="{06029E32-BE5D-409E-87FC-49EA4DCE9CF5}"/>
    <cellStyle name="40% - Accent4 4 2 3 3" xfId="21881" xr:uid="{56B3AF33-C722-4515-A966-FBF7A8B86DC4}"/>
    <cellStyle name="40% - Accent4 4 2 4" xfId="9229" xr:uid="{C92EBCC7-A1BF-4E5E-B936-3589B981F2F0}"/>
    <cellStyle name="40% - Accent4 4 2 5" xfId="17664" xr:uid="{C91009A1-5FE5-4108-B36E-C3F46B1F2204}"/>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EE761FB5-7CEE-42F0-9FF2-014A3DF72F93}"/>
    <cellStyle name="40% - Accent4 4 3 2 2 3" xfId="24439" xr:uid="{0CA9F5CC-2FB4-494B-BCAA-B1984E8F97E2}"/>
    <cellStyle name="40% - Accent4 4 3 2 3" xfId="11787" xr:uid="{D85AFCA7-161B-45E6-9F70-97E0AE6F52F6}"/>
    <cellStyle name="40% - Accent4 4 3 2 4" xfId="20222" xr:uid="{FFA668CE-DDC9-4A6A-AEA6-9B09459FBE66}"/>
    <cellStyle name="40% - Accent4 4 3 3" xfId="5410" xr:uid="{00000000-0005-0000-0000-000022060000}"/>
    <cellStyle name="40% - Accent4 4 3 3 2" xfId="13860" xr:uid="{94E6854C-0E92-4159-BA64-52F5A8CA4437}"/>
    <cellStyle name="40% - Accent4 4 3 3 3" xfId="22294" xr:uid="{4179FFD1-1E10-4A84-AE1A-F027C96EE8CF}"/>
    <cellStyle name="40% - Accent4 4 3 4" xfId="9642" xr:uid="{9E5425F9-0ACA-41D1-A4CB-4605A43E68B9}"/>
    <cellStyle name="40% - Accent4 4 3 5" xfId="18077" xr:uid="{344B1AD6-6967-4579-A2E6-F63F44683C36}"/>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01B4B470-023E-48BD-8FE5-B05CAD0C0F28}"/>
    <cellStyle name="40% - Accent4 4 4 2 2 3" xfId="24852" xr:uid="{5987E4FE-BEBF-4F2B-B54D-7F83CEA422FA}"/>
    <cellStyle name="40% - Accent4 4 4 2 3" xfId="12200" xr:uid="{5318ACBE-4D33-4B15-B8FF-706F5C6384A1}"/>
    <cellStyle name="40% - Accent4 4 4 2 4" xfId="20635" xr:uid="{A399ACE1-E053-470F-B1E7-FEC3486D9F28}"/>
    <cellStyle name="40% - Accent4 4 4 3" xfId="5823" xr:uid="{00000000-0005-0000-0000-000026060000}"/>
    <cellStyle name="40% - Accent4 4 4 3 2" xfId="14273" xr:uid="{B157A2F8-B8AD-4FFE-A913-9F360616B435}"/>
    <cellStyle name="40% - Accent4 4 4 3 3" xfId="22707" xr:uid="{AFA5AB4D-49A9-40E7-A727-85D00B1A96F6}"/>
    <cellStyle name="40% - Accent4 4 4 4" xfId="10055" xr:uid="{96F33769-A2FE-466E-A9A1-68DD2D16D9B4}"/>
    <cellStyle name="40% - Accent4 4 4 5" xfId="18490" xr:uid="{6160209A-3537-4878-8900-9B02A6D927AA}"/>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CA81D641-CC22-4570-88F0-90F691DD00AC}"/>
    <cellStyle name="40% - Accent4 4 5 2 2 3" xfId="25265" xr:uid="{3F1B5465-7722-416E-90F7-0AD134F4995D}"/>
    <cellStyle name="40% - Accent4 4 5 2 3" xfId="12613" xr:uid="{DD554470-3419-44F1-AD6E-30B888C4F3C8}"/>
    <cellStyle name="40% - Accent4 4 5 2 4" xfId="21048" xr:uid="{DE2FD07C-0BD3-4447-AA58-947D148BB19F}"/>
    <cellStyle name="40% - Accent4 4 5 3" xfId="6236" xr:uid="{00000000-0005-0000-0000-00002A060000}"/>
    <cellStyle name="40% - Accent4 4 5 3 2" xfId="14686" xr:uid="{100893B1-E96C-4334-9AF7-B0C5C2057CD0}"/>
    <cellStyle name="40% - Accent4 4 5 3 3" xfId="23120" xr:uid="{46134913-9F88-423B-BB4A-DD7307F40BDC}"/>
    <cellStyle name="40% - Accent4 4 5 4" xfId="10468" xr:uid="{1C8C796D-4262-43F5-AD2E-6C1F185A5A14}"/>
    <cellStyle name="40% - Accent4 4 5 5" xfId="18903" xr:uid="{6135CADB-134F-49ED-8001-C5B3456B70C1}"/>
    <cellStyle name="40% - Accent4 4 6" xfId="2343" xr:uid="{00000000-0005-0000-0000-00002B060000}"/>
    <cellStyle name="40% - Accent4 4 6 2" xfId="6649" xr:uid="{00000000-0005-0000-0000-00002C060000}"/>
    <cellStyle name="40% - Accent4 4 6 2 2" xfId="15099" xr:uid="{4B1B7BEB-1D39-417A-841D-075523302884}"/>
    <cellStyle name="40% - Accent4 4 6 2 3" xfId="23533" xr:uid="{57315967-1F28-4E8E-A8A8-C101252FD083}"/>
    <cellStyle name="40% - Accent4 4 6 3" xfId="10881" xr:uid="{44F6B4FE-E649-4F24-8645-0C54AA4C4ADC}"/>
    <cellStyle name="40% - Accent4 4 6 4" xfId="19316" xr:uid="{764878DF-1E21-4961-9BB9-8018EAB796DB}"/>
    <cellStyle name="40% - Accent4 4 7" xfId="4583" xr:uid="{00000000-0005-0000-0000-00002D060000}"/>
    <cellStyle name="40% - Accent4 4 7 2" xfId="13033" xr:uid="{2C545823-63AA-4C97-B034-028DDE022180}"/>
    <cellStyle name="40% - Accent4 4 7 3" xfId="21467" xr:uid="{F875A94F-A531-46F7-9846-EC375CDA06F1}"/>
    <cellStyle name="40% - Accent4 4 8" xfId="8815" xr:uid="{E86B23B6-9211-4E37-874C-15ACD638FA43}"/>
    <cellStyle name="40% - Accent4 4 9" xfId="17250" xr:uid="{A086A317-9668-4FAF-9F27-3EF79902853B}"/>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B933EA39-84D8-4CA1-8078-6B0C5DF0289F}"/>
    <cellStyle name="40% - Accent4 5 2 2 3" xfId="24019" xr:uid="{6B8AA1DC-BAD9-472F-98DA-25A12367EDCA}"/>
    <cellStyle name="40% - Accent4 5 2 3" xfId="11367" xr:uid="{B135A6BB-2C8A-46A8-8A11-FB3258190160}"/>
    <cellStyle name="40% - Accent4 5 2 4" xfId="19802" xr:uid="{1277EAA6-0C44-4BE9-A57C-BC803CE65DE9}"/>
    <cellStyle name="40% - Accent4 5 3" xfId="4990" xr:uid="{00000000-0005-0000-0000-000031060000}"/>
    <cellStyle name="40% - Accent4 5 3 2" xfId="13440" xr:uid="{7CA7FBC3-3B9B-4AB6-9697-DC7DD9C1866A}"/>
    <cellStyle name="40% - Accent4 5 3 3" xfId="21874" xr:uid="{5A5C3F09-8EFB-4D91-9C99-3D79A4178792}"/>
    <cellStyle name="40% - Accent4 5 4" xfId="9222" xr:uid="{26929B28-3E76-4EFE-A92A-C771AE6A747B}"/>
    <cellStyle name="40% - Accent4 5 5" xfId="17657" xr:uid="{68A45E8F-2C22-47AB-B2F6-AB518B332B88}"/>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FC40BB5C-97ED-4F36-B8CE-044514F6B04A}"/>
    <cellStyle name="40% - Accent4 6 2 2 3" xfId="24432" xr:uid="{6BB904ED-840C-43B5-8167-E44B55EFACF4}"/>
    <cellStyle name="40% - Accent4 6 2 3" xfId="11780" xr:uid="{B43F9151-1FE9-4B41-B712-1D65E80D4A11}"/>
    <cellStyle name="40% - Accent4 6 2 4" xfId="20215" xr:uid="{091A6FFB-9797-4476-AB5E-491DB1DA582E}"/>
    <cellStyle name="40% - Accent4 6 3" xfId="5403" xr:uid="{00000000-0005-0000-0000-000035060000}"/>
    <cellStyle name="40% - Accent4 6 3 2" xfId="13853" xr:uid="{825B1D1E-19D5-4D94-8705-5782414877B7}"/>
    <cellStyle name="40% - Accent4 6 3 3" xfId="22287" xr:uid="{E8822942-23F2-4011-AEE1-15CFD1B7B9D0}"/>
    <cellStyle name="40% - Accent4 6 4" xfId="9635" xr:uid="{23243644-CA64-4F77-AAE0-4C12F4C51D6C}"/>
    <cellStyle name="40% - Accent4 6 5" xfId="18070" xr:uid="{9E0CA815-53BF-40D9-9B3E-57FDA3D62DC8}"/>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45FAAB44-4659-4106-9A3B-EA8BAC23BD5F}"/>
    <cellStyle name="40% - Accent4 7 2 2 3" xfId="24845" xr:uid="{D24EEB13-40F9-4678-B3EE-EC99B61234D6}"/>
    <cellStyle name="40% - Accent4 7 2 3" xfId="12193" xr:uid="{BA9C59D4-95AD-4389-B368-A99BA2D7637F}"/>
    <cellStyle name="40% - Accent4 7 2 4" xfId="20628" xr:uid="{4C0D4395-B78C-4F1A-9B88-032A6A062105}"/>
    <cellStyle name="40% - Accent4 7 3" xfId="5816" xr:uid="{00000000-0005-0000-0000-000039060000}"/>
    <cellStyle name="40% - Accent4 7 3 2" xfId="14266" xr:uid="{C4F3EF7A-7611-4956-B273-00446BC4792C}"/>
    <cellStyle name="40% - Accent4 7 3 3" xfId="22700" xr:uid="{43104290-188B-4B98-BDCD-957C59E98E60}"/>
    <cellStyle name="40% - Accent4 7 4" xfId="10048" xr:uid="{F36FF1FD-4A0F-4A79-98E7-EB9D9F16BC96}"/>
    <cellStyle name="40% - Accent4 7 5" xfId="18483" xr:uid="{53244D14-8254-4AED-89FB-CB1BB99A7C8B}"/>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709DB914-B7C2-4EC0-82E8-B7C2C22CCDB5}"/>
    <cellStyle name="40% - Accent4 8 2 2 3" xfId="25258" xr:uid="{A6F29E11-5352-4BEC-B900-418555D8E31E}"/>
    <cellStyle name="40% - Accent4 8 2 3" xfId="12606" xr:uid="{3D6AC5F7-F59F-4E3D-B976-C97717065BD8}"/>
    <cellStyle name="40% - Accent4 8 2 4" xfId="21041" xr:uid="{68B938B5-9DE7-4C26-A81F-04ADC341E069}"/>
    <cellStyle name="40% - Accent4 8 3" xfId="6229" xr:uid="{00000000-0005-0000-0000-00003D060000}"/>
    <cellStyle name="40% - Accent4 8 3 2" xfId="14679" xr:uid="{B9399116-AA2E-4174-89B7-631DE169F18B}"/>
    <cellStyle name="40% - Accent4 8 3 3" xfId="23113" xr:uid="{D5DAB73D-21E8-422B-9DE9-EA8EDCD9B3EC}"/>
    <cellStyle name="40% - Accent4 8 4" xfId="10461" xr:uid="{E3C375D2-7632-4B24-8CE7-C234DC6434A0}"/>
    <cellStyle name="40% - Accent4 8 5" xfId="18896" xr:uid="{5660A8F0-DD9F-47D1-8C34-A3312FB592BA}"/>
    <cellStyle name="40% - Accent4 9" xfId="2336" xr:uid="{00000000-0005-0000-0000-00003E060000}"/>
    <cellStyle name="40% - Accent4 9 2" xfId="6642" xr:uid="{00000000-0005-0000-0000-00003F060000}"/>
    <cellStyle name="40% - Accent4 9 2 2" xfId="15092" xr:uid="{2905970F-6007-42F2-ACD3-1349F120F1AD}"/>
    <cellStyle name="40% - Accent4 9 2 3" xfId="23526" xr:uid="{61FEC1FB-6F21-4336-AC71-6B11BEE8B546}"/>
    <cellStyle name="40% - Accent4 9 3" xfId="10874" xr:uid="{5F880161-20A9-458E-8B0A-74EC13281317}"/>
    <cellStyle name="40% - Accent4 9 4" xfId="19309" xr:uid="{39B2BE2A-F239-4B18-90CF-72FD45D88E87}"/>
    <cellStyle name="40% - Accent5" xfId="81" builtinId="47" customBuiltin="1"/>
    <cellStyle name="40% - Accent5 10" xfId="4584" xr:uid="{00000000-0005-0000-0000-000041060000}"/>
    <cellStyle name="40% - Accent5 10 2" xfId="13034" xr:uid="{586C3361-0126-4439-97AA-A4F67B1AB0CE}"/>
    <cellStyle name="40% - Accent5 10 3" xfId="21468" xr:uid="{E5ED7E5B-AD53-48D1-BA02-D3EB1459060F}"/>
    <cellStyle name="40% - Accent5 11" xfId="8816" xr:uid="{D7BEC075-4B2F-4B54-8159-1261291E9B96}"/>
    <cellStyle name="40% - Accent5 12" xfId="17251" xr:uid="{C1D3E145-1396-4CA0-BB38-E7C1EB5E2B44}"/>
    <cellStyle name="40% - Accent5 2" xfId="82" xr:uid="{00000000-0005-0000-0000-000042060000}"/>
    <cellStyle name="40% - Accent5 2 10" xfId="8817" xr:uid="{C04C7800-1FF9-4DF9-8DF3-5410FE183446}"/>
    <cellStyle name="40% - Accent5 2 11" xfId="17252" xr:uid="{2A982BAA-89B5-4B9B-A75A-409700506914}"/>
    <cellStyle name="40% - Accent5 2 2" xfId="83" xr:uid="{00000000-0005-0000-0000-000043060000}"/>
    <cellStyle name="40% - Accent5 2 2 10" xfId="17253" xr:uid="{35222CEB-4E5C-4B42-B3F8-6D26F923C538}"/>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33AA69CD-B6EC-4F03-B3E7-4A4C674FA235}"/>
    <cellStyle name="40% - Accent5 2 2 2 2 2 2 3" xfId="24030" xr:uid="{D88FE34E-9269-4D76-A0CE-3E58B8EB826F}"/>
    <cellStyle name="40% - Accent5 2 2 2 2 2 3" xfId="11378" xr:uid="{4658E087-2B91-434D-A9ED-1DEE459A4EB7}"/>
    <cellStyle name="40% - Accent5 2 2 2 2 2 4" xfId="19813" xr:uid="{99A8FBCE-A5DB-40CD-BCBE-ADC2ACD39F84}"/>
    <cellStyle name="40% - Accent5 2 2 2 2 3" xfId="5001" xr:uid="{00000000-0005-0000-0000-000048060000}"/>
    <cellStyle name="40% - Accent5 2 2 2 2 3 2" xfId="13451" xr:uid="{E6A620D8-4FD2-46FA-A5D5-2DA757D1749D}"/>
    <cellStyle name="40% - Accent5 2 2 2 2 3 3" xfId="21885" xr:uid="{27C0539C-EA52-40B6-9903-12FDAAD95A87}"/>
    <cellStyle name="40% - Accent5 2 2 2 2 4" xfId="9233" xr:uid="{D08B87BB-3C63-4AB7-8981-3E070953E67E}"/>
    <cellStyle name="40% - Accent5 2 2 2 2 5" xfId="17668" xr:uid="{1835A403-80C4-4D98-9699-9C84869DF46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04F99A1D-6AA9-4764-9472-437647215E86}"/>
    <cellStyle name="40% - Accent5 2 2 2 3 2 2 3" xfId="24443" xr:uid="{A76BC28F-E91B-4EEF-BC94-0291DFADD09B}"/>
    <cellStyle name="40% - Accent5 2 2 2 3 2 3" xfId="11791" xr:uid="{20795674-F3B5-4797-AADC-445FE3F23C5E}"/>
    <cellStyle name="40% - Accent5 2 2 2 3 2 4" xfId="20226" xr:uid="{39C125BC-F85C-454D-B6A0-7192D1A40723}"/>
    <cellStyle name="40% - Accent5 2 2 2 3 3" xfId="5414" xr:uid="{00000000-0005-0000-0000-00004C060000}"/>
    <cellStyle name="40% - Accent5 2 2 2 3 3 2" xfId="13864" xr:uid="{BD5D99C0-7026-427F-8627-4F16A44A95C5}"/>
    <cellStyle name="40% - Accent5 2 2 2 3 3 3" xfId="22298" xr:uid="{DA4701DA-979A-491B-81FE-A101C7A6699D}"/>
    <cellStyle name="40% - Accent5 2 2 2 3 4" xfId="9646" xr:uid="{679C3501-6A40-42B3-A316-8B2C8C004387}"/>
    <cellStyle name="40% - Accent5 2 2 2 3 5" xfId="18081" xr:uid="{CB2DB62E-30F5-47FA-AF3A-183A47E1C7F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F9C69B3D-4B93-442C-B370-870F5D389CC9}"/>
    <cellStyle name="40% - Accent5 2 2 2 4 2 2 3" xfId="24856" xr:uid="{DA852B94-4DA8-4C0E-87B6-792A228EE5A7}"/>
    <cellStyle name="40% - Accent5 2 2 2 4 2 3" xfId="12204" xr:uid="{964BEF29-77F6-4C7A-899E-C86AF7346E70}"/>
    <cellStyle name="40% - Accent5 2 2 2 4 2 4" xfId="20639" xr:uid="{33B602BD-3EAC-4521-B6BB-CBAEF5ECA331}"/>
    <cellStyle name="40% - Accent5 2 2 2 4 3" xfId="5827" xr:uid="{00000000-0005-0000-0000-000050060000}"/>
    <cellStyle name="40% - Accent5 2 2 2 4 3 2" xfId="14277" xr:uid="{31AF5D33-F9F2-4D9B-9BA6-9F1425978189}"/>
    <cellStyle name="40% - Accent5 2 2 2 4 3 3" xfId="22711" xr:uid="{BD69E585-9D2F-4DBA-B631-2518B93DB1F0}"/>
    <cellStyle name="40% - Accent5 2 2 2 4 4" xfId="10059" xr:uid="{DC474AF6-8BD5-4B74-AF39-5D663D6E7D49}"/>
    <cellStyle name="40% - Accent5 2 2 2 4 5" xfId="18494" xr:uid="{EF1CFA08-3D43-46FE-854D-DBC3F9D1C914}"/>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20E1FBBC-DEBA-4031-9CBF-455276D3FF6A}"/>
    <cellStyle name="40% - Accent5 2 2 2 5 2 2 3" xfId="25269" xr:uid="{B98CD4C6-7C2F-486C-A81D-099BF486F6C7}"/>
    <cellStyle name="40% - Accent5 2 2 2 5 2 3" xfId="12617" xr:uid="{328B66F5-ACF9-4472-81AF-9ADADAEC3BDA}"/>
    <cellStyle name="40% - Accent5 2 2 2 5 2 4" xfId="21052" xr:uid="{D2D77517-113E-4EE7-A6C2-6537C8E4D5EC}"/>
    <cellStyle name="40% - Accent5 2 2 2 5 3" xfId="6240" xr:uid="{00000000-0005-0000-0000-000054060000}"/>
    <cellStyle name="40% - Accent5 2 2 2 5 3 2" xfId="14690" xr:uid="{8CA902FE-A6A4-4086-946B-358C1D4E67F3}"/>
    <cellStyle name="40% - Accent5 2 2 2 5 3 3" xfId="23124" xr:uid="{7579284A-2E93-47AC-A567-46DC31AA2937}"/>
    <cellStyle name="40% - Accent5 2 2 2 5 4" xfId="10472" xr:uid="{DAA750CB-8B2C-4B01-9C69-28D7B05B01FF}"/>
    <cellStyle name="40% - Accent5 2 2 2 5 5" xfId="18907" xr:uid="{13EF4622-61B8-48C8-BF53-9753DF6488EF}"/>
    <cellStyle name="40% - Accent5 2 2 2 6" xfId="2347" xr:uid="{00000000-0005-0000-0000-000055060000}"/>
    <cellStyle name="40% - Accent5 2 2 2 6 2" xfId="6653" xr:uid="{00000000-0005-0000-0000-000056060000}"/>
    <cellStyle name="40% - Accent5 2 2 2 6 2 2" xfId="15103" xr:uid="{F834878B-CE3D-4AE2-87BC-4B72F841F516}"/>
    <cellStyle name="40% - Accent5 2 2 2 6 2 3" xfId="23537" xr:uid="{7120DA02-849F-49A6-A284-4737C17DDC1C}"/>
    <cellStyle name="40% - Accent5 2 2 2 6 3" xfId="10885" xr:uid="{28844356-DB01-4D6E-9A68-E623B1B6757D}"/>
    <cellStyle name="40% - Accent5 2 2 2 6 4" xfId="19320" xr:uid="{36468803-8A78-45C8-B909-E0862847C84A}"/>
    <cellStyle name="40% - Accent5 2 2 2 7" xfId="4587" xr:uid="{00000000-0005-0000-0000-000057060000}"/>
    <cellStyle name="40% - Accent5 2 2 2 7 2" xfId="13037" xr:uid="{D6A82AFA-B26A-4C44-A954-5477AB9C5262}"/>
    <cellStyle name="40% - Accent5 2 2 2 7 3" xfId="21471" xr:uid="{22B8BAF9-C3BF-4E19-9BC6-B08B828E169F}"/>
    <cellStyle name="40% - Accent5 2 2 2 8" xfId="8819" xr:uid="{CE92356D-437E-48BD-9EFA-E58EFFCAF19D}"/>
    <cellStyle name="40% - Accent5 2 2 2 9" xfId="17254" xr:uid="{2FC3CD52-5415-44A0-A890-E68919368CC0}"/>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42FB85BE-13DD-416F-953C-11F5364978D5}"/>
    <cellStyle name="40% - Accent5 2 2 3 2 2 3" xfId="24029" xr:uid="{9C2F4969-16DB-4EBB-ADA8-FDA06BA9602B}"/>
    <cellStyle name="40% - Accent5 2 2 3 2 3" xfId="11377" xr:uid="{A765A085-88BD-4F7D-A070-9017B56D8B09}"/>
    <cellStyle name="40% - Accent5 2 2 3 2 4" xfId="19812" xr:uid="{B0C31457-FA1F-4774-973D-A38C9B63AA59}"/>
    <cellStyle name="40% - Accent5 2 2 3 3" xfId="5000" xr:uid="{00000000-0005-0000-0000-00005B060000}"/>
    <cellStyle name="40% - Accent5 2 2 3 3 2" xfId="13450" xr:uid="{A63F8CD2-3FBA-4DC5-9D2E-3A8B881BF389}"/>
    <cellStyle name="40% - Accent5 2 2 3 3 3" xfId="21884" xr:uid="{1A3949CE-4A60-49C0-B1C3-D728E47B93E1}"/>
    <cellStyle name="40% - Accent5 2 2 3 4" xfId="9232" xr:uid="{2E8D8277-A578-40B9-B3C5-890C4DB4E598}"/>
    <cellStyle name="40% - Accent5 2 2 3 5" xfId="17667" xr:uid="{495FC8AC-6EC6-4CDB-8D22-D62F6F9317E8}"/>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F31C9C89-A7C4-423E-92F9-3DEA97BC0806}"/>
    <cellStyle name="40% - Accent5 2 2 4 2 2 3" xfId="24442" xr:uid="{CA0C866F-D6EB-4287-86B5-5DE8DBBC59D3}"/>
    <cellStyle name="40% - Accent5 2 2 4 2 3" xfId="11790" xr:uid="{2EFDF4FF-DA73-4030-B18E-44E7FF3383AB}"/>
    <cellStyle name="40% - Accent5 2 2 4 2 4" xfId="20225" xr:uid="{F959475A-A972-41C1-9F54-3DC65F76EB39}"/>
    <cellStyle name="40% - Accent5 2 2 4 3" xfId="5413" xr:uid="{00000000-0005-0000-0000-00005F060000}"/>
    <cellStyle name="40% - Accent5 2 2 4 3 2" xfId="13863" xr:uid="{8DBEED21-2613-4886-841D-26EE56625948}"/>
    <cellStyle name="40% - Accent5 2 2 4 3 3" xfId="22297" xr:uid="{B835FD0E-044D-45C6-9B6B-91BA20113ED9}"/>
    <cellStyle name="40% - Accent5 2 2 4 4" xfId="9645" xr:uid="{49F5D8A1-9E7B-4E11-85B6-A290DFDF0AE9}"/>
    <cellStyle name="40% - Accent5 2 2 4 5" xfId="18080" xr:uid="{1683D807-4F18-41C6-8477-9A40E9A187B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9F645265-65BE-4B80-AC44-2D1F2410B4C6}"/>
    <cellStyle name="40% - Accent5 2 2 5 2 2 3" xfId="24855" xr:uid="{B81C61FE-ECA0-4EAC-8E90-4E4F59E8ACD6}"/>
    <cellStyle name="40% - Accent5 2 2 5 2 3" xfId="12203" xr:uid="{33639220-59DD-4A19-A09B-2CF3B5E1D16A}"/>
    <cellStyle name="40% - Accent5 2 2 5 2 4" xfId="20638" xr:uid="{883F4108-9A32-40BD-9F25-1833371AAA4A}"/>
    <cellStyle name="40% - Accent5 2 2 5 3" xfId="5826" xr:uid="{00000000-0005-0000-0000-000063060000}"/>
    <cellStyle name="40% - Accent5 2 2 5 3 2" xfId="14276" xr:uid="{F9941D20-5DEF-4CEB-89CE-CAE005DBA6E0}"/>
    <cellStyle name="40% - Accent5 2 2 5 3 3" xfId="22710" xr:uid="{BD8215FA-C758-4D6D-9180-24331F261B82}"/>
    <cellStyle name="40% - Accent5 2 2 5 4" xfId="10058" xr:uid="{589D3E11-1585-4B4B-AEF7-6096EFB88D76}"/>
    <cellStyle name="40% - Accent5 2 2 5 5" xfId="18493" xr:uid="{A936748C-6441-4288-B415-92AABDAD6C8F}"/>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CAF44B77-F89F-4DA1-8D40-F3D3E32FB5B2}"/>
    <cellStyle name="40% - Accent5 2 2 6 2 2 3" xfId="25268" xr:uid="{44EFB254-306B-4200-803C-6891588641BF}"/>
    <cellStyle name="40% - Accent5 2 2 6 2 3" xfId="12616" xr:uid="{7F6D5CA1-6D16-450C-A8C2-232121C2E1B4}"/>
    <cellStyle name="40% - Accent5 2 2 6 2 4" xfId="21051" xr:uid="{53561475-955F-4E49-8D1B-58305FE85D97}"/>
    <cellStyle name="40% - Accent5 2 2 6 3" xfId="6239" xr:uid="{00000000-0005-0000-0000-000067060000}"/>
    <cellStyle name="40% - Accent5 2 2 6 3 2" xfId="14689" xr:uid="{F46A1089-21B8-443B-B541-1510B539A312}"/>
    <cellStyle name="40% - Accent5 2 2 6 3 3" xfId="23123" xr:uid="{CA8521A7-9A2D-4E26-B79A-1D5F5D99E96F}"/>
    <cellStyle name="40% - Accent5 2 2 6 4" xfId="10471" xr:uid="{4EEDDCDD-5FCA-4592-9C1E-60E3FD045EE8}"/>
    <cellStyle name="40% - Accent5 2 2 6 5" xfId="18906" xr:uid="{0887523B-2302-4838-883B-4F9D54DDFC07}"/>
    <cellStyle name="40% - Accent5 2 2 7" xfId="2346" xr:uid="{00000000-0005-0000-0000-000068060000}"/>
    <cellStyle name="40% - Accent5 2 2 7 2" xfId="6652" xr:uid="{00000000-0005-0000-0000-000069060000}"/>
    <cellStyle name="40% - Accent5 2 2 7 2 2" xfId="15102" xr:uid="{A76EEF2A-561E-4829-BED1-755DEDE3132A}"/>
    <cellStyle name="40% - Accent5 2 2 7 2 3" xfId="23536" xr:uid="{7B8EF8E8-7FAB-4B14-8AF1-D843793F4B43}"/>
    <cellStyle name="40% - Accent5 2 2 7 3" xfId="10884" xr:uid="{F7904DFF-9D07-4F54-BC57-E222B3D459FF}"/>
    <cellStyle name="40% - Accent5 2 2 7 4" xfId="19319" xr:uid="{0B041A89-1591-4D87-ADB2-2948D9DAAEA6}"/>
    <cellStyle name="40% - Accent5 2 2 8" xfId="4586" xr:uid="{00000000-0005-0000-0000-00006A060000}"/>
    <cellStyle name="40% - Accent5 2 2 8 2" xfId="13036" xr:uid="{C31FB42D-4841-465A-8730-982F388C0E70}"/>
    <cellStyle name="40% - Accent5 2 2 8 3" xfId="21470" xr:uid="{A75C7459-E6D8-4D9D-82A7-DEF7899846B1}"/>
    <cellStyle name="40% - Accent5 2 2 9" xfId="8818" xr:uid="{539058D8-983D-47AA-92AC-1C7DDAB8C64C}"/>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D59CB99E-3ABD-4B2A-BC06-06431BCDD03C}"/>
    <cellStyle name="40% - Accent5 2 3 2 2 2 3" xfId="24031" xr:uid="{5323F912-6F80-4D3A-B527-E85FEEC5EF88}"/>
    <cellStyle name="40% - Accent5 2 3 2 2 3" xfId="11379" xr:uid="{3C70747A-44A8-456C-8B32-0A25A7A19606}"/>
    <cellStyle name="40% - Accent5 2 3 2 2 4" xfId="19814" xr:uid="{5A4DF4B7-41AB-4BDD-A27A-AD8573ACBA9D}"/>
    <cellStyle name="40% - Accent5 2 3 2 3" xfId="5002" xr:uid="{00000000-0005-0000-0000-00006F060000}"/>
    <cellStyle name="40% - Accent5 2 3 2 3 2" xfId="13452" xr:uid="{60A85AB6-1815-4BB3-8CB1-71780EE9A4CE}"/>
    <cellStyle name="40% - Accent5 2 3 2 3 3" xfId="21886" xr:uid="{30452F87-FDE0-41A1-98AC-1200E09CF49F}"/>
    <cellStyle name="40% - Accent5 2 3 2 4" xfId="9234" xr:uid="{B6B72CEB-0509-4ABA-9693-2E64CCF2F8D5}"/>
    <cellStyle name="40% - Accent5 2 3 2 5" xfId="17669" xr:uid="{9CAF9130-4BD4-463D-ABF8-EFEE8C2E1AC1}"/>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4ED25F8C-185E-4507-9B55-7FC940BEBE60}"/>
    <cellStyle name="40% - Accent5 2 3 3 2 2 3" xfId="24444" xr:uid="{BA95902D-02F9-4062-8AB7-FBDDE55F00BB}"/>
    <cellStyle name="40% - Accent5 2 3 3 2 3" xfId="11792" xr:uid="{D4B036FD-A4FF-44D7-9B75-56480556E345}"/>
    <cellStyle name="40% - Accent5 2 3 3 2 4" xfId="20227" xr:uid="{CB526C85-375D-45B2-9EF0-B431BB252DCB}"/>
    <cellStyle name="40% - Accent5 2 3 3 3" xfId="5415" xr:uid="{00000000-0005-0000-0000-000073060000}"/>
    <cellStyle name="40% - Accent5 2 3 3 3 2" xfId="13865" xr:uid="{6F3517A0-4CF8-46ED-A8ED-3D82E3CA732E}"/>
    <cellStyle name="40% - Accent5 2 3 3 3 3" xfId="22299" xr:uid="{C7B266C1-61DB-44F3-AB3A-A5FE040A5601}"/>
    <cellStyle name="40% - Accent5 2 3 3 4" xfId="9647" xr:uid="{96D681C3-903A-4F39-AA7A-4A96AA8FEE6D}"/>
    <cellStyle name="40% - Accent5 2 3 3 5" xfId="18082" xr:uid="{255FC06C-5A01-42A1-96F8-8F1A06BBC8A1}"/>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8B8ED09A-E298-4601-B748-CF47FB7C375E}"/>
    <cellStyle name="40% - Accent5 2 3 4 2 2 3" xfId="24857" xr:uid="{04509A53-5972-40A5-A423-055074F5BECA}"/>
    <cellStyle name="40% - Accent5 2 3 4 2 3" xfId="12205" xr:uid="{A622A03D-1C2E-463F-96D3-947DABF2B413}"/>
    <cellStyle name="40% - Accent5 2 3 4 2 4" xfId="20640" xr:uid="{7C9663C1-E0E4-4A43-A628-BD3D9795A2D1}"/>
    <cellStyle name="40% - Accent5 2 3 4 3" xfId="5828" xr:uid="{00000000-0005-0000-0000-000077060000}"/>
    <cellStyle name="40% - Accent5 2 3 4 3 2" xfId="14278" xr:uid="{B9A7EAA5-9031-43F2-973D-0CD5403CA0BA}"/>
    <cellStyle name="40% - Accent5 2 3 4 3 3" xfId="22712" xr:uid="{80EF74AC-2347-4898-82FC-7225F02E6607}"/>
    <cellStyle name="40% - Accent5 2 3 4 4" xfId="10060" xr:uid="{39FADF70-5CB0-4B3D-B38D-59D15858CED7}"/>
    <cellStyle name="40% - Accent5 2 3 4 5" xfId="18495" xr:uid="{B12C4FB4-5C47-486E-9A48-65715CB02375}"/>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8C16D922-31F7-4B89-B849-BD5A766A5957}"/>
    <cellStyle name="40% - Accent5 2 3 5 2 2 3" xfId="25270" xr:uid="{DDE8D93E-10C1-4820-B8EF-1DAEFD16A10B}"/>
    <cellStyle name="40% - Accent5 2 3 5 2 3" xfId="12618" xr:uid="{3CA436F6-D7EB-477C-B98B-E83843235F89}"/>
    <cellStyle name="40% - Accent5 2 3 5 2 4" xfId="21053" xr:uid="{CDA1D7AB-C7C1-41DF-B6D6-C9CD2F7D3E41}"/>
    <cellStyle name="40% - Accent5 2 3 5 3" xfId="6241" xr:uid="{00000000-0005-0000-0000-00007B060000}"/>
    <cellStyle name="40% - Accent5 2 3 5 3 2" xfId="14691" xr:uid="{EF4BC23C-FC51-430B-839F-237A2F26D0BC}"/>
    <cellStyle name="40% - Accent5 2 3 5 3 3" xfId="23125" xr:uid="{33C8A5A5-3E1E-4FCC-9A4A-2F67CDE20E0A}"/>
    <cellStyle name="40% - Accent5 2 3 5 4" xfId="10473" xr:uid="{81D920C2-BAD0-4F42-A20B-DAB2CA79E214}"/>
    <cellStyle name="40% - Accent5 2 3 5 5" xfId="18908" xr:uid="{9AECAA31-E38E-403D-B5D9-8FB9D5E8F84E}"/>
    <cellStyle name="40% - Accent5 2 3 6" xfId="2348" xr:uid="{00000000-0005-0000-0000-00007C060000}"/>
    <cellStyle name="40% - Accent5 2 3 6 2" xfId="6654" xr:uid="{00000000-0005-0000-0000-00007D060000}"/>
    <cellStyle name="40% - Accent5 2 3 6 2 2" xfId="15104" xr:uid="{227113D3-C87D-4AB4-92ED-0E8BC653A31A}"/>
    <cellStyle name="40% - Accent5 2 3 6 2 3" xfId="23538" xr:uid="{D57CB31D-23BC-4FBC-B2ED-166B0435265F}"/>
    <cellStyle name="40% - Accent5 2 3 6 3" xfId="10886" xr:uid="{4F990EA4-6C78-4395-B0EC-7AD688E2C464}"/>
    <cellStyle name="40% - Accent5 2 3 6 4" xfId="19321" xr:uid="{90B45A09-22F6-45BC-8B52-72147B7522EC}"/>
    <cellStyle name="40% - Accent5 2 3 7" xfId="4588" xr:uid="{00000000-0005-0000-0000-00007E060000}"/>
    <cellStyle name="40% - Accent5 2 3 7 2" xfId="13038" xr:uid="{44E9BB7C-6C2E-4423-A9B1-3B8A94D2C73E}"/>
    <cellStyle name="40% - Accent5 2 3 7 3" xfId="21472" xr:uid="{F781E0E4-DC9A-4053-84EF-F565C631C3E9}"/>
    <cellStyle name="40% - Accent5 2 3 8" xfId="8820" xr:uid="{AB34CC08-1F7B-4D8C-B494-793919989B1C}"/>
    <cellStyle name="40% - Accent5 2 3 9" xfId="17255" xr:uid="{4F5EA06D-BA19-4FCB-9535-2ECEB50E4C4C}"/>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ADC74BDB-5C7F-46B3-A83B-F3C07A33B865}"/>
    <cellStyle name="40% - Accent5 2 4 2 2 3" xfId="24028" xr:uid="{6852B0D0-5E62-44BB-91C6-E541254E57D4}"/>
    <cellStyle name="40% - Accent5 2 4 2 3" xfId="11376" xr:uid="{D0305B77-51BD-4AED-887A-FCEFD5BDA8AF}"/>
    <cellStyle name="40% - Accent5 2 4 2 4" xfId="19811" xr:uid="{143D3B72-5583-41F0-B328-F5B882F4E3D6}"/>
    <cellStyle name="40% - Accent5 2 4 3" xfId="4999" xr:uid="{00000000-0005-0000-0000-000082060000}"/>
    <cellStyle name="40% - Accent5 2 4 3 2" xfId="13449" xr:uid="{1954D75A-51BE-484F-9E34-2DFBF3A67133}"/>
    <cellStyle name="40% - Accent5 2 4 3 3" xfId="21883" xr:uid="{E6D9F8F2-3E36-4943-9B94-67658A265B46}"/>
    <cellStyle name="40% - Accent5 2 4 4" xfId="9231" xr:uid="{04EFD907-9572-47F0-B0A7-EC3E6DC31233}"/>
    <cellStyle name="40% - Accent5 2 4 5" xfId="17666" xr:uid="{4BE21562-4878-45FC-9E32-F5A91E9B1C3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F93A09F9-BCD9-4F21-B794-B9384C6EFE46}"/>
    <cellStyle name="40% - Accent5 2 5 2 2 3" xfId="24441" xr:uid="{03DE79E5-D71B-48C0-8E23-6A883AEA5425}"/>
    <cellStyle name="40% - Accent5 2 5 2 3" xfId="11789" xr:uid="{70EB81DB-05EF-4D7E-8B1C-2C1811060840}"/>
    <cellStyle name="40% - Accent5 2 5 2 4" xfId="20224" xr:uid="{544CA614-0456-49AB-AF08-7B94C150A233}"/>
    <cellStyle name="40% - Accent5 2 5 3" xfId="5412" xr:uid="{00000000-0005-0000-0000-000086060000}"/>
    <cellStyle name="40% - Accent5 2 5 3 2" xfId="13862" xr:uid="{1E037243-9639-4638-9739-43F34E57CEFB}"/>
    <cellStyle name="40% - Accent5 2 5 3 3" xfId="22296" xr:uid="{2C0EB227-30A2-4A39-9E11-A9A630DCF18E}"/>
    <cellStyle name="40% - Accent5 2 5 4" xfId="9644" xr:uid="{9BB2737D-4B3F-4875-B5C7-C1BFE648DBFF}"/>
    <cellStyle name="40% - Accent5 2 5 5" xfId="18079" xr:uid="{3085ADC5-FB33-4A6E-B92D-F9838110BEFF}"/>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07962F3D-EAA7-470E-9F3D-34903452913D}"/>
    <cellStyle name="40% - Accent5 2 6 2 2 3" xfId="24854" xr:uid="{32E4E97C-D117-41FF-A30C-758791BE4541}"/>
    <cellStyle name="40% - Accent5 2 6 2 3" xfId="12202" xr:uid="{51F0CC31-B3BF-4091-B400-626C43904856}"/>
    <cellStyle name="40% - Accent5 2 6 2 4" xfId="20637" xr:uid="{782C3A56-8AE3-4515-BC08-CF05169F1FEC}"/>
    <cellStyle name="40% - Accent5 2 6 3" xfId="5825" xr:uid="{00000000-0005-0000-0000-00008A060000}"/>
    <cellStyle name="40% - Accent5 2 6 3 2" xfId="14275" xr:uid="{0FC15E28-7A47-415A-8FFD-C2FCD585ADCC}"/>
    <cellStyle name="40% - Accent5 2 6 3 3" xfId="22709" xr:uid="{AAEF20BE-C6C8-416E-BB79-65FD15E0F726}"/>
    <cellStyle name="40% - Accent5 2 6 4" xfId="10057" xr:uid="{FCAE5624-891A-409E-B4C8-6F5CC6EA2F0C}"/>
    <cellStyle name="40% - Accent5 2 6 5" xfId="18492" xr:uid="{C64E1224-371D-4D29-BAAF-68D558E2FFCA}"/>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7063E8A4-F3CF-45CF-9A98-4B06D2FEF5C7}"/>
    <cellStyle name="40% - Accent5 2 7 2 2 3" xfId="25267" xr:uid="{FB648239-4776-4E8D-9090-D3BB15E8EE1F}"/>
    <cellStyle name="40% - Accent5 2 7 2 3" xfId="12615" xr:uid="{394D6B75-F803-4FDC-9A97-9E1BB32764DA}"/>
    <cellStyle name="40% - Accent5 2 7 2 4" xfId="21050" xr:uid="{BF1545A5-B859-43AE-A1B4-CD378974F529}"/>
    <cellStyle name="40% - Accent5 2 7 3" xfId="6238" xr:uid="{00000000-0005-0000-0000-00008E060000}"/>
    <cellStyle name="40% - Accent5 2 7 3 2" xfId="14688" xr:uid="{DF24D611-08BA-45EF-BB90-B69DC0000CE9}"/>
    <cellStyle name="40% - Accent5 2 7 3 3" xfId="23122" xr:uid="{8F42316B-4772-4FF3-9935-4643802B0CAB}"/>
    <cellStyle name="40% - Accent5 2 7 4" xfId="10470" xr:uid="{40A4AA4B-2ED2-4595-A194-32DA26636D11}"/>
    <cellStyle name="40% - Accent5 2 7 5" xfId="18905" xr:uid="{F5FA3850-1CCB-4626-B871-60A1D272F606}"/>
    <cellStyle name="40% - Accent5 2 8" xfId="2345" xr:uid="{00000000-0005-0000-0000-00008F060000}"/>
    <cellStyle name="40% - Accent5 2 8 2" xfId="6651" xr:uid="{00000000-0005-0000-0000-000090060000}"/>
    <cellStyle name="40% - Accent5 2 8 2 2" xfId="15101" xr:uid="{52D17DCE-26BC-4CDE-91F5-4ED68C53AC39}"/>
    <cellStyle name="40% - Accent5 2 8 2 3" xfId="23535" xr:uid="{475B5963-FD8B-4D08-B7AF-A7001130CEC5}"/>
    <cellStyle name="40% - Accent5 2 8 3" xfId="10883" xr:uid="{B4F0236A-6E9A-407D-BA73-24880F5BC425}"/>
    <cellStyle name="40% - Accent5 2 8 4" xfId="19318" xr:uid="{5C147D67-E3D5-4E87-88D0-A013AFA3DCE2}"/>
    <cellStyle name="40% - Accent5 2 9" xfId="4585" xr:uid="{00000000-0005-0000-0000-000091060000}"/>
    <cellStyle name="40% - Accent5 2 9 2" xfId="13035" xr:uid="{A1BD03E7-2003-4F71-A934-745D92ED1667}"/>
    <cellStyle name="40% - Accent5 2 9 3" xfId="21469" xr:uid="{1981F9EA-5FFC-4CD7-8D47-EC60C6997853}"/>
    <cellStyle name="40% - Accent5 3" xfId="86" xr:uid="{00000000-0005-0000-0000-000092060000}"/>
    <cellStyle name="40% - Accent5 3 10" xfId="17256" xr:uid="{E266ECA8-72BC-49CE-A5E1-25D8533FB358}"/>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50097D63-9038-4BB9-98F3-A0E58AEFCFEB}"/>
    <cellStyle name="40% - Accent5 3 2 2 2 2 3" xfId="24033" xr:uid="{4BB5CFF1-80F0-42C1-B580-3A7A2DDAD714}"/>
    <cellStyle name="40% - Accent5 3 2 2 2 3" xfId="11381" xr:uid="{F47DAB86-ABF3-496E-899D-6F624DD8AAD7}"/>
    <cellStyle name="40% - Accent5 3 2 2 2 4" xfId="19816" xr:uid="{6308033A-74C1-447B-ACF2-72B45FAF67F6}"/>
    <cellStyle name="40% - Accent5 3 2 2 3" xfId="5004" xr:uid="{00000000-0005-0000-0000-000097060000}"/>
    <cellStyle name="40% - Accent5 3 2 2 3 2" xfId="13454" xr:uid="{39DE86B1-F11F-42EE-A346-61FC609A16DF}"/>
    <cellStyle name="40% - Accent5 3 2 2 3 3" xfId="21888" xr:uid="{37EB42EC-1B39-433F-92B8-6C6B17D5E4A9}"/>
    <cellStyle name="40% - Accent5 3 2 2 4" xfId="9236" xr:uid="{54946692-C017-49A6-A8B1-682DBF605BAA}"/>
    <cellStyle name="40% - Accent5 3 2 2 5" xfId="17671" xr:uid="{DC5C1B5C-DFDF-4104-82A7-60149E33E12E}"/>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5BBAC4E7-39AF-4DD3-9A5A-42673DA90FEA}"/>
    <cellStyle name="40% - Accent5 3 2 3 2 2 3" xfId="24446" xr:uid="{4D3DDF77-0BE1-43A4-A4E0-67355271936D}"/>
    <cellStyle name="40% - Accent5 3 2 3 2 3" xfId="11794" xr:uid="{199397BD-DB84-46F9-AD1C-B91CF3292F81}"/>
    <cellStyle name="40% - Accent5 3 2 3 2 4" xfId="20229" xr:uid="{32E1A196-5CAF-4E14-8F45-774ECECCF1D7}"/>
    <cellStyle name="40% - Accent5 3 2 3 3" xfId="5417" xr:uid="{00000000-0005-0000-0000-00009B060000}"/>
    <cellStyle name="40% - Accent5 3 2 3 3 2" xfId="13867" xr:uid="{086E3C59-0A2A-4EA8-9BE3-4AD5BECDFDB1}"/>
    <cellStyle name="40% - Accent5 3 2 3 3 3" xfId="22301" xr:uid="{DA6BA133-99F3-4782-8458-F33F0FA489DC}"/>
    <cellStyle name="40% - Accent5 3 2 3 4" xfId="9649" xr:uid="{592A6E9A-8343-4F30-9F3E-E36B07D2BA7E}"/>
    <cellStyle name="40% - Accent5 3 2 3 5" xfId="18084" xr:uid="{FB26248B-A3E6-44FC-8A57-704C1139C2D6}"/>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7C73C5B4-6702-4107-8414-4E72F7B3BBC3}"/>
    <cellStyle name="40% - Accent5 3 2 4 2 2 3" xfId="24859" xr:uid="{AF78C676-86D2-4D05-B737-09BB0C439509}"/>
    <cellStyle name="40% - Accent5 3 2 4 2 3" xfId="12207" xr:uid="{40D907D5-4380-4C1F-9D61-A0FEE8F48998}"/>
    <cellStyle name="40% - Accent5 3 2 4 2 4" xfId="20642" xr:uid="{F828D085-6FA2-47E6-9D05-90365C20A5E8}"/>
    <cellStyle name="40% - Accent5 3 2 4 3" xfId="5830" xr:uid="{00000000-0005-0000-0000-00009F060000}"/>
    <cellStyle name="40% - Accent5 3 2 4 3 2" xfId="14280" xr:uid="{9D2E9396-3BE3-49E0-B4D2-674B9E5CA42D}"/>
    <cellStyle name="40% - Accent5 3 2 4 3 3" xfId="22714" xr:uid="{44FF40B3-FF06-4E14-B227-65F11E09953A}"/>
    <cellStyle name="40% - Accent5 3 2 4 4" xfId="10062" xr:uid="{5DEC3146-1269-4EEF-BA7D-7DEF526787A9}"/>
    <cellStyle name="40% - Accent5 3 2 4 5" xfId="18497" xr:uid="{95CA7D22-7583-4EDC-B277-F3E36BF4DBDB}"/>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D69142D7-B026-4078-996F-1CAA8A3D213E}"/>
    <cellStyle name="40% - Accent5 3 2 5 2 2 3" xfId="25272" xr:uid="{CFF9C064-E3E9-434B-AB49-D81F694C6608}"/>
    <cellStyle name="40% - Accent5 3 2 5 2 3" xfId="12620" xr:uid="{028A688E-8002-4807-B65B-726C0D465C6D}"/>
    <cellStyle name="40% - Accent5 3 2 5 2 4" xfId="21055" xr:uid="{CA986FAD-1CA2-45A4-B141-79DCB968D199}"/>
    <cellStyle name="40% - Accent5 3 2 5 3" xfId="6243" xr:uid="{00000000-0005-0000-0000-0000A3060000}"/>
    <cellStyle name="40% - Accent5 3 2 5 3 2" xfId="14693" xr:uid="{DB6599FE-1353-4F93-9672-FE2C7932730C}"/>
    <cellStyle name="40% - Accent5 3 2 5 3 3" xfId="23127" xr:uid="{0CAD3279-E194-4E89-88A4-4137947DD268}"/>
    <cellStyle name="40% - Accent5 3 2 5 4" xfId="10475" xr:uid="{DA62F44A-90A3-414D-AAC6-C8AD869051D5}"/>
    <cellStyle name="40% - Accent5 3 2 5 5" xfId="18910" xr:uid="{0E1788BC-D7F0-43B9-96F8-EAF1A7C6D4B2}"/>
    <cellStyle name="40% - Accent5 3 2 6" xfId="2350" xr:uid="{00000000-0005-0000-0000-0000A4060000}"/>
    <cellStyle name="40% - Accent5 3 2 6 2" xfId="6656" xr:uid="{00000000-0005-0000-0000-0000A5060000}"/>
    <cellStyle name="40% - Accent5 3 2 6 2 2" xfId="15106" xr:uid="{3A2A94C5-075D-48FF-B6EC-7ED24393B94A}"/>
    <cellStyle name="40% - Accent5 3 2 6 2 3" xfId="23540" xr:uid="{C3201C99-AEF2-4F8C-812A-2F57CB97D3FF}"/>
    <cellStyle name="40% - Accent5 3 2 6 3" xfId="10888" xr:uid="{F2D40DFC-2EAB-424F-A2A1-BFD1C3E545BA}"/>
    <cellStyle name="40% - Accent5 3 2 6 4" xfId="19323" xr:uid="{AF451907-E658-44BD-A156-A990F6DBE9E7}"/>
    <cellStyle name="40% - Accent5 3 2 7" xfId="4590" xr:uid="{00000000-0005-0000-0000-0000A6060000}"/>
    <cellStyle name="40% - Accent5 3 2 7 2" xfId="13040" xr:uid="{537E13F4-9788-43A7-9091-3D0244A1A630}"/>
    <cellStyle name="40% - Accent5 3 2 7 3" xfId="21474" xr:uid="{79AB2A72-954E-4C32-BF17-ED5EA93AC389}"/>
    <cellStyle name="40% - Accent5 3 2 8" xfId="8822" xr:uid="{6B4AA504-CD9F-43DC-880F-2C1048F7487D}"/>
    <cellStyle name="40% - Accent5 3 2 9" xfId="17257" xr:uid="{78919DEE-08AF-4860-8AEA-E9697E11046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05ACE062-BD83-455A-A7B1-3B598F56CD31}"/>
    <cellStyle name="40% - Accent5 3 3 2 2 3" xfId="24032" xr:uid="{7A60A392-36DA-43E5-8256-E809C9F5F0F0}"/>
    <cellStyle name="40% - Accent5 3 3 2 3" xfId="11380" xr:uid="{10F5AA61-EA9C-4257-9644-3580BDF9B8EC}"/>
    <cellStyle name="40% - Accent5 3 3 2 4" xfId="19815" xr:uid="{7610C52E-37A1-4825-AEB5-A53938C382DF}"/>
    <cellStyle name="40% - Accent5 3 3 3" xfId="5003" xr:uid="{00000000-0005-0000-0000-0000AA060000}"/>
    <cellStyle name="40% - Accent5 3 3 3 2" xfId="13453" xr:uid="{E912449A-6BDC-45F3-A5CF-BBDD79722BD0}"/>
    <cellStyle name="40% - Accent5 3 3 3 3" xfId="21887" xr:uid="{92D1861C-0A92-47C7-B2D0-827581416D19}"/>
    <cellStyle name="40% - Accent5 3 3 4" xfId="9235" xr:uid="{539E609E-5F2B-450A-B72B-3A5D5317164B}"/>
    <cellStyle name="40% - Accent5 3 3 5" xfId="17670" xr:uid="{EE7DC223-3CC5-4ED6-AC1B-6C274D6366A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38A19BA3-AD14-4C70-9B00-464F88AB65DE}"/>
    <cellStyle name="40% - Accent5 3 4 2 2 3" xfId="24445" xr:uid="{1FB72D73-AC7F-45AA-B6B9-8E03B69C6ADA}"/>
    <cellStyle name="40% - Accent5 3 4 2 3" xfId="11793" xr:uid="{083082D4-0BB1-4D67-B923-BDEB3A196348}"/>
    <cellStyle name="40% - Accent5 3 4 2 4" xfId="20228" xr:uid="{FE6AFE04-059A-421A-929B-6D41C023C149}"/>
    <cellStyle name="40% - Accent5 3 4 3" xfId="5416" xr:uid="{00000000-0005-0000-0000-0000AE060000}"/>
    <cellStyle name="40% - Accent5 3 4 3 2" xfId="13866" xr:uid="{77A403C8-90F7-4004-BB95-B8FBAF91B6BA}"/>
    <cellStyle name="40% - Accent5 3 4 3 3" xfId="22300" xr:uid="{0517CECB-4084-48BE-AFB3-2EEBA020A231}"/>
    <cellStyle name="40% - Accent5 3 4 4" xfId="9648" xr:uid="{099E7BA3-231D-43FB-BC1E-62FCFA15B35E}"/>
    <cellStyle name="40% - Accent5 3 4 5" xfId="18083" xr:uid="{9C778072-F45D-4F41-A9CB-ED46CF475AD5}"/>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178582BD-2DF9-4561-AD0A-56E5D9F9B7B9}"/>
    <cellStyle name="40% - Accent5 3 5 2 2 3" xfId="24858" xr:uid="{77B3128E-81D9-49EA-B400-BC8CAA3D5F5B}"/>
    <cellStyle name="40% - Accent5 3 5 2 3" xfId="12206" xr:uid="{C0C66287-0789-471A-89B9-4CC4D09C9A99}"/>
    <cellStyle name="40% - Accent5 3 5 2 4" xfId="20641" xr:uid="{A44D6A49-0AEA-48CF-8DE4-FE98A5126E56}"/>
    <cellStyle name="40% - Accent5 3 5 3" xfId="5829" xr:uid="{00000000-0005-0000-0000-0000B2060000}"/>
    <cellStyle name="40% - Accent5 3 5 3 2" xfId="14279" xr:uid="{F1A90E1C-B105-409C-92E7-9D0B34691110}"/>
    <cellStyle name="40% - Accent5 3 5 3 3" xfId="22713" xr:uid="{1BC00135-91A6-457E-BCA7-443D53FE8FE6}"/>
    <cellStyle name="40% - Accent5 3 5 4" xfId="10061" xr:uid="{1DE43876-14D0-4545-965A-7CA6F31A0DAD}"/>
    <cellStyle name="40% - Accent5 3 5 5" xfId="18496" xr:uid="{E9A21A9B-2A18-4501-B7DF-5FECA3993DE6}"/>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AE6E40BA-A86D-46BB-86B4-9038B369155A}"/>
    <cellStyle name="40% - Accent5 3 6 2 2 3" xfId="25271" xr:uid="{C263DB6B-CB4A-4FF7-89D4-F25206FCCDF6}"/>
    <cellStyle name="40% - Accent5 3 6 2 3" xfId="12619" xr:uid="{D4B8588A-1102-46BF-AF0B-9D03E4CDB194}"/>
    <cellStyle name="40% - Accent5 3 6 2 4" xfId="21054" xr:uid="{53D8B039-A352-4B7A-BFBB-2B91F4ED9ABC}"/>
    <cellStyle name="40% - Accent5 3 6 3" xfId="6242" xr:uid="{00000000-0005-0000-0000-0000B6060000}"/>
    <cellStyle name="40% - Accent5 3 6 3 2" xfId="14692" xr:uid="{926DEBCC-8468-447B-843F-F1CAEF8792D2}"/>
    <cellStyle name="40% - Accent5 3 6 3 3" xfId="23126" xr:uid="{97AB374A-5522-4900-BEED-EBB2DE655EB0}"/>
    <cellStyle name="40% - Accent5 3 6 4" xfId="10474" xr:uid="{89DEA902-E4FE-43E6-9B41-C3438991C3BD}"/>
    <cellStyle name="40% - Accent5 3 6 5" xfId="18909" xr:uid="{51A77A24-E877-459B-8F8A-6A791422FEBD}"/>
    <cellStyle name="40% - Accent5 3 7" xfId="2349" xr:uid="{00000000-0005-0000-0000-0000B7060000}"/>
    <cellStyle name="40% - Accent5 3 7 2" xfId="6655" xr:uid="{00000000-0005-0000-0000-0000B8060000}"/>
    <cellStyle name="40% - Accent5 3 7 2 2" xfId="15105" xr:uid="{772842EC-4109-41CB-BAB6-4C5B040CF764}"/>
    <cellStyle name="40% - Accent5 3 7 2 3" xfId="23539" xr:uid="{4F7956BE-1712-488F-8847-61F6157D3AA5}"/>
    <cellStyle name="40% - Accent5 3 7 3" xfId="10887" xr:uid="{48845BF6-C9BC-45BF-A394-6B9CB9423DEF}"/>
    <cellStyle name="40% - Accent5 3 7 4" xfId="19322" xr:uid="{DA99388A-81F9-44C0-BB0E-6589418197DB}"/>
    <cellStyle name="40% - Accent5 3 8" xfId="4589" xr:uid="{00000000-0005-0000-0000-0000B9060000}"/>
    <cellStyle name="40% - Accent5 3 8 2" xfId="13039" xr:uid="{F4431E67-CCEA-4E67-914B-D2FB56ADAAE4}"/>
    <cellStyle name="40% - Accent5 3 8 3" xfId="21473" xr:uid="{5F34E963-F938-4207-A323-3850181FFA8B}"/>
    <cellStyle name="40% - Accent5 3 9" xfId="8821" xr:uid="{95D00AA8-F40C-46B6-AD29-A71FC8A00958}"/>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DE852496-1B7C-4786-8E0A-438EDCD2EAF6}"/>
    <cellStyle name="40% - Accent5 4 2 2 2 3" xfId="24034" xr:uid="{35F725B4-2A73-4E57-A031-4F0D48D19CB5}"/>
    <cellStyle name="40% - Accent5 4 2 2 3" xfId="11382" xr:uid="{886FB92F-CA0C-4868-895F-A19FC31B6C0B}"/>
    <cellStyle name="40% - Accent5 4 2 2 4" xfId="19817" xr:uid="{5213B629-FAD6-4F96-AB32-0664EA41105C}"/>
    <cellStyle name="40% - Accent5 4 2 3" xfId="5005" xr:uid="{00000000-0005-0000-0000-0000BE060000}"/>
    <cellStyle name="40% - Accent5 4 2 3 2" xfId="13455" xr:uid="{E949F2D4-2DF5-4E4D-9953-570B4E67277C}"/>
    <cellStyle name="40% - Accent5 4 2 3 3" xfId="21889" xr:uid="{5208302F-943B-4F24-BAF5-49681F4E2227}"/>
    <cellStyle name="40% - Accent5 4 2 4" xfId="9237" xr:uid="{18B0DDA1-B499-423B-86E1-231A6BFF8AF5}"/>
    <cellStyle name="40% - Accent5 4 2 5" xfId="17672" xr:uid="{B44984FB-8B42-4504-9A8B-B6EE3EFDB0D0}"/>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E8626469-B522-43A9-9080-43D25412BBBE}"/>
    <cellStyle name="40% - Accent5 4 3 2 2 3" xfId="24447" xr:uid="{C858AB11-D934-414A-8C1A-0CDFCF192273}"/>
    <cellStyle name="40% - Accent5 4 3 2 3" xfId="11795" xr:uid="{C03F0B3B-67A4-4ABC-A564-ABB4EAD1DBE9}"/>
    <cellStyle name="40% - Accent5 4 3 2 4" xfId="20230" xr:uid="{77B2AF9D-96E4-49D3-9C4B-263FFF15B301}"/>
    <cellStyle name="40% - Accent5 4 3 3" xfId="5418" xr:uid="{00000000-0005-0000-0000-0000C2060000}"/>
    <cellStyle name="40% - Accent5 4 3 3 2" xfId="13868" xr:uid="{491CCD68-563C-488F-A4B9-62DFC1B46D99}"/>
    <cellStyle name="40% - Accent5 4 3 3 3" xfId="22302" xr:uid="{C8FC1FAC-49DF-4C58-8237-66B30E1C38CC}"/>
    <cellStyle name="40% - Accent5 4 3 4" xfId="9650" xr:uid="{AEBEF615-D3E4-4616-9E32-995224D41120}"/>
    <cellStyle name="40% - Accent5 4 3 5" xfId="18085" xr:uid="{FEA65595-215C-4CA8-A768-421EA731FEB4}"/>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DF1DFC59-C7F7-46F7-A384-452F11058C54}"/>
    <cellStyle name="40% - Accent5 4 4 2 2 3" xfId="24860" xr:uid="{0E55A7E8-998A-4528-830A-F79B1B31FCDA}"/>
    <cellStyle name="40% - Accent5 4 4 2 3" xfId="12208" xr:uid="{B0FB121B-41F1-4C42-8BF7-5DE9C464C2FF}"/>
    <cellStyle name="40% - Accent5 4 4 2 4" xfId="20643" xr:uid="{87F6EBD1-BAFE-4E0A-AC71-305B3D7BB67E}"/>
    <cellStyle name="40% - Accent5 4 4 3" xfId="5831" xr:uid="{00000000-0005-0000-0000-0000C6060000}"/>
    <cellStyle name="40% - Accent5 4 4 3 2" xfId="14281" xr:uid="{A531E6D7-176A-4F4F-A095-91521E160CB2}"/>
    <cellStyle name="40% - Accent5 4 4 3 3" xfId="22715" xr:uid="{AE91BF7E-A8DD-480D-B07E-452E168D90C6}"/>
    <cellStyle name="40% - Accent5 4 4 4" xfId="10063" xr:uid="{CDD58BEE-AE72-4425-B29F-1D7766563D19}"/>
    <cellStyle name="40% - Accent5 4 4 5" xfId="18498" xr:uid="{5F67F7F1-7515-4EB5-9BDF-C2361E5B5FE6}"/>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4A1F8C82-C7C1-486E-BCFA-3FC825890A59}"/>
    <cellStyle name="40% - Accent5 4 5 2 2 3" xfId="25273" xr:uid="{8140B098-3979-4FB8-B6D9-C62A37E0CE37}"/>
    <cellStyle name="40% - Accent5 4 5 2 3" xfId="12621" xr:uid="{0D66FB98-4F3A-439E-9E81-701BC4DDF1EC}"/>
    <cellStyle name="40% - Accent5 4 5 2 4" xfId="21056" xr:uid="{05289A4A-7459-4684-8FA3-958897C1B567}"/>
    <cellStyle name="40% - Accent5 4 5 3" xfId="6244" xr:uid="{00000000-0005-0000-0000-0000CA060000}"/>
    <cellStyle name="40% - Accent5 4 5 3 2" xfId="14694" xr:uid="{5498A007-3237-4B92-BE38-B590337D9BB6}"/>
    <cellStyle name="40% - Accent5 4 5 3 3" xfId="23128" xr:uid="{1CF6EB38-3A4B-43B4-8CCA-2A17CA780259}"/>
    <cellStyle name="40% - Accent5 4 5 4" xfId="10476" xr:uid="{78D224FC-5D00-4651-8CB6-F1E8E4A07383}"/>
    <cellStyle name="40% - Accent5 4 5 5" xfId="18911" xr:uid="{A7139CA4-B08C-4ACF-9C77-69CD232F6F3E}"/>
    <cellStyle name="40% - Accent5 4 6" xfId="2351" xr:uid="{00000000-0005-0000-0000-0000CB060000}"/>
    <cellStyle name="40% - Accent5 4 6 2" xfId="6657" xr:uid="{00000000-0005-0000-0000-0000CC060000}"/>
    <cellStyle name="40% - Accent5 4 6 2 2" xfId="15107" xr:uid="{966F096F-D8E9-4F89-BCF8-9D1FB3319C1B}"/>
    <cellStyle name="40% - Accent5 4 6 2 3" xfId="23541" xr:uid="{5D1A0D79-8AFC-4794-AEA5-55177979FE43}"/>
    <cellStyle name="40% - Accent5 4 6 3" xfId="10889" xr:uid="{E8E3233D-1795-43BF-9202-11CB2B067CD0}"/>
    <cellStyle name="40% - Accent5 4 6 4" xfId="19324" xr:uid="{CD21920D-2F12-4083-A45C-7C67CF1CBF16}"/>
    <cellStyle name="40% - Accent5 4 7" xfId="4591" xr:uid="{00000000-0005-0000-0000-0000CD060000}"/>
    <cellStyle name="40% - Accent5 4 7 2" xfId="13041" xr:uid="{D7662030-7298-4916-9CC7-BEEDE1EA6A7B}"/>
    <cellStyle name="40% - Accent5 4 7 3" xfId="21475" xr:uid="{3282C5DA-AEAF-4569-8E7E-0CA1DE7D6F39}"/>
    <cellStyle name="40% - Accent5 4 8" xfId="8823" xr:uid="{BDFF873B-AE7A-46E2-AD6D-3F2B2D38BCE2}"/>
    <cellStyle name="40% - Accent5 4 9" xfId="17258" xr:uid="{CD5002F4-4EC4-4AAD-A636-6D9DCD30AAB4}"/>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039725FE-9CDB-464A-AA23-EC41C341393F}"/>
    <cellStyle name="40% - Accent5 5 2 2 3" xfId="24027" xr:uid="{8AB8F945-C750-436D-95E4-E41ECBD958D7}"/>
    <cellStyle name="40% - Accent5 5 2 3" xfId="11375" xr:uid="{85514AE6-C80B-4E09-B592-2A9DF5431309}"/>
    <cellStyle name="40% - Accent5 5 2 4" xfId="19810" xr:uid="{3E6060E6-743D-4082-972D-7149EF945513}"/>
    <cellStyle name="40% - Accent5 5 3" xfId="4998" xr:uid="{00000000-0005-0000-0000-0000D1060000}"/>
    <cellStyle name="40% - Accent5 5 3 2" xfId="13448" xr:uid="{C6189B22-BFD2-4249-85B2-C0E0DB226134}"/>
    <cellStyle name="40% - Accent5 5 3 3" xfId="21882" xr:uid="{B63A1509-A3E9-4668-89C4-244389AE2AD5}"/>
    <cellStyle name="40% - Accent5 5 4" xfId="9230" xr:uid="{260E9DE4-3311-4510-8909-EC3573D45AFA}"/>
    <cellStyle name="40% - Accent5 5 5" xfId="17665" xr:uid="{7173D63B-06A8-4705-88F3-13465D054166}"/>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5985BB0D-2721-47F2-9FDF-05C9E21476E8}"/>
    <cellStyle name="40% - Accent5 6 2 2 3" xfId="24440" xr:uid="{05FEE50F-B164-4836-8BCC-3E74720CE657}"/>
    <cellStyle name="40% - Accent5 6 2 3" xfId="11788" xr:uid="{F0777760-E7BE-44AB-8824-A9BD8D1E9BEA}"/>
    <cellStyle name="40% - Accent5 6 2 4" xfId="20223" xr:uid="{5B47D9EF-D225-469E-A227-B80EED493882}"/>
    <cellStyle name="40% - Accent5 6 3" xfId="5411" xr:uid="{00000000-0005-0000-0000-0000D5060000}"/>
    <cellStyle name="40% - Accent5 6 3 2" xfId="13861" xr:uid="{1F9B79B1-6337-45BB-9B11-D6C62F25A8A9}"/>
    <cellStyle name="40% - Accent5 6 3 3" xfId="22295" xr:uid="{8658A994-3128-4E42-9799-0BDCD4805184}"/>
    <cellStyle name="40% - Accent5 6 4" xfId="9643" xr:uid="{2D9DFCA4-86B0-4B6B-A33C-8BB615525C7C}"/>
    <cellStyle name="40% - Accent5 6 5" xfId="18078" xr:uid="{5622B14F-E8E3-487D-AE19-D670D82BA848}"/>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4B2C3082-8C24-498A-846B-2B0DA36177AB}"/>
    <cellStyle name="40% - Accent5 7 2 2 3" xfId="24853" xr:uid="{AF1C9FB9-CE75-42EE-ADC5-3B8F412E3F5D}"/>
    <cellStyle name="40% - Accent5 7 2 3" xfId="12201" xr:uid="{7187B2D8-D20C-4D4B-AEDD-0F39B56E0DFF}"/>
    <cellStyle name="40% - Accent5 7 2 4" xfId="20636" xr:uid="{1A6CE007-584C-41D6-AE40-AE2D0E807FA5}"/>
    <cellStyle name="40% - Accent5 7 3" xfId="5824" xr:uid="{00000000-0005-0000-0000-0000D9060000}"/>
    <cellStyle name="40% - Accent5 7 3 2" xfId="14274" xr:uid="{140CE4DA-7CE5-445C-B81A-EB16D7943597}"/>
    <cellStyle name="40% - Accent5 7 3 3" xfId="22708" xr:uid="{18BE1AF9-83E0-4589-908C-A0582C8BBD7E}"/>
    <cellStyle name="40% - Accent5 7 4" xfId="10056" xr:uid="{4FB405D0-D9CC-4DB0-B3CF-FD99807AE08B}"/>
    <cellStyle name="40% - Accent5 7 5" xfId="18491" xr:uid="{C0FE9F42-6338-4696-9494-39FF124EA4F1}"/>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FA7847E2-9EDE-45FE-B544-3E45896F8708}"/>
    <cellStyle name="40% - Accent5 8 2 2 3" xfId="25266" xr:uid="{286F9145-49EE-4512-A20F-1757BC4FD9BD}"/>
    <cellStyle name="40% - Accent5 8 2 3" xfId="12614" xr:uid="{305B3FEE-367A-4363-8563-ECA057C294DD}"/>
    <cellStyle name="40% - Accent5 8 2 4" xfId="21049" xr:uid="{CCD23962-9A26-47D4-BB2E-CF2E8DC9528E}"/>
    <cellStyle name="40% - Accent5 8 3" xfId="6237" xr:uid="{00000000-0005-0000-0000-0000DD060000}"/>
    <cellStyle name="40% - Accent5 8 3 2" xfId="14687" xr:uid="{6A0CBFFC-681F-40D2-A9E2-B71ACC1AB1A2}"/>
    <cellStyle name="40% - Accent5 8 3 3" xfId="23121" xr:uid="{51FA4B4D-126A-4241-953E-8AB4DCDEABAA}"/>
    <cellStyle name="40% - Accent5 8 4" xfId="10469" xr:uid="{CFA2E07F-15AC-4316-98C4-29C8B245CF40}"/>
    <cellStyle name="40% - Accent5 8 5" xfId="18904" xr:uid="{0DC57AFF-C0CD-4D84-8BB6-A68D96A9BAF2}"/>
    <cellStyle name="40% - Accent5 9" xfId="2344" xr:uid="{00000000-0005-0000-0000-0000DE060000}"/>
    <cellStyle name="40% - Accent5 9 2" xfId="6650" xr:uid="{00000000-0005-0000-0000-0000DF060000}"/>
    <cellStyle name="40% - Accent5 9 2 2" xfId="15100" xr:uid="{380525EB-5C20-4B14-A7C4-A3193BCABED1}"/>
    <cellStyle name="40% - Accent5 9 2 3" xfId="23534" xr:uid="{AE95EA45-C1E7-4A00-94D2-5BD43711E65A}"/>
    <cellStyle name="40% - Accent5 9 3" xfId="10882" xr:uid="{62C27BF2-AFE7-4538-A427-CFA5EFC8A3CD}"/>
    <cellStyle name="40% - Accent5 9 4" xfId="19317" xr:uid="{F56D58B6-DCF6-414A-989A-AEB4998BFC99}"/>
    <cellStyle name="40% - Accent6" xfId="89" builtinId="51" customBuiltin="1"/>
    <cellStyle name="40% - Accent6 10" xfId="4592" xr:uid="{00000000-0005-0000-0000-0000E1060000}"/>
    <cellStyle name="40% - Accent6 10 2" xfId="13042" xr:uid="{53E87030-FEC7-4F9F-9BAB-58D016BFAD50}"/>
    <cellStyle name="40% - Accent6 10 3" xfId="21476" xr:uid="{3F20D9E3-E71D-4500-9AFE-1CCECDF6B2E2}"/>
    <cellStyle name="40% - Accent6 11" xfId="8824" xr:uid="{E0929337-3E2C-4C2E-B631-7AEB17109EBE}"/>
    <cellStyle name="40% - Accent6 12" xfId="17259" xr:uid="{6F966846-D470-47AA-9C9C-796170E62C9E}"/>
    <cellStyle name="40% - Accent6 2" xfId="90" xr:uid="{00000000-0005-0000-0000-0000E2060000}"/>
    <cellStyle name="40% - Accent6 2 10" xfId="8825" xr:uid="{76DE5817-BF41-4594-AC5D-D1C9C7C93589}"/>
    <cellStyle name="40% - Accent6 2 11" xfId="17260" xr:uid="{906F6880-9786-4662-A637-E6F6F35B1D73}"/>
    <cellStyle name="40% - Accent6 2 2" xfId="91" xr:uid="{00000000-0005-0000-0000-0000E3060000}"/>
    <cellStyle name="40% - Accent6 2 2 10" xfId="17261" xr:uid="{F541B3C2-0E9A-4C86-BA57-CFF3251BB68C}"/>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DA0BA338-19AF-4BD1-9CF8-2CEDBBB7E85F}"/>
    <cellStyle name="40% - Accent6 2 2 2 2 2 2 3" xfId="24038" xr:uid="{D53942CF-6A7A-4D96-B8A4-A28CE12EF34E}"/>
    <cellStyle name="40% - Accent6 2 2 2 2 2 3" xfId="11386" xr:uid="{958B990C-872E-4B93-831F-377F725C0128}"/>
    <cellStyle name="40% - Accent6 2 2 2 2 2 4" xfId="19821" xr:uid="{664E541F-6C9D-4991-A5CA-063B794F0F3B}"/>
    <cellStyle name="40% - Accent6 2 2 2 2 3" xfId="5009" xr:uid="{00000000-0005-0000-0000-0000E8060000}"/>
    <cellStyle name="40% - Accent6 2 2 2 2 3 2" xfId="13459" xr:uid="{2A9B0637-270B-4F0C-8CFD-9BEED0D7F3E7}"/>
    <cellStyle name="40% - Accent6 2 2 2 2 3 3" xfId="21893" xr:uid="{B729A3A2-98FF-40AF-9A14-5A95FB9210B4}"/>
    <cellStyle name="40% - Accent6 2 2 2 2 4" xfId="9241" xr:uid="{CBF176F4-662C-43CD-B2DA-9078B96469E7}"/>
    <cellStyle name="40% - Accent6 2 2 2 2 5" xfId="17676" xr:uid="{09CBE5F6-DEC1-49ED-B326-0314C17C119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415F83FD-B069-46DA-AE4F-B137040CD973}"/>
    <cellStyle name="40% - Accent6 2 2 2 3 2 2 3" xfId="24451" xr:uid="{453794AD-AF5E-4FFA-BDD6-00E0AC7536C1}"/>
    <cellStyle name="40% - Accent6 2 2 2 3 2 3" xfId="11799" xr:uid="{4E1AB244-6C7F-4F4D-BD83-08617D581BB4}"/>
    <cellStyle name="40% - Accent6 2 2 2 3 2 4" xfId="20234" xr:uid="{2E126328-E64F-4812-A7EA-43509AEA696F}"/>
    <cellStyle name="40% - Accent6 2 2 2 3 3" xfId="5422" xr:uid="{00000000-0005-0000-0000-0000EC060000}"/>
    <cellStyle name="40% - Accent6 2 2 2 3 3 2" xfId="13872" xr:uid="{B807098E-B19A-4128-9B10-061F3299A6C5}"/>
    <cellStyle name="40% - Accent6 2 2 2 3 3 3" xfId="22306" xr:uid="{BCCE5CE3-538A-4AB3-A356-7249DF3A4733}"/>
    <cellStyle name="40% - Accent6 2 2 2 3 4" xfId="9654" xr:uid="{CDF4CAF7-AD7A-4C12-B0C0-D4793BBC5AEF}"/>
    <cellStyle name="40% - Accent6 2 2 2 3 5" xfId="18089" xr:uid="{4CF9AC2B-2B0B-44B6-992A-AAF06366730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24F8B02D-0AB8-4865-8FF2-D1020C822DCD}"/>
    <cellStyle name="40% - Accent6 2 2 2 4 2 2 3" xfId="24864" xr:uid="{6F4B832C-457C-4E6F-B267-09507ECA7D16}"/>
    <cellStyle name="40% - Accent6 2 2 2 4 2 3" xfId="12212" xr:uid="{65668781-8B88-4172-B2F6-933B35D38FE2}"/>
    <cellStyle name="40% - Accent6 2 2 2 4 2 4" xfId="20647" xr:uid="{F970965B-0E2D-4003-98F5-28FEA56E317D}"/>
    <cellStyle name="40% - Accent6 2 2 2 4 3" xfId="5835" xr:uid="{00000000-0005-0000-0000-0000F0060000}"/>
    <cellStyle name="40% - Accent6 2 2 2 4 3 2" xfId="14285" xr:uid="{83C8F025-3C9B-43A1-9199-9BE53B364ED5}"/>
    <cellStyle name="40% - Accent6 2 2 2 4 3 3" xfId="22719" xr:uid="{7BBDED89-2A83-4A94-8774-25117B91AFA3}"/>
    <cellStyle name="40% - Accent6 2 2 2 4 4" xfId="10067" xr:uid="{628FD0E8-C226-4620-80CC-6C148F61A4AE}"/>
    <cellStyle name="40% - Accent6 2 2 2 4 5" xfId="18502" xr:uid="{37F97CA3-304E-4AE9-9F7A-975BE25C818A}"/>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EDDE131C-C563-4B40-B464-E4F7C9CE2C64}"/>
    <cellStyle name="40% - Accent6 2 2 2 5 2 2 3" xfId="25277" xr:uid="{93240198-B2A5-4727-9D26-A8810884D95E}"/>
    <cellStyle name="40% - Accent6 2 2 2 5 2 3" xfId="12625" xr:uid="{022C655B-8818-49F2-A75F-FD76ADF343DE}"/>
    <cellStyle name="40% - Accent6 2 2 2 5 2 4" xfId="21060" xr:uid="{0DCA1E81-A366-4C48-9603-2E282DFB4B01}"/>
    <cellStyle name="40% - Accent6 2 2 2 5 3" xfId="6248" xr:uid="{00000000-0005-0000-0000-0000F4060000}"/>
    <cellStyle name="40% - Accent6 2 2 2 5 3 2" xfId="14698" xr:uid="{2427B470-B5AC-43CF-8A08-1B09A8B124AC}"/>
    <cellStyle name="40% - Accent6 2 2 2 5 3 3" xfId="23132" xr:uid="{02331A58-A1B7-4211-B01E-52AA91F8D643}"/>
    <cellStyle name="40% - Accent6 2 2 2 5 4" xfId="10480" xr:uid="{982E71A2-5E03-46ED-AE0B-FE6F5A9AB10F}"/>
    <cellStyle name="40% - Accent6 2 2 2 5 5" xfId="18915" xr:uid="{C83A3388-700A-49B7-BA1E-8E5D4A9C7B9A}"/>
    <cellStyle name="40% - Accent6 2 2 2 6" xfId="2355" xr:uid="{00000000-0005-0000-0000-0000F5060000}"/>
    <cellStyle name="40% - Accent6 2 2 2 6 2" xfId="6661" xr:uid="{00000000-0005-0000-0000-0000F6060000}"/>
    <cellStyle name="40% - Accent6 2 2 2 6 2 2" xfId="15111" xr:uid="{0E34F230-988F-4A18-9273-2BA3E39AC60E}"/>
    <cellStyle name="40% - Accent6 2 2 2 6 2 3" xfId="23545" xr:uid="{0EBA0640-9064-4467-88ED-C6595D4BF7F5}"/>
    <cellStyle name="40% - Accent6 2 2 2 6 3" xfId="10893" xr:uid="{5EA1509E-6930-4657-B6DF-D8C0B2FED575}"/>
    <cellStyle name="40% - Accent6 2 2 2 6 4" xfId="19328" xr:uid="{A6E99BC6-96C9-43A5-AA41-0F41E50BC10D}"/>
    <cellStyle name="40% - Accent6 2 2 2 7" xfId="4595" xr:uid="{00000000-0005-0000-0000-0000F7060000}"/>
    <cellStyle name="40% - Accent6 2 2 2 7 2" xfId="13045" xr:uid="{9CD6784A-B49E-44F5-91A4-8FA6E7C8AEEA}"/>
    <cellStyle name="40% - Accent6 2 2 2 7 3" xfId="21479" xr:uid="{2FFA8DE3-5AF9-4BC5-B482-65958AFF5C41}"/>
    <cellStyle name="40% - Accent6 2 2 2 8" xfId="8827" xr:uid="{DB7AF6E5-FD9C-4C47-BE2A-0BDFA5AE3438}"/>
    <cellStyle name="40% - Accent6 2 2 2 9" xfId="17262" xr:uid="{88C6E3AD-A78F-4498-A248-C4EDCB1B8A3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6140451A-E008-4D21-84DE-187FC47817E8}"/>
    <cellStyle name="40% - Accent6 2 2 3 2 2 3" xfId="24037" xr:uid="{8D709C48-EFA5-4217-A7C3-C2041DE45125}"/>
    <cellStyle name="40% - Accent6 2 2 3 2 3" xfId="11385" xr:uid="{1F92BC62-0FC1-4459-82C5-994DBAED693E}"/>
    <cellStyle name="40% - Accent6 2 2 3 2 4" xfId="19820" xr:uid="{F2785083-2896-4346-9553-9041CDAB6DB5}"/>
    <cellStyle name="40% - Accent6 2 2 3 3" xfId="5008" xr:uid="{00000000-0005-0000-0000-0000FB060000}"/>
    <cellStyle name="40% - Accent6 2 2 3 3 2" xfId="13458" xr:uid="{76C2F1AD-A531-4A8B-ACEF-45C4AA3E7D17}"/>
    <cellStyle name="40% - Accent6 2 2 3 3 3" xfId="21892" xr:uid="{26472797-4659-4EF6-A8A1-8A2D094028C6}"/>
    <cellStyle name="40% - Accent6 2 2 3 4" xfId="9240" xr:uid="{D22326DB-1E56-4167-991B-1D89F2CF5D84}"/>
    <cellStyle name="40% - Accent6 2 2 3 5" xfId="17675" xr:uid="{BDED4773-4BA7-4D54-A46A-B4C6E006D83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2D4280B9-CE76-43D2-96A6-C8E8F387F605}"/>
    <cellStyle name="40% - Accent6 2 2 4 2 2 3" xfId="24450" xr:uid="{2FD7E592-EDD9-4048-8787-9D273FB36EA2}"/>
    <cellStyle name="40% - Accent6 2 2 4 2 3" xfId="11798" xr:uid="{AF551974-C878-4B03-B5C6-3B824FCA9DBC}"/>
    <cellStyle name="40% - Accent6 2 2 4 2 4" xfId="20233" xr:uid="{1E5BA20F-110B-4D7B-B5ED-B84D71CAC850}"/>
    <cellStyle name="40% - Accent6 2 2 4 3" xfId="5421" xr:uid="{00000000-0005-0000-0000-0000FF060000}"/>
    <cellStyle name="40% - Accent6 2 2 4 3 2" xfId="13871" xr:uid="{AB4ABFAC-705D-4083-A34A-E3FEEA09B273}"/>
    <cellStyle name="40% - Accent6 2 2 4 3 3" xfId="22305" xr:uid="{6E5A1F2D-6960-4578-8789-37A193F114C5}"/>
    <cellStyle name="40% - Accent6 2 2 4 4" xfId="9653" xr:uid="{D6E29396-57EA-4322-A794-B78EE6A7AAB7}"/>
    <cellStyle name="40% - Accent6 2 2 4 5" xfId="18088" xr:uid="{8DCE3F55-8A83-4536-A763-1EBF11F8EFDA}"/>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BFB4D565-B053-4C17-BF86-C9C9F44207AC}"/>
    <cellStyle name="40% - Accent6 2 2 5 2 2 3" xfId="24863" xr:uid="{B6B0362C-F025-42A0-9626-82132518C489}"/>
    <cellStyle name="40% - Accent6 2 2 5 2 3" xfId="12211" xr:uid="{E2D4F655-3DA4-405F-AEF6-147872E672FE}"/>
    <cellStyle name="40% - Accent6 2 2 5 2 4" xfId="20646" xr:uid="{92D7E2F5-7705-45F2-81AE-D86341BFC89D}"/>
    <cellStyle name="40% - Accent6 2 2 5 3" xfId="5834" xr:uid="{00000000-0005-0000-0000-000003070000}"/>
    <cellStyle name="40% - Accent6 2 2 5 3 2" xfId="14284" xr:uid="{3ABF3835-1A1C-4F15-A8CD-09E1A99D2CF2}"/>
    <cellStyle name="40% - Accent6 2 2 5 3 3" xfId="22718" xr:uid="{645C0C25-5918-4228-8B2E-F666BE151433}"/>
    <cellStyle name="40% - Accent6 2 2 5 4" xfId="10066" xr:uid="{0682BFFC-D23F-4BE1-A9B7-186097DD008F}"/>
    <cellStyle name="40% - Accent6 2 2 5 5" xfId="18501" xr:uid="{FF8FD233-6854-4F71-9347-750AAFB91FD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BFE95741-5BB0-4F95-BDC6-AB219F753FDE}"/>
    <cellStyle name="40% - Accent6 2 2 6 2 2 3" xfId="25276" xr:uid="{3B848358-2448-4933-83C0-BE76D010662F}"/>
    <cellStyle name="40% - Accent6 2 2 6 2 3" xfId="12624" xr:uid="{64BAD7F2-F111-4181-AB5E-4C22AA56BE30}"/>
    <cellStyle name="40% - Accent6 2 2 6 2 4" xfId="21059" xr:uid="{D9F9B3E0-0C74-4C0D-AE0E-F9B1A63504E9}"/>
    <cellStyle name="40% - Accent6 2 2 6 3" xfId="6247" xr:uid="{00000000-0005-0000-0000-000007070000}"/>
    <cellStyle name="40% - Accent6 2 2 6 3 2" xfId="14697" xr:uid="{4AC20315-7271-4F39-858F-290F21C10C31}"/>
    <cellStyle name="40% - Accent6 2 2 6 3 3" xfId="23131" xr:uid="{0D542F7A-D2DE-47EC-929A-2149FD0E3E24}"/>
    <cellStyle name="40% - Accent6 2 2 6 4" xfId="10479" xr:uid="{4055EB46-460B-4B42-AC60-7620D0791721}"/>
    <cellStyle name="40% - Accent6 2 2 6 5" xfId="18914" xr:uid="{376DAAA3-A583-4A51-B697-CFF846558E7D}"/>
    <cellStyle name="40% - Accent6 2 2 7" xfId="2354" xr:uid="{00000000-0005-0000-0000-000008070000}"/>
    <cellStyle name="40% - Accent6 2 2 7 2" xfId="6660" xr:uid="{00000000-0005-0000-0000-000009070000}"/>
    <cellStyle name="40% - Accent6 2 2 7 2 2" xfId="15110" xr:uid="{128E6898-2103-4FCF-A705-67C9A42A0811}"/>
    <cellStyle name="40% - Accent6 2 2 7 2 3" xfId="23544" xr:uid="{CE9D66D3-9801-4234-8737-9E282410C3DF}"/>
    <cellStyle name="40% - Accent6 2 2 7 3" xfId="10892" xr:uid="{57007CB3-9A67-4193-8F7F-E453D604AE8F}"/>
    <cellStyle name="40% - Accent6 2 2 7 4" xfId="19327" xr:uid="{9DF8D965-CF84-4E00-A0D1-0C6C443FFF81}"/>
    <cellStyle name="40% - Accent6 2 2 8" xfId="4594" xr:uid="{00000000-0005-0000-0000-00000A070000}"/>
    <cellStyle name="40% - Accent6 2 2 8 2" xfId="13044" xr:uid="{5558C82A-6FEA-488D-9B65-B9CB0250741C}"/>
    <cellStyle name="40% - Accent6 2 2 8 3" xfId="21478" xr:uid="{9584FA51-F304-48B4-BB1B-2D699AD98EFA}"/>
    <cellStyle name="40% - Accent6 2 2 9" xfId="8826" xr:uid="{F9CDBF67-11E2-4B67-A48A-817F2ECBECE5}"/>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6544A2C4-13D2-4057-BEE3-F413B4F6D70B}"/>
    <cellStyle name="40% - Accent6 2 3 2 2 2 3" xfId="24039" xr:uid="{1CD37433-CDAD-4A78-911C-BFC3A13D38C2}"/>
    <cellStyle name="40% - Accent6 2 3 2 2 3" xfId="11387" xr:uid="{98A664C2-1BDF-4D72-A7C1-D91F9AD5A913}"/>
    <cellStyle name="40% - Accent6 2 3 2 2 4" xfId="19822" xr:uid="{C64E2B4B-AC0A-4C3D-9D74-C8B33E0A4C4F}"/>
    <cellStyle name="40% - Accent6 2 3 2 3" xfId="5010" xr:uid="{00000000-0005-0000-0000-00000F070000}"/>
    <cellStyle name="40% - Accent6 2 3 2 3 2" xfId="13460" xr:uid="{3BE6D8DA-68C9-4E38-8D50-FE90D78EF0E3}"/>
    <cellStyle name="40% - Accent6 2 3 2 3 3" xfId="21894" xr:uid="{C722D9F7-C630-4156-8BFE-D5A646615F59}"/>
    <cellStyle name="40% - Accent6 2 3 2 4" xfId="9242" xr:uid="{2F05F00B-DFBF-4634-B166-001AAB982E3C}"/>
    <cellStyle name="40% - Accent6 2 3 2 5" xfId="17677" xr:uid="{7EBEF74B-6F97-493B-99FF-31954320A1C1}"/>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32B75F5C-9319-4593-9337-C0E7CE639C3A}"/>
    <cellStyle name="40% - Accent6 2 3 3 2 2 3" xfId="24452" xr:uid="{0CD52F20-AC4D-4042-969D-9D1E7932C3BE}"/>
    <cellStyle name="40% - Accent6 2 3 3 2 3" xfId="11800" xr:uid="{B64FD7FA-12E2-4206-9ABA-BA48FA93B817}"/>
    <cellStyle name="40% - Accent6 2 3 3 2 4" xfId="20235" xr:uid="{8179278A-58FC-43AD-8E4F-9CA80F7A2220}"/>
    <cellStyle name="40% - Accent6 2 3 3 3" xfId="5423" xr:uid="{00000000-0005-0000-0000-000013070000}"/>
    <cellStyle name="40% - Accent6 2 3 3 3 2" xfId="13873" xr:uid="{A195E674-77FE-41CF-9911-C0FBAD08B5AD}"/>
    <cellStyle name="40% - Accent6 2 3 3 3 3" xfId="22307" xr:uid="{A6AC58F8-B3E7-48C5-84CB-B6D2ABCBC9AF}"/>
    <cellStyle name="40% - Accent6 2 3 3 4" xfId="9655" xr:uid="{EA7D904C-838D-4096-8A86-211C67F72E67}"/>
    <cellStyle name="40% - Accent6 2 3 3 5" xfId="18090" xr:uid="{B0881329-2C31-4095-A8DF-B249EF3835FC}"/>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E2E7CB53-2596-42B6-905D-0E87C8246117}"/>
    <cellStyle name="40% - Accent6 2 3 4 2 2 3" xfId="24865" xr:uid="{C6E48469-22F1-44E1-A4A1-B22892EB1600}"/>
    <cellStyle name="40% - Accent6 2 3 4 2 3" xfId="12213" xr:uid="{87820346-2BA6-4958-930D-69CC60984771}"/>
    <cellStyle name="40% - Accent6 2 3 4 2 4" xfId="20648" xr:uid="{346B5E40-6D26-40DB-B7CF-84A7B06E12EE}"/>
    <cellStyle name="40% - Accent6 2 3 4 3" xfId="5836" xr:uid="{00000000-0005-0000-0000-000017070000}"/>
    <cellStyle name="40% - Accent6 2 3 4 3 2" xfId="14286" xr:uid="{362AD226-402E-44F7-8F22-CC7CFB5883A4}"/>
    <cellStyle name="40% - Accent6 2 3 4 3 3" xfId="22720" xr:uid="{F385325F-0300-4D40-925E-A9AE6F559DC2}"/>
    <cellStyle name="40% - Accent6 2 3 4 4" xfId="10068" xr:uid="{CA86CE0A-6F0D-4046-B5FE-900410FA4728}"/>
    <cellStyle name="40% - Accent6 2 3 4 5" xfId="18503" xr:uid="{5529363F-08BE-4508-A5CD-AE987AE37EFA}"/>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0B8A8AF4-097B-4A16-82F6-DD0B38304622}"/>
    <cellStyle name="40% - Accent6 2 3 5 2 2 3" xfId="25278" xr:uid="{85A397B1-5DA4-4254-9EDC-5F27056BF6A2}"/>
    <cellStyle name="40% - Accent6 2 3 5 2 3" xfId="12626" xr:uid="{3D59C5FF-1EDC-429E-A1DC-781D028E9A32}"/>
    <cellStyle name="40% - Accent6 2 3 5 2 4" xfId="21061" xr:uid="{DD9E2F42-E63D-4E15-8536-80504128C2C4}"/>
    <cellStyle name="40% - Accent6 2 3 5 3" xfId="6249" xr:uid="{00000000-0005-0000-0000-00001B070000}"/>
    <cellStyle name="40% - Accent6 2 3 5 3 2" xfId="14699" xr:uid="{E34B1EBD-4C16-49AB-B365-6D3EB3D1548F}"/>
    <cellStyle name="40% - Accent6 2 3 5 3 3" xfId="23133" xr:uid="{4C578880-C3A4-4079-B12E-FEF35E1907D7}"/>
    <cellStyle name="40% - Accent6 2 3 5 4" xfId="10481" xr:uid="{98705ECB-DAFC-4A17-98E1-29FFFB5B5CFD}"/>
    <cellStyle name="40% - Accent6 2 3 5 5" xfId="18916" xr:uid="{9E552184-0CAB-4495-B01F-07ABB70BCB2C}"/>
    <cellStyle name="40% - Accent6 2 3 6" xfId="2356" xr:uid="{00000000-0005-0000-0000-00001C070000}"/>
    <cellStyle name="40% - Accent6 2 3 6 2" xfId="6662" xr:uid="{00000000-0005-0000-0000-00001D070000}"/>
    <cellStyle name="40% - Accent6 2 3 6 2 2" xfId="15112" xr:uid="{4B3300D3-1E77-4D4B-B38C-974BA89AE343}"/>
    <cellStyle name="40% - Accent6 2 3 6 2 3" xfId="23546" xr:uid="{4857958C-379C-47DD-9B62-2A62090B3AFA}"/>
    <cellStyle name="40% - Accent6 2 3 6 3" xfId="10894" xr:uid="{B247337F-440D-466A-A7ED-EF0AFF22CF79}"/>
    <cellStyle name="40% - Accent6 2 3 6 4" xfId="19329" xr:uid="{F7D69EB8-3422-4F14-9D08-95A2BC9AF9EA}"/>
    <cellStyle name="40% - Accent6 2 3 7" xfId="4596" xr:uid="{00000000-0005-0000-0000-00001E070000}"/>
    <cellStyle name="40% - Accent6 2 3 7 2" xfId="13046" xr:uid="{0BF693AF-9D4B-46BF-9F42-7EA02B5B7C6F}"/>
    <cellStyle name="40% - Accent6 2 3 7 3" xfId="21480" xr:uid="{EFC7ACFF-9E19-4C06-B56E-E0BCD5B9F15D}"/>
    <cellStyle name="40% - Accent6 2 3 8" xfId="8828" xr:uid="{0BBD6966-4AF1-48D2-B7F5-5B739183D00F}"/>
    <cellStyle name="40% - Accent6 2 3 9" xfId="17263" xr:uid="{001DB3A0-0D4D-4574-A94E-AE59133C09A0}"/>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3E768DE0-729E-40DB-B782-93FEAD64DB3C}"/>
    <cellStyle name="40% - Accent6 2 4 2 2 3" xfId="24036" xr:uid="{EFEFF8FF-BEB7-4BB0-A5D7-B22981B3ECFD}"/>
    <cellStyle name="40% - Accent6 2 4 2 3" xfId="11384" xr:uid="{E79970CE-C8F5-4E70-8E49-04C0F8A4E9A8}"/>
    <cellStyle name="40% - Accent6 2 4 2 4" xfId="19819" xr:uid="{A78E1839-FEB3-4FFE-B45C-9FAD8775B237}"/>
    <cellStyle name="40% - Accent6 2 4 3" xfId="5007" xr:uid="{00000000-0005-0000-0000-000022070000}"/>
    <cellStyle name="40% - Accent6 2 4 3 2" xfId="13457" xr:uid="{602D3C32-FD3E-4E1C-8C41-3120B2A5FBFE}"/>
    <cellStyle name="40% - Accent6 2 4 3 3" xfId="21891" xr:uid="{FC02D37C-CEEA-4A21-B509-3E7A06AD86B4}"/>
    <cellStyle name="40% - Accent6 2 4 4" xfId="9239" xr:uid="{303BB39E-5727-4CA3-B000-B89D7D59E885}"/>
    <cellStyle name="40% - Accent6 2 4 5" xfId="17674" xr:uid="{819E6724-FB10-4498-B223-128A77DB6559}"/>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E6F2F7B5-EA77-4AB9-BF2B-D078DBDD5B39}"/>
    <cellStyle name="40% - Accent6 2 5 2 2 3" xfId="24449" xr:uid="{E7261D47-3FEB-4D51-B9CF-76A74DBDF652}"/>
    <cellStyle name="40% - Accent6 2 5 2 3" xfId="11797" xr:uid="{CF9C128F-B42B-43F0-A156-C82F2275E162}"/>
    <cellStyle name="40% - Accent6 2 5 2 4" xfId="20232" xr:uid="{8950ABA4-345C-4189-99B5-4B172A395DFA}"/>
    <cellStyle name="40% - Accent6 2 5 3" xfId="5420" xr:uid="{00000000-0005-0000-0000-000026070000}"/>
    <cellStyle name="40% - Accent6 2 5 3 2" xfId="13870" xr:uid="{6D32B5EE-D0C4-4C55-AFA6-31348158B3B6}"/>
    <cellStyle name="40% - Accent6 2 5 3 3" xfId="22304" xr:uid="{878D4790-74A9-4ED6-AF14-19E94A074606}"/>
    <cellStyle name="40% - Accent6 2 5 4" xfId="9652" xr:uid="{75CF9CA2-3D06-4FBE-8122-426000D2981B}"/>
    <cellStyle name="40% - Accent6 2 5 5" xfId="18087" xr:uid="{F46CC76F-F249-4F99-BBEF-BF3E996C6596}"/>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E91BCE81-8950-4AEA-A0C3-7778ED6C167C}"/>
    <cellStyle name="40% - Accent6 2 6 2 2 3" xfId="24862" xr:uid="{BFAB397B-A94B-4ADE-AE8E-E9983785B3F9}"/>
    <cellStyle name="40% - Accent6 2 6 2 3" xfId="12210" xr:uid="{BB5D6756-2EC8-428A-8B0F-D4E85C2D6404}"/>
    <cellStyle name="40% - Accent6 2 6 2 4" xfId="20645" xr:uid="{6181ED13-9363-40E5-B723-EDAD3C82B6D9}"/>
    <cellStyle name="40% - Accent6 2 6 3" xfId="5833" xr:uid="{00000000-0005-0000-0000-00002A070000}"/>
    <cellStyle name="40% - Accent6 2 6 3 2" xfId="14283" xr:uid="{4913891E-59B2-453B-8D6C-3D7ADE8D8DEB}"/>
    <cellStyle name="40% - Accent6 2 6 3 3" xfId="22717" xr:uid="{46243645-532D-4EB1-A958-5E8004639EBD}"/>
    <cellStyle name="40% - Accent6 2 6 4" xfId="10065" xr:uid="{E6147034-A254-4797-AD16-8C118F1BD952}"/>
    <cellStyle name="40% - Accent6 2 6 5" xfId="18500" xr:uid="{13B13DF6-E7FA-4B03-AA1C-4043287E8DD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C9C29D94-01FD-494E-81A2-97463F1FB93E}"/>
    <cellStyle name="40% - Accent6 2 7 2 2 3" xfId="25275" xr:uid="{DCBC5F77-F0BD-481E-8870-DCBA64EB9A7B}"/>
    <cellStyle name="40% - Accent6 2 7 2 3" xfId="12623" xr:uid="{862DFC11-F6B2-477B-92EC-179101A1CBED}"/>
    <cellStyle name="40% - Accent6 2 7 2 4" xfId="21058" xr:uid="{2E022E4B-8716-4EE3-ACA2-85FEEA128FF7}"/>
    <cellStyle name="40% - Accent6 2 7 3" xfId="6246" xr:uid="{00000000-0005-0000-0000-00002E070000}"/>
    <cellStyle name="40% - Accent6 2 7 3 2" xfId="14696" xr:uid="{DD7DAA80-B3F9-4139-80B7-C88DEE51AF20}"/>
    <cellStyle name="40% - Accent6 2 7 3 3" xfId="23130" xr:uid="{7D8517DB-584E-448E-A73A-E7D3C36E42B0}"/>
    <cellStyle name="40% - Accent6 2 7 4" xfId="10478" xr:uid="{4D8A2B78-F1C5-4D46-8C93-CB52EECF1D1E}"/>
    <cellStyle name="40% - Accent6 2 7 5" xfId="18913" xr:uid="{C3BB340B-5A02-4912-BCAD-2C0F36F3E987}"/>
    <cellStyle name="40% - Accent6 2 8" xfId="2353" xr:uid="{00000000-0005-0000-0000-00002F070000}"/>
    <cellStyle name="40% - Accent6 2 8 2" xfId="6659" xr:uid="{00000000-0005-0000-0000-000030070000}"/>
    <cellStyle name="40% - Accent6 2 8 2 2" xfId="15109" xr:uid="{D4261B51-30F5-40C8-A90D-7E54C3260779}"/>
    <cellStyle name="40% - Accent6 2 8 2 3" xfId="23543" xr:uid="{937AEE6B-EB63-462D-B8D1-3B6E928238D0}"/>
    <cellStyle name="40% - Accent6 2 8 3" xfId="10891" xr:uid="{1D74F268-B06E-4201-9F02-301037A10A0B}"/>
    <cellStyle name="40% - Accent6 2 8 4" xfId="19326" xr:uid="{ADEF697A-18C2-4DEB-9C3F-7B753DF49289}"/>
    <cellStyle name="40% - Accent6 2 9" xfId="4593" xr:uid="{00000000-0005-0000-0000-000031070000}"/>
    <cellStyle name="40% - Accent6 2 9 2" xfId="13043" xr:uid="{2A34B1F4-671D-4E38-96DB-A8E6C39648BF}"/>
    <cellStyle name="40% - Accent6 2 9 3" xfId="21477" xr:uid="{09266D46-59B3-48AF-B3E2-C23738993147}"/>
    <cellStyle name="40% - Accent6 3" xfId="94" xr:uid="{00000000-0005-0000-0000-000032070000}"/>
    <cellStyle name="40% - Accent6 3 10" xfId="17264" xr:uid="{7F4E5C90-EC93-415C-906F-74346DF3BBBF}"/>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2F6B4AF9-E73D-4864-B918-EAFDEB6964C1}"/>
    <cellStyle name="40% - Accent6 3 2 2 2 2 3" xfId="24041" xr:uid="{A4EBEDA3-7284-4E2E-8107-5D080920B2EF}"/>
    <cellStyle name="40% - Accent6 3 2 2 2 3" xfId="11389" xr:uid="{46290016-3334-4DB0-B8A8-441A7D69D01E}"/>
    <cellStyle name="40% - Accent6 3 2 2 2 4" xfId="19824" xr:uid="{2EEF9467-CF31-4229-B919-EEFD3B4AF3B1}"/>
    <cellStyle name="40% - Accent6 3 2 2 3" xfId="5012" xr:uid="{00000000-0005-0000-0000-000037070000}"/>
    <cellStyle name="40% - Accent6 3 2 2 3 2" xfId="13462" xr:uid="{C58907B1-7D42-48A9-866C-2AF9247D26B8}"/>
    <cellStyle name="40% - Accent6 3 2 2 3 3" xfId="21896" xr:uid="{B0D5B130-4A3C-4570-8C81-19E6ADC3EE7C}"/>
    <cellStyle name="40% - Accent6 3 2 2 4" xfId="9244" xr:uid="{EC1B56A9-DA8C-402F-9583-E859C50F25A5}"/>
    <cellStyle name="40% - Accent6 3 2 2 5" xfId="17679" xr:uid="{BE59E9E0-A694-4209-95D9-E046B231FAFF}"/>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68C6541A-6429-4F29-A72B-40A23CAEDCAA}"/>
    <cellStyle name="40% - Accent6 3 2 3 2 2 3" xfId="24454" xr:uid="{60975BA6-1D72-47A1-A08B-0EB2909625B5}"/>
    <cellStyle name="40% - Accent6 3 2 3 2 3" xfId="11802" xr:uid="{52F400BF-C8C2-46D5-ADCC-4F9AEC1FD73B}"/>
    <cellStyle name="40% - Accent6 3 2 3 2 4" xfId="20237" xr:uid="{CA7CD8C4-7357-4227-AC48-AFF9C1C567B3}"/>
    <cellStyle name="40% - Accent6 3 2 3 3" xfId="5425" xr:uid="{00000000-0005-0000-0000-00003B070000}"/>
    <cellStyle name="40% - Accent6 3 2 3 3 2" xfId="13875" xr:uid="{B7DC467C-398D-47A5-A89D-291E13D233F0}"/>
    <cellStyle name="40% - Accent6 3 2 3 3 3" xfId="22309" xr:uid="{63AEDB85-D34F-4601-BE88-4C5F553149B1}"/>
    <cellStyle name="40% - Accent6 3 2 3 4" xfId="9657" xr:uid="{EF030838-DA08-4B3B-BAE5-725287139EDC}"/>
    <cellStyle name="40% - Accent6 3 2 3 5" xfId="18092" xr:uid="{33BC3807-2118-465C-8981-5080844C784E}"/>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E9E34627-65F9-4EAF-9008-830A32B0AED4}"/>
    <cellStyle name="40% - Accent6 3 2 4 2 2 3" xfId="24867" xr:uid="{3A551376-99E7-4FD6-9046-97BCAA284FD6}"/>
    <cellStyle name="40% - Accent6 3 2 4 2 3" xfId="12215" xr:uid="{6FF54C60-33A2-43E4-B63F-F3C7D0312264}"/>
    <cellStyle name="40% - Accent6 3 2 4 2 4" xfId="20650" xr:uid="{5A038FA3-60B0-43A2-B3BF-77EA74481F3C}"/>
    <cellStyle name="40% - Accent6 3 2 4 3" xfId="5838" xr:uid="{00000000-0005-0000-0000-00003F070000}"/>
    <cellStyle name="40% - Accent6 3 2 4 3 2" xfId="14288" xr:uid="{6491B280-2DC4-4B23-8CD1-985999712C26}"/>
    <cellStyle name="40% - Accent6 3 2 4 3 3" xfId="22722" xr:uid="{4E0E5E06-50AC-479C-8065-14BECE1B9378}"/>
    <cellStyle name="40% - Accent6 3 2 4 4" xfId="10070" xr:uid="{23A4B0FD-7C92-47FB-AA91-B3BBEFBC69CC}"/>
    <cellStyle name="40% - Accent6 3 2 4 5" xfId="18505" xr:uid="{5D044196-786A-4F32-822E-5A5C373CFC3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88FB8485-E99C-4F94-8F2C-E2AAA026499D}"/>
    <cellStyle name="40% - Accent6 3 2 5 2 2 3" xfId="25280" xr:uid="{35C3B7D5-D6D1-4D68-949B-E2998BD402FB}"/>
    <cellStyle name="40% - Accent6 3 2 5 2 3" xfId="12628" xr:uid="{6B6D2738-447B-4688-9DB4-473DA1FB1481}"/>
    <cellStyle name="40% - Accent6 3 2 5 2 4" xfId="21063" xr:uid="{E7DC7E57-1E27-4803-811C-85D476DC35BB}"/>
    <cellStyle name="40% - Accent6 3 2 5 3" xfId="6251" xr:uid="{00000000-0005-0000-0000-000043070000}"/>
    <cellStyle name="40% - Accent6 3 2 5 3 2" xfId="14701" xr:uid="{66A4131F-CD61-4DE4-8612-63F245CD68B0}"/>
    <cellStyle name="40% - Accent6 3 2 5 3 3" xfId="23135" xr:uid="{AA5F19BD-1B13-4B1C-99FB-4C46001ED44F}"/>
    <cellStyle name="40% - Accent6 3 2 5 4" xfId="10483" xr:uid="{5F2C60D8-8519-4D5D-B1AB-98AD13D17E2E}"/>
    <cellStyle name="40% - Accent6 3 2 5 5" xfId="18918" xr:uid="{49BC3973-1D90-43BF-8B51-1688C5015556}"/>
    <cellStyle name="40% - Accent6 3 2 6" xfId="2358" xr:uid="{00000000-0005-0000-0000-000044070000}"/>
    <cellStyle name="40% - Accent6 3 2 6 2" xfId="6664" xr:uid="{00000000-0005-0000-0000-000045070000}"/>
    <cellStyle name="40% - Accent6 3 2 6 2 2" xfId="15114" xr:uid="{C6AE9431-71D4-4A3B-A868-B5653C6915A8}"/>
    <cellStyle name="40% - Accent6 3 2 6 2 3" xfId="23548" xr:uid="{93E60573-5A90-45A9-A585-FDBE70EE8434}"/>
    <cellStyle name="40% - Accent6 3 2 6 3" xfId="10896" xr:uid="{52A82671-0310-4C0C-91CF-884C88F9868D}"/>
    <cellStyle name="40% - Accent6 3 2 6 4" xfId="19331" xr:uid="{BE6F6F6D-1D48-48C7-8893-D14C73BCC3FF}"/>
    <cellStyle name="40% - Accent6 3 2 7" xfId="4598" xr:uid="{00000000-0005-0000-0000-000046070000}"/>
    <cellStyle name="40% - Accent6 3 2 7 2" xfId="13048" xr:uid="{C0C87498-79AB-4516-A1EE-846E0C8B2CA7}"/>
    <cellStyle name="40% - Accent6 3 2 7 3" xfId="21482" xr:uid="{A012BAB6-5DDE-4384-8CFC-775AF1D66536}"/>
    <cellStyle name="40% - Accent6 3 2 8" xfId="8830" xr:uid="{47C0F148-E3C6-4F4F-8602-CE564A5CBA41}"/>
    <cellStyle name="40% - Accent6 3 2 9" xfId="17265" xr:uid="{7A5595EE-65D3-4B97-92B9-2AC6A5FC664E}"/>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CD153B74-33A3-467B-8197-D2248F7A15A2}"/>
    <cellStyle name="40% - Accent6 3 3 2 2 3" xfId="24040" xr:uid="{B17F5519-818D-46A6-B93E-91F1E6564EDC}"/>
    <cellStyle name="40% - Accent6 3 3 2 3" xfId="11388" xr:uid="{39A5943E-5642-4EAE-BE6A-CB1F6823D539}"/>
    <cellStyle name="40% - Accent6 3 3 2 4" xfId="19823" xr:uid="{A1D18F6C-88F3-41D0-AB24-5A1FFDB3CEAD}"/>
    <cellStyle name="40% - Accent6 3 3 3" xfId="5011" xr:uid="{00000000-0005-0000-0000-00004A070000}"/>
    <cellStyle name="40% - Accent6 3 3 3 2" xfId="13461" xr:uid="{C13AF683-EC3B-4C2C-91BC-F5D98B4EB5D7}"/>
    <cellStyle name="40% - Accent6 3 3 3 3" xfId="21895" xr:uid="{8CB8F890-518F-4DD5-B61C-0892D5DC5167}"/>
    <cellStyle name="40% - Accent6 3 3 4" xfId="9243" xr:uid="{69268101-15D2-488E-BFC3-0146D22D5882}"/>
    <cellStyle name="40% - Accent6 3 3 5" xfId="17678" xr:uid="{D56D5C90-76E7-43F1-9A67-CD6FCFBEB969}"/>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93201066-745A-433F-A94A-CD3D24FF8939}"/>
    <cellStyle name="40% - Accent6 3 4 2 2 3" xfId="24453" xr:uid="{BFAE77F9-594D-42F7-B55C-A655C15B625C}"/>
    <cellStyle name="40% - Accent6 3 4 2 3" xfId="11801" xr:uid="{37AAEF25-7ED1-4354-8595-F95E82EF941F}"/>
    <cellStyle name="40% - Accent6 3 4 2 4" xfId="20236" xr:uid="{73B28E9E-5DAD-4F5F-A77C-2084F2CD4A78}"/>
    <cellStyle name="40% - Accent6 3 4 3" xfId="5424" xr:uid="{00000000-0005-0000-0000-00004E070000}"/>
    <cellStyle name="40% - Accent6 3 4 3 2" xfId="13874" xr:uid="{08961FB9-6152-4953-8AC6-E8FC3BB59238}"/>
    <cellStyle name="40% - Accent6 3 4 3 3" xfId="22308" xr:uid="{D42C567E-8A80-45CD-B6D8-7C53A874D9FC}"/>
    <cellStyle name="40% - Accent6 3 4 4" xfId="9656" xr:uid="{5F70B2A4-834F-432A-BD66-C30F334D1174}"/>
    <cellStyle name="40% - Accent6 3 4 5" xfId="18091" xr:uid="{D1ADA94A-E472-4774-9396-35E0D64ECCE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F82420A8-5DAE-4ADC-908C-D976756D4E4E}"/>
    <cellStyle name="40% - Accent6 3 5 2 2 3" xfId="24866" xr:uid="{B640E20F-932B-4140-9444-9414CFB6F7FA}"/>
    <cellStyle name="40% - Accent6 3 5 2 3" xfId="12214" xr:uid="{5749F185-4981-4A00-978E-348437055223}"/>
    <cellStyle name="40% - Accent6 3 5 2 4" xfId="20649" xr:uid="{1135BE0A-7A86-4B31-AF01-8E58FE321442}"/>
    <cellStyle name="40% - Accent6 3 5 3" xfId="5837" xr:uid="{00000000-0005-0000-0000-000052070000}"/>
    <cellStyle name="40% - Accent6 3 5 3 2" xfId="14287" xr:uid="{99625717-19A4-42B3-BB86-499CF15C90A7}"/>
    <cellStyle name="40% - Accent6 3 5 3 3" xfId="22721" xr:uid="{7A1E1B9F-BC1F-4097-BEBA-B56151EAEED4}"/>
    <cellStyle name="40% - Accent6 3 5 4" xfId="10069" xr:uid="{69634721-D148-452F-8A40-F105581AFDBA}"/>
    <cellStyle name="40% - Accent6 3 5 5" xfId="18504" xr:uid="{46757104-555D-457B-A7E1-28771100CEDE}"/>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4D213FD6-91DA-46E0-B665-1B8CF51A35FB}"/>
    <cellStyle name="40% - Accent6 3 6 2 2 3" xfId="25279" xr:uid="{27306F28-A8C1-4030-A049-8BD92E2ECC76}"/>
    <cellStyle name="40% - Accent6 3 6 2 3" xfId="12627" xr:uid="{C8AC72E7-B440-49D1-8AAC-CA67D2BB7806}"/>
    <cellStyle name="40% - Accent6 3 6 2 4" xfId="21062" xr:uid="{7097AFEF-E866-4E04-8FDB-C5EB3B9DA019}"/>
    <cellStyle name="40% - Accent6 3 6 3" xfId="6250" xr:uid="{00000000-0005-0000-0000-000056070000}"/>
    <cellStyle name="40% - Accent6 3 6 3 2" xfId="14700" xr:uid="{6C8C4E45-56E9-45A1-A572-4020FF2B12B8}"/>
    <cellStyle name="40% - Accent6 3 6 3 3" xfId="23134" xr:uid="{26C4582A-EE5E-44F2-83C7-6A45C73D42A4}"/>
    <cellStyle name="40% - Accent6 3 6 4" xfId="10482" xr:uid="{5151FB30-4D39-47CA-80FC-B868C1217D60}"/>
    <cellStyle name="40% - Accent6 3 6 5" xfId="18917" xr:uid="{B55C34AC-5E45-48B5-81C8-F18CE38B82F4}"/>
    <cellStyle name="40% - Accent6 3 7" xfId="2357" xr:uid="{00000000-0005-0000-0000-000057070000}"/>
    <cellStyle name="40% - Accent6 3 7 2" xfId="6663" xr:uid="{00000000-0005-0000-0000-000058070000}"/>
    <cellStyle name="40% - Accent6 3 7 2 2" xfId="15113" xr:uid="{D76DDAC7-842A-40E6-A9C0-EC9D1D63D4AB}"/>
    <cellStyle name="40% - Accent6 3 7 2 3" xfId="23547" xr:uid="{177E1F33-0AF3-45D1-93D4-0858043FDB3B}"/>
    <cellStyle name="40% - Accent6 3 7 3" xfId="10895" xr:uid="{9A99CB6E-0C39-4CD9-94B3-BC0E67E72C59}"/>
    <cellStyle name="40% - Accent6 3 7 4" xfId="19330" xr:uid="{673C2075-3D2E-441B-ABBE-BA810480F13A}"/>
    <cellStyle name="40% - Accent6 3 8" xfId="4597" xr:uid="{00000000-0005-0000-0000-000059070000}"/>
    <cellStyle name="40% - Accent6 3 8 2" xfId="13047" xr:uid="{35964A1D-12D8-4FA1-A2DD-EA0C2B92DE8C}"/>
    <cellStyle name="40% - Accent6 3 8 3" xfId="21481" xr:uid="{F8A8F357-A616-4684-AB71-EC8531A87662}"/>
    <cellStyle name="40% - Accent6 3 9" xfId="8829" xr:uid="{149D5AA4-F487-4924-AECF-7181AF3DCFCB}"/>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74FE4738-99E8-4309-B5B2-CDE4969E2E62}"/>
    <cellStyle name="40% - Accent6 4 2 2 2 3" xfId="24042" xr:uid="{1A9317BC-D8D8-4708-B9F9-2C35FE488BD4}"/>
    <cellStyle name="40% - Accent6 4 2 2 3" xfId="11390" xr:uid="{FC9F4054-6286-4858-8B93-1C3BC726FAAC}"/>
    <cellStyle name="40% - Accent6 4 2 2 4" xfId="19825" xr:uid="{A7E5F402-63CE-404C-A4A4-9DECE5C5E872}"/>
    <cellStyle name="40% - Accent6 4 2 3" xfId="5013" xr:uid="{00000000-0005-0000-0000-00005E070000}"/>
    <cellStyle name="40% - Accent6 4 2 3 2" xfId="13463" xr:uid="{FB518D8F-5776-4E22-9DB4-1EA9EBE9538B}"/>
    <cellStyle name="40% - Accent6 4 2 3 3" xfId="21897" xr:uid="{963B6E25-3FC2-43FC-A08B-61AC9DB2A747}"/>
    <cellStyle name="40% - Accent6 4 2 4" xfId="9245" xr:uid="{EC520D39-D79A-496E-B853-0E83BC47DFA9}"/>
    <cellStyle name="40% - Accent6 4 2 5" xfId="17680" xr:uid="{6C3F8049-A429-47D8-822A-BD76606DA884}"/>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28D3F070-142B-448E-BBB1-DB2B2D043E09}"/>
    <cellStyle name="40% - Accent6 4 3 2 2 3" xfId="24455" xr:uid="{C03D0A7F-D23D-4BDA-9DDE-3C9F15607A8F}"/>
    <cellStyle name="40% - Accent6 4 3 2 3" xfId="11803" xr:uid="{FD35A082-04B4-4357-919A-8773473CED45}"/>
    <cellStyle name="40% - Accent6 4 3 2 4" xfId="20238" xr:uid="{536EBD86-1026-4FE4-892C-74BD25109FF5}"/>
    <cellStyle name="40% - Accent6 4 3 3" xfId="5426" xr:uid="{00000000-0005-0000-0000-000062070000}"/>
    <cellStyle name="40% - Accent6 4 3 3 2" xfId="13876" xr:uid="{6B555D19-E5CE-4AD1-B5C1-33CF4F2DDD5A}"/>
    <cellStyle name="40% - Accent6 4 3 3 3" xfId="22310" xr:uid="{CCFED0F5-6EA3-475E-BD89-A032BCD34F41}"/>
    <cellStyle name="40% - Accent6 4 3 4" xfId="9658" xr:uid="{715EBE21-04F7-448D-A88E-CEAB97D5012C}"/>
    <cellStyle name="40% - Accent6 4 3 5" xfId="18093" xr:uid="{80DFD4EF-2D69-422D-B1B1-A53386B5BC6D}"/>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21D89788-9DB4-4C4D-B03C-3C66F9BBBE16}"/>
    <cellStyle name="40% - Accent6 4 4 2 2 3" xfId="24868" xr:uid="{C03BFD83-352A-4C4A-8DEE-9F1DD794E6A2}"/>
    <cellStyle name="40% - Accent6 4 4 2 3" xfId="12216" xr:uid="{71D4EA3B-3716-43AD-A673-DA1F9CBEA816}"/>
    <cellStyle name="40% - Accent6 4 4 2 4" xfId="20651" xr:uid="{82CA2BD5-CBBF-4ADC-957F-9B5B9A5309A8}"/>
    <cellStyle name="40% - Accent6 4 4 3" xfId="5839" xr:uid="{00000000-0005-0000-0000-000066070000}"/>
    <cellStyle name="40% - Accent6 4 4 3 2" xfId="14289" xr:uid="{6525B669-C659-43AA-9C40-1215277FAA38}"/>
    <cellStyle name="40% - Accent6 4 4 3 3" xfId="22723" xr:uid="{C37B7E6F-38E5-4C04-948C-120062C338EC}"/>
    <cellStyle name="40% - Accent6 4 4 4" xfId="10071" xr:uid="{A66E3ECA-A979-448F-9318-65BE00D86BDC}"/>
    <cellStyle name="40% - Accent6 4 4 5" xfId="18506" xr:uid="{D0352C52-DA40-4DB3-8865-32886D9E67C8}"/>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30B951D1-6C24-4695-AAB3-62679BC75824}"/>
    <cellStyle name="40% - Accent6 4 5 2 2 3" xfId="25281" xr:uid="{53E98997-DDED-4709-9303-F3E351B5211D}"/>
    <cellStyle name="40% - Accent6 4 5 2 3" xfId="12629" xr:uid="{D6D617E0-C05A-450D-A0ED-F1C48220A5C2}"/>
    <cellStyle name="40% - Accent6 4 5 2 4" xfId="21064" xr:uid="{0A72E20A-5C41-44C7-92BA-E724390D0A0D}"/>
    <cellStyle name="40% - Accent6 4 5 3" xfId="6252" xr:uid="{00000000-0005-0000-0000-00006A070000}"/>
    <cellStyle name="40% - Accent6 4 5 3 2" xfId="14702" xr:uid="{A6F35930-86D6-4B80-9216-1F0EE6E821D9}"/>
    <cellStyle name="40% - Accent6 4 5 3 3" xfId="23136" xr:uid="{17CA4333-7B70-4C3E-B6E4-5E8FD4CADB0E}"/>
    <cellStyle name="40% - Accent6 4 5 4" xfId="10484" xr:uid="{720EAE30-D019-4628-8493-5D93C52C3710}"/>
    <cellStyle name="40% - Accent6 4 5 5" xfId="18919" xr:uid="{D16ED417-0FCD-4E33-B1A9-D517E2A6B388}"/>
    <cellStyle name="40% - Accent6 4 6" xfId="2359" xr:uid="{00000000-0005-0000-0000-00006B070000}"/>
    <cellStyle name="40% - Accent6 4 6 2" xfId="6665" xr:uid="{00000000-0005-0000-0000-00006C070000}"/>
    <cellStyle name="40% - Accent6 4 6 2 2" xfId="15115" xr:uid="{144AD2A4-F3EC-4EB8-9B61-800483D221D4}"/>
    <cellStyle name="40% - Accent6 4 6 2 3" xfId="23549" xr:uid="{7CC43E45-A35B-4501-B91B-BDAA24727138}"/>
    <cellStyle name="40% - Accent6 4 6 3" xfId="10897" xr:uid="{CA3BD043-3D98-4A41-9837-495B10597886}"/>
    <cellStyle name="40% - Accent6 4 6 4" xfId="19332" xr:uid="{74E00757-D683-4B52-9EE4-24767BFB8A5C}"/>
    <cellStyle name="40% - Accent6 4 7" xfId="4599" xr:uid="{00000000-0005-0000-0000-00006D070000}"/>
    <cellStyle name="40% - Accent6 4 7 2" xfId="13049" xr:uid="{83E5A7BC-64E6-42BD-A564-D8D4177609AA}"/>
    <cellStyle name="40% - Accent6 4 7 3" xfId="21483" xr:uid="{7EF6B171-0755-4858-B7C4-E1000186681D}"/>
    <cellStyle name="40% - Accent6 4 8" xfId="8831" xr:uid="{E49BC96D-00BC-4587-84AD-901655995647}"/>
    <cellStyle name="40% - Accent6 4 9" xfId="17266" xr:uid="{66DC0DF2-9ED6-4B18-BDF2-4B5A9D69CB1E}"/>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9DDC7BEF-C66C-4FF0-8757-A2CFE35239D2}"/>
    <cellStyle name="40% - Accent6 5 2 2 3" xfId="24035" xr:uid="{8177F763-8692-426F-A429-A80C2BE0C003}"/>
    <cellStyle name="40% - Accent6 5 2 3" xfId="11383" xr:uid="{C4C7EA64-5DE8-430D-BD96-4C6D9C12B6CD}"/>
    <cellStyle name="40% - Accent6 5 2 4" xfId="19818" xr:uid="{0D09EED6-71FE-47DF-AA26-0A8DFA018B11}"/>
    <cellStyle name="40% - Accent6 5 3" xfId="5006" xr:uid="{00000000-0005-0000-0000-000071070000}"/>
    <cellStyle name="40% - Accent6 5 3 2" xfId="13456" xr:uid="{642A92F8-A3A0-4D08-9400-41A6F2FCF6DC}"/>
    <cellStyle name="40% - Accent6 5 3 3" xfId="21890" xr:uid="{773255DB-16BC-4D55-BC07-903D56B635C9}"/>
    <cellStyle name="40% - Accent6 5 4" xfId="9238" xr:uid="{EC3472FC-04E6-4B8A-BA42-45C5FCFC7816}"/>
    <cellStyle name="40% - Accent6 5 5" xfId="17673" xr:uid="{8B4D02AA-4E70-4CA0-A1A6-4D6B60C48C25}"/>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2748527D-E266-4F21-BB7C-374745F321C6}"/>
    <cellStyle name="40% - Accent6 6 2 2 3" xfId="24448" xr:uid="{851097D3-CCB7-4244-81F5-1D813548F4E7}"/>
    <cellStyle name="40% - Accent6 6 2 3" xfId="11796" xr:uid="{7FAA2943-C176-4A8E-B765-ECFC9354A430}"/>
    <cellStyle name="40% - Accent6 6 2 4" xfId="20231" xr:uid="{5EE453FE-C192-4EBD-923B-6808A1B27BDF}"/>
    <cellStyle name="40% - Accent6 6 3" xfId="5419" xr:uid="{00000000-0005-0000-0000-000075070000}"/>
    <cellStyle name="40% - Accent6 6 3 2" xfId="13869" xr:uid="{2714B878-C893-4695-9EC6-3D7370B3B856}"/>
    <cellStyle name="40% - Accent6 6 3 3" xfId="22303" xr:uid="{61563E50-247A-4A95-A230-0095623009A4}"/>
    <cellStyle name="40% - Accent6 6 4" xfId="9651" xr:uid="{FB6E0EAB-29A6-402E-9708-7E7203469B50}"/>
    <cellStyle name="40% - Accent6 6 5" xfId="18086" xr:uid="{51E22861-3E05-47FD-95A3-01302876A9A0}"/>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D8CADA00-E743-4526-BBD0-67AD63DB92AD}"/>
    <cellStyle name="40% - Accent6 7 2 2 3" xfId="24861" xr:uid="{1FC76D64-7582-492F-845E-034E381C34C6}"/>
    <cellStyle name="40% - Accent6 7 2 3" xfId="12209" xr:uid="{99BCFFF9-1B73-4B76-BE16-60322E3B46D5}"/>
    <cellStyle name="40% - Accent6 7 2 4" xfId="20644" xr:uid="{02BAC771-DB5D-4044-B009-90BA7F994A89}"/>
    <cellStyle name="40% - Accent6 7 3" xfId="5832" xr:uid="{00000000-0005-0000-0000-000079070000}"/>
    <cellStyle name="40% - Accent6 7 3 2" xfId="14282" xr:uid="{B13A3AEF-4CDA-43CB-91A8-FB52F1ABE054}"/>
    <cellStyle name="40% - Accent6 7 3 3" xfId="22716" xr:uid="{85CE075B-6E32-48AA-9E51-A945E4E80E46}"/>
    <cellStyle name="40% - Accent6 7 4" xfId="10064" xr:uid="{6F764C21-5ADD-443D-A900-1D3FCB5ADCF2}"/>
    <cellStyle name="40% - Accent6 7 5" xfId="18499" xr:uid="{3D1F813A-0355-44EB-B91D-3B9B910FEC51}"/>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050FF67C-5FA5-4DE2-93D8-9744D0B1D8DE}"/>
    <cellStyle name="40% - Accent6 8 2 2 3" xfId="25274" xr:uid="{F49B0374-A267-43E5-B229-DACC338CE862}"/>
    <cellStyle name="40% - Accent6 8 2 3" xfId="12622" xr:uid="{E3785C27-F038-47F6-926A-66DFDB7D4895}"/>
    <cellStyle name="40% - Accent6 8 2 4" xfId="21057" xr:uid="{ECA5EB8A-7172-44A6-BA52-78FD23C79F92}"/>
    <cellStyle name="40% - Accent6 8 3" xfId="6245" xr:uid="{00000000-0005-0000-0000-00007D070000}"/>
    <cellStyle name="40% - Accent6 8 3 2" xfId="14695" xr:uid="{C8E87886-1317-481B-92F7-D570DD658A82}"/>
    <cellStyle name="40% - Accent6 8 3 3" xfId="23129" xr:uid="{79A21E6F-BE85-41C8-8B7D-61CF61B9EF2F}"/>
    <cellStyle name="40% - Accent6 8 4" xfId="10477" xr:uid="{3B33142F-51DC-47DA-AB35-C030518983C9}"/>
    <cellStyle name="40% - Accent6 8 5" xfId="18912" xr:uid="{78C88A24-AD60-4E1D-8C98-36E3A655FEF0}"/>
    <cellStyle name="40% - Accent6 9" xfId="2352" xr:uid="{00000000-0005-0000-0000-00007E070000}"/>
    <cellStyle name="40% - Accent6 9 2" xfId="6658" xr:uid="{00000000-0005-0000-0000-00007F070000}"/>
    <cellStyle name="40% - Accent6 9 2 2" xfId="15108" xr:uid="{E68DE9E6-B04B-4B4E-9390-6C35AD666DEE}"/>
    <cellStyle name="40% - Accent6 9 2 3" xfId="23542" xr:uid="{09D7342E-139C-43D7-8227-EB7C13F6114F}"/>
    <cellStyle name="40% - Accent6 9 3" xfId="10890" xr:uid="{B3A40E8C-BA40-4985-98B5-C9FA71B23290}"/>
    <cellStyle name="40% - Accent6 9 4" xfId="19325" xr:uid="{2AAE7522-4174-467D-B02B-707339CF4C9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630717F4-C1BD-4DA1-ADDD-3B5D18D9EA05}"/>
    <cellStyle name="Comma 4 2 2 2 10 2 3" xfId="23867" xr:uid="{10B8D126-16B2-4775-B6AB-9246FB1076AC}"/>
    <cellStyle name="Comma 4 2 2 2 10 3" xfId="11215" xr:uid="{9F2D077E-8815-45D8-A368-3F326604DCBB}"/>
    <cellStyle name="Comma 4 2 2 2 10 4" xfId="19650" xr:uid="{D9557EAC-B55B-45AA-B591-691DA6EACBF2}"/>
    <cellStyle name="Comma 4 2 2 2 11" xfId="4600" xr:uid="{00000000-0005-0000-0000-0000A3070000}"/>
    <cellStyle name="Comma 4 2 2 2 11 2" xfId="13050" xr:uid="{53A0DC2B-C2CC-4834-820E-BE0ADDC242F4}"/>
    <cellStyle name="Comma 4 2 2 2 11 3" xfId="21484" xr:uid="{0100C5C7-59E1-4909-B880-239C388FE29B}"/>
    <cellStyle name="Comma 4 2 2 2 12" xfId="8832" xr:uid="{A389B8B1-52F1-4B83-B909-14797ACEEFFC}"/>
    <cellStyle name="Comma 4 2 2 2 13" xfId="17267" xr:uid="{F950D5D4-2544-42ED-B0E1-F24219B219DA}"/>
    <cellStyle name="Comma 4 2 2 2 2" xfId="129" xr:uid="{00000000-0005-0000-0000-0000A4070000}"/>
    <cellStyle name="Comma 4 2 2 2 2 10" xfId="4601" xr:uid="{00000000-0005-0000-0000-0000A5070000}"/>
    <cellStyle name="Comma 4 2 2 2 2 10 2" xfId="13051" xr:uid="{15497626-A25C-43E6-BBAE-07324B5024BD}"/>
    <cellStyle name="Comma 4 2 2 2 2 10 3" xfId="21485" xr:uid="{3327AC29-2CDE-4B1F-B756-10B00E4CDACA}"/>
    <cellStyle name="Comma 4 2 2 2 2 11" xfId="8833" xr:uid="{D3F990CC-7F1A-46C4-BCA6-9F13F962C9DB}"/>
    <cellStyle name="Comma 4 2 2 2 2 12" xfId="17268" xr:uid="{3635F173-3F41-4440-8582-EC65BC04D941}"/>
    <cellStyle name="Comma 4 2 2 2 2 2" xfId="130" xr:uid="{00000000-0005-0000-0000-0000A6070000}"/>
    <cellStyle name="Comma 4 2 2 2 2 2 10" xfId="8834" xr:uid="{F985037D-C34A-4F1B-85AC-95BE94C920F1}"/>
    <cellStyle name="Comma 4 2 2 2 2 2 11" xfId="17269" xr:uid="{D73CB4AC-5DDB-4269-A1D0-106E2EC0F43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97E64D37-7B8B-4528-998B-3285FEBAE80B}"/>
    <cellStyle name="Comma 4 2 2 2 2 2 2 2 2 3" xfId="24045" xr:uid="{DE62DD5E-9517-423E-AADE-21F107158545}"/>
    <cellStyle name="Comma 4 2 2 2 2 2 2 2 3" xfId="11393" xr:uid="{A1EDE474-1F7C-4E75-A7AB-FC9C3C9D559E}"/>
    <cellStyle name="Comma 4 2 2 2 2 2 2 2 4" xfId="19828" xr:uid="{27231489-B690-41E3-81BD-07A01066EA71}"/>
    <cellStyle name="Comma 4 2 2 2 2 2 2 3" xfId="5016" xr:uid="{00000000-0005-0000-0000-0000AA070000}"/>
    <cellStyle name="Comma 4 2 2 2 2 2 2 3 2" xfId="13466" xr:uid="{339EDB32-EA53-45B4-BC24-90EE8CA954F5}"/>
    <cellStyle name="Comma 4 2 2 2 2 2 2 3 3" xfId="21900" xr:uid="{B062D656-39A1-4D03-B975-F561F6B0E46F}"/>
    <cellStyle name="Comma 4 2 2 2 2 2 2 4" xfId="9248" xr:uid="{3230A9B4-374F-49B1-9DE9-77DAB212BFDC}"/>
    <cellStyle name="Comma 4 2 2 2 2 2 2 5" xfId="17683" xr:uid="{82B02F80-273E-4F41-9E7E-F3183984B713}"/>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D59B718A-CECB-4555-BE91-31004FC87F25}"/>
    <cellStyle name="Comma 4 2 2 2 2 2 3 2 2 3" xfId="24458" xr:uid="{36763102-3984-43CE-AF5A-180022165ECE}"/>
    <cellStyle name="Comma 4 2 2 2 2 2 3 2 3" xfId="11806" xr:uid="{39FB432F-CEED-481D-8068-F413776596D7}"/>
    <cellStyle name="Comma 4 2 2 2 2 2 3 2 4" xfId="20241" xr:uid="{D769AED2-6E58-4409-9ABF-7F5D44159D38}"/>
    <cellStyle name="Comma 4 2 2 2 2 2 3 3" xfId="5429" xr:uid="{00000000-0005-0000-0000-0000AE070000}"/>
    <cellStyle name="Comma 4 2 2 2 2 2 3 3 2" xfId="13879" xr:uid="{12F24E03-0BEF-4DF9-8798-E83FC905AE8F}"/>
    <cellStyle name="Comma 4 2 2 2 2 2 3 3 3" xfId="22313" xr:uid="{D99B549A-9917-4B31-A24A-754AE1BE56B1}"/>
    <cellStyle name="Comma 4 2 2 2 2 2 3 4" xfId="9661" xr:uid="{0574CDA0-0422-487B-BD29-1D94A1F65FBC}"/>
    <cellStyle name="Comma 4 2 2 2 2 2 3 5" xfId="18096" xr:uid="{BF43B5FB-5EB5-42AD-BC8B-575BADF0672D}"/>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0D68D0A5-56A7-4553-A5E0-6DD5FE9F2BE1}"/>
    <cellStyle name="Comma 4 2 2 2 2 2 4 2 2 3" xfId="24871" xr:uid="{3C1D5B69-2E4B-4BDB-A263-974BE7230965}"/>
    <cellStyle name="Comma 4 2 2 2 2 2 4 2 3" xfId="12219" xr:uid="{259542BF-CDBB-40F7-99B9-CFA6A2E2A59E}"/>
    <cellStyle name="Comma 4 2 2 2 2 2 4 2 4" xfId="20654" xr:uid="{F433D05C-73B2-4451-A798-7B183474E0D2}"/>
    <cellStyle name="Comma 4 2 2 2 2 2 4 3" xfId="5842" xr:uid="{00000000-0005-0000-0000-0000B2070000}"/>
    <cellStyle name="Comma 4 2 2 2 2 2 4 3 2" xfId="14292" xr:uid="{2119A5EB-9708-4DC8-BC6F-0829A8335B9C}"/>
    <cellStyle name="Comma 4 2 2 2 2 2 4 3 3" xfId="22726" xr:uid="{279A6597-999A-4E42-98EE-0616737960A9}"/>
    <cellStyle name="Comma 4 2 2 2 2 2 4 4" xfId="10074" xr:uid="{27938ED3-9FA7-479E-85CF-FCBCCB92B5FE}"/>
    <cellStyle name="Comma 4 2 2 2 2 2 4 5" xfId="18509" xr:uid="{3F09BD72-8B61-4615-9C86-5A7F99ABB486}"/>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15B5AF9A-EEE9-46BF-B85A-BAA71BCDD7D9}"/>
    <cellStyle name="Comma 4 2 2 2 2 2 5 2 2 3" xfId="25284" xr:uid="{682CEFDE-42D7-4ACF-A258-C90B0F645BE4}"/>
    <cellStyle name="Comma 4 2 2 2 2 2 5 2 3" xfId="12632" xr:uid="{341EEDFA-E5C9-4C65-BD65-4F0CF0CCABAC}"/>
    <cellStyle name="Comma 4 2 2 2 2 2 5 2 4" xfId="21067" xr:uid="{DF1D1A09-9E0F-4B07-B8C4-B74268021BCD}"/>
    <cellStyle name="Comma 4 2 2 2 2 2 5 3" xfId="6255" xr:uid="{00000000-0005-0000-0000-0000B6070000}"/>
    <cellStyle name="Comma 4 2 2 2 2 2 5 3 2" xfId="14705" xr:uid="{6D1B2A25-8D6B-4F77-B205-6167DF145672}"/>
    <cellStyle name="Comma 4 2 2 2 2 2 5 3 3" xfId="23139" xr:uid="{72A7929C-A000-4A6E-AF6D-68AB9D72C37D}"/>
    <cellStyle name="Comma 4 2 2 2 2 2 5 4" xfId="10487" xr:uid="{CE59CE57-D726-4EC0-8FAE-6A7924F11C79}"/>
    <cellStyle name="Comma 4 2 2 2 2 2 5 5" xfId="18922" xr:uid="{2F8EB689-F2D1-4367-B7D5-A413959E6AAD}"/>
    <cellStyle name="Comma 4 2 2 2 2 2 6" xfId="2384" xr:uid="{00000000-0005-0000-0000-0000B7070000}"/>
    <cellStyle name="Comma 4 2 2 2 2 2 6 2" xfId="6668" xr:uid="{00000000-0005-0000-0000-0000B8070000}"/>
    <cellStyle name="Comma 4 2 2 2 2 2 6 2 2" xfId="15118" xr:uid="{824477AB-432A-4AA7-B8FD-004C10AE60F2}"/>
    <cellStyle name="Comma 4 2 2 2 2 2 6 2 3" xfId="23552" xr:uid="{CABC8036-615B-4C15-8B27-C388858A375B}"/>
    <cellStyle name="Comma 4 2 2 2 2 2 6 3" xfId="10900" xr:uid="{8E396B80-38EB-41DB-A1D3-ACAEC02E808D}"/>
    <cellStyle name="Comma 4 2 2 2 2 2 6 4" xfId="19335" xr:uid="{C7FF28C4-CAF7-48FF-8878-1DDBD2A0028F}"/>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F7C88218-3F2A-4A51-B6A0-1980CCE2BF09}"/>
    <cellStyle name="Comma 4 2 2 2 2 2 8 2 3" xfId="23869" xr:uid="{7B03CBA5-3339-4BB7-85B8-5F18B3D9C2B0}"/>
    <cellStyle name="Comma 4 2 2 2 2 2 8 3" xfId="11217" xr:uid="{22169871-1F2C-4ADB-A56C-E1A234A8EC58}"/>
    <cellStyle name="Comma 4 2 2 2 2 2 8 4" xfId="19652" xr:uid="{08F31061-B2BC-43E2-914C-060F536A6728}"/>
    <cellStyle name="Comma 4 2 2 2 2 2 9" xfId="4602" xr:uid="{00000000-0005-0000-0000-0000BC070000}"/>
    <cellStyle name="Comma 4 2 2 2 2 2 9 2" xfId="13052" xr:uid="{FD9AEE63-CC77-4E82-B81C-0157CAB3CAC4}"/>
    <cellStyle name="Comma 4 2 2 2 2 2 9 3" xfId="21486" xr:uid="{A3F0C688-9B1C-4977-8D2A-33032F32EDF2}"/>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7BAA9357-6ABB-488F-A84F-55D9B8DF07A9}"/>
    <cellStyle name="Comma 4 2 2 2 2 3 2 2 3" xfId="24044" xr:uid="{67DDA077-5C38-47E1-A4AC-A05DE5950C9B}"/>
    <cellStyle name="Comma 4 2 2 2 2 3 2 3" xfId="11392" xr:uid="{8144FB2E-5E85-4BFC-B478-E7644275A1DF}"/>
    <cellStyle name="Comma 4 2 2 2 2 3 2 4" xfId="19827" xr:uid="{2AD7A730-337A-40AA-A186-47CD597DD43C}"/>
    <cellStyle name="Comma 4 2 2 2 2 3 3" xfId="5015" xr:uid="{00000000-0005-0000-0000-0000C0070000}"/>
    <cellStyle name="Comma 4 2 2 2 2 3 3 2" xfId="13465" xr:uid="{CF0C24BA-2784-40C7-8A55-1BD2CF3ACFD7}"/>
    <cellStyle name="Comma 4 2 2 2 2 3 3 3" xfId="21899" xr:uid="{CD7DE72D-74D5-4CDA-A960-4F742BEB6AC5}"/>
    <cellStyle name="Comma 4 2 2 2 2 3 4" xfId="9247" xr:uid="{CA0F3B1E-D5FE-4009-9AC1-8BECB281FEF7}"/>
    <cellStyle name="Comma 4 2 2 2 2 3 5" xfId="17682" xr:uid="{234CBA69-AD39-43BF-BA8E-5E9433E2859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DDB30FA1-A553-4DDD-A78C-E2A9FB6C60D8}"/>
    <cellStyle name="Comma 4 2 2 2 2 4 2 2 3" xfId="24457" xr:uid="{B882A02D-5C97-4E7A-8130-274534B6DFC3}"/>
    <cellStyle name="Comma 4 2 2 2 2 4 2 3" xfId="11805" xr:uid="{84F2A348-A49A-4151-AF67-40AE54E288CD}"/>
    <cellStyle name="Comma 4 2 2 2 2 4 2 4" xfId="20240" xr:uid="{E8ED3E34-3B80-454D-BBBE-16309AC38890}"/>
    <cellStyle name="Comma 4 2 2 2 2 4 3" xfId="5428" xr:uid="{00000000-0005-0000-0000-0000C4070000}"/>
    <cellStyle name="Comma 4 2 2 2 2 4 3 2" xfId="13878" xr:uid="{26E423D2-6DDD-4081-B81E-498663F7B5E9}"/>
    <cellStyle name="Comma 4 2 2 2 2 4 3 3" xfId="22312" xr:uid="{2743503A-68E8-46E1-9745-F463D9D7C37C}"/>
    <cellStyle name="Comma 4 2 2 2 2 4 4" xfId="9660" xr:uid="{24CDFA9F-28F8-4449-97F4-339391FC6D0B}"/>
    <cellStyle name="Comma 4 2 2 2 2 4 5" xfId="18095" xr:uid="{C952AC96-DA96-4AB4-8868-251C6AFB15B9}"/>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C344A244-E7C7-424C-B202-BB3E1A923F5C}"/>
    <cellStyle name="Comma 4 2 2 2 2 5 2 2 3" xfId="24870" xr:uid="{4CD16520-C6C6-4DB5-AA8B-E4A2FD6F0637}"/>
    <cellStyle name="Comma 4 2 2 2 2 5 2 3" xfId="12218" xr:uid="{D6AFE616-FC00-424A-BB58-E009F1B5FA02}"/>
    <cellStyle name="Comma 4 2 2 2 2 5 2 4" xfId="20653" xr:uid="{F42CAB08-1DBE-476D-9AD0-5769217A4762}"/>
    <cellStyle name="Comma 4 2 2 2 2 5 3" xfId="5841" xr:uid="{00000000-0005-0000-0000-0000C8070000}"/>
    <cellStyle name="Comma 4 2 2 2 2 5 3 2" xfId="14291" xr:uid="{EE49304D-BBE4-4E97-9689-A2A833BCDAB8}"/>
    <cellStyle name="Comma 4 2 2 2 2 5 3 3" xfId="22725" xr:uid="{D90BF137-6E54-4C0C-A278-F8EE24D05A3D}"/>
    <cellStyle name="Comma 4 2 2 2 2 5 4" xfId="10073" xr:uid="{AFB3666D-CC18-4000-B16A-345F6DF0BD13}"/>
    <cellStyle name="Comma 4 2 2 2 2 5 5" xfId="18508" xr:uid="{FBC8DABE-634F-4961-99FF-1CD4896C0B8E}"/>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DC227CB3-C111-44B9-AE89-C66A7EA3A4DD}"/>
    <cellStyle name="Comma 4 2 2 2 2 6 2 2 3" xfId="25283" xr:uid="{FE417436-9AC5-4BCC-A9B4-9BC6170C0121}"/>
    <cellStyle name="Comma 4 2 2 2 2 6 2 3" xfId="12631" xr:uid="{61F9030F-043D-41B3-8CA3-AC1EAFB10201}"/>
    <cellStyle name="Comma 4 2 2 2 2 6 2 4" xfId="21066" xr:uid="{5D40F34F-E497-426B-B303-5DF255D5A623}"/>
    <cellStyle name="Comma 4 2 2 2 2 6 3" xfId="6254" xr:uid="{00000000-0005-0000-0000-0000CC070000}"/>
    <cellStyle name="Comma 4 2 2 2 2 6 3 2" xfId="14704" xr:uid="{06C62067-5193-4C93-8BD7-A398DE7CB09A}"/>
    <cellStyle name="Comma 4 2 2 2 2 6 3 3" xfId="23138" xr:uid="{DB88653B-12D2-4461-A0A8-108E9C1725E2}"/>
    <cellStyle name="Comma 4 2 2 2 2 6 4" xfId="10486" xr:uid="{A4C6F1EE-8712-4CE7-87D1-5A9543A8812C}"/>
    <cellStyle name="Comma 4 2 2 2 2 6 5" xfId="18921" xr:uid="{D7FEC148-C460-4849-B72A-41CDAF2B4FEF}"/>
    <cellStyle name="Comma 4 2 2 2 2 7" xfId="2383" xr:uid="{00000000-0005-0000-0000-0000CD070000}"/>
    <cellStyle name="Comma 4 2 2 2 2 7 2" xfId="6667" xr:uid="{00000000-0005-0000-0000-0000CE070000}"/>
    <cellStyle name="Comma 4 2 2 2 2 7 2 2" xfId="15117" xr:uid="{EEDDC7B8-529C-43C2-A342-83DCCC16DCB0}"/>
    <cellStyle name="Comma 4 2 2 2 2 7 2 3" xfId="23551" xr:uid="{72C492EB-7F74-4B6A-AFCC-DB85006CD5C4}"/>
    <cellStyle name="Comma 4 2 2 2 2 7 3" xfId="10899" xr:uid="{0C7388EE-9A14-4E44-A773-EA6E133D623D}"/>
    <cellStyle name="Comma 4 2 2 2 2 7 4" xfId="19334" xr:uid="{92F3E3E8-8A73-407B-9AF8-DF14F1180D1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80D2C6F6-EDC2-4DCE-A641-500E2B5D87C5}"/>
    <cellStyle name="Comma 4 2 2 2 2 9 2 3" xfId="23868" xr:uid="{A5B8B7EB-AC85-491B-8010-21D7B093F083}"/>
    <cellStyle name="Comma 4 2 2 2 2 9 3" xfId="11216" xr:uid="{F8D83AF4-EA57-41B1-87AE-6418DF2E83FE}"/>
    <cellStyle name="Comma 4 2 2 2 2 9 4" xfId="19651" xr:uid="{76C5CA4A-B4C9-428A-99C6-B679E5B1B02B}"/>
    <cellStyle name="Comma 4 2 2 2 3" xfId="131" xr:uid="{00000000-0005-0000-0000-0000D2070000}"/>
    <cellStyle name="Comma 4 2 2 2 3 10" xfId="8835" xr:uid="{24B9EC10-90CF-48B4-8650-2E399210DD97}"/>
    <cellStyle name="Comma 4 2 2 2 3 11" xfId="17270" xr:uid="{53039B5A-26EC-462E-9F12-BCE39E25F60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4DFB82E-CD3F-4E8B-B6A3-798C8CDECB84}"/>
    <cellStyle name="Comma 4 2 2 2 3 2 2 2 3" xfId="24046" xr:uid="{E7574C45-5B43-4C05-B390-FA981E472422}"/>
    <cellStyle name="Comma 4 2 2 2 3 2 2 3" xfId="11394" xr:uid="{FD2B5A3F-C2DB-4B54-9B19-87FA17E100B3}"/>
    <cellStyle name="Comma 4 2 2 2 3 2 2 4" xfId="19829" xr:uid="{7DEF117B-DC6A-473F-9B2E-B00F3F99953E}"/>
    <cellStyle name="Comma 4 2 2 2 3 2 3" xfId="5017" xr:uid="{00000000-0005-0000-0000-0000D6070000}"/>
    <cellStyle name="Comma 4 2 2 2 3 2 3 2" xfId="13467" xr:uid="{DB9F8AC9-37CE-4CAB-AD5D-15E791F8F412}"/>
    <cellStyle name="Comma 4 2 2 2 3 2 3 3" xfId="21901" xr:uid="{CD4D7025-E517-43E1-8D9A-D2D5A8611B02}"/>
    <cellStyle name="Comma 4 2 2 2 3 2 4" xfId="9249" xr:uid="{B5DF6A33-747E-4E43-8878-5E05D7FDE902}"/>
    <cellStyle name="Comma 4 2 2 2 3 2 5" xfId="17684" xr:uid="{0EBA32F5-2235-4F3C-A706-EC1E1A69D6A7}"/>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192A7B80-5B65-4D95-AA9F-73DE66FF31B8}"/>
    <cellStyle name="Comma 4 2 2 2 3 3 2 2 3" xfId="24459" xr:uid="{F4640557-8B60-44AF-8FCC-AE7D948317C3}"/>
    <cellStyle name="Comma 4 2 2 2 3 3 2 3" xfId="11807" xr:uid="{C0D80C8D-17D3-41D5-99FA-F22E73B249B7}"/>
    <cellStyle name="Comma 4 2 2 2 3 3 2 4" xfId="20242" xr:uid="{27FFEFE4-DDD6-46EB-B41F-CD104F9BA812}"/>
    <cellStyle name="Comma 4 2 2 2 3 3 3" xfId="5430" xr:uid="{00000000-0005-0000-0000-0000DA070000}"/>
    <cellStyle name="Comma 4 2 2 2 3 3 3 2" xfId="13880" xr:uid="{BDF3E95E-0B74-4E73-9519-5CECD1981576}"/>
    <cellStyle name="Comma 4 2 2 2 3 3 3 3" xfId="22314" xr:uid="{65E3145F-EBFF-4F07-A5E6-391F58059411}"/>
    <cellStyle name="Comma 4 2 2 2 3 3 4" xfId="9662" xr:uid="{A38C156F-67D9-4688-9D08-4897A7E6F2F7}"/>
    <cellStyle name="Comma 4 2 2 2 3 3 5" xfId="18097" xr:uid="{E98C2C4B-0005-4B0D-9A72-C5BECD83AED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C1FDC940-DBB8-49BB-8EF7-4237AE58D9F3}"/>
    <cellStyle name="Comma 4 2 2 2 3 4 2 2 3" xfId="24872" xr:uid="{2EE9391E-AAD8-4F3C-8E3C-B4EA02734CEE}"/>
    <cellStyle name="Comma 4 2 2 2 3 4 2 3" xfId="12220" xr:uid="{23EF2E6E-DD7E-4061-AC4D-997B29CBF6DF}"/>
    <cellStyle name="Comma 4 2 2 2 3 4 2 4" xfId="20655" xr:uid="{563C30CE-B93D-4302-B92A-99A03C997261}"/>
    <cellStyle name="Comma 4 2 2 2 3 4 3" xfId="5843" xr:uid="{00000000-0005-0000-0000-0000DE070000}"/>
    <cellStyle name="Comma 4 2 2 2 3 4 3 2" xfId="14293" xr:uid="{DCB3C41C-B082-4031-874D-AC31A10E78F3}"/>
    <cellStyle name="Comma 4 2 2 2 3 4 3 3" xfId="22727" xr:uid="{31C354DE-D1EF-4333-AD74-83E521585577}"/>
    <cellStyle name="Comma 4 2 2 2 3 4 4" xfId="10075" xr:uid="{21D8E503-0A40-4222-AF79-412628CB065E}"/>
    <cellStyle name="Comma 4 2 2 2 3 4 5" xfId="18510" xr:uid="{9A047A6F-E039-47A5-A904-65463621DE5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99D0905F-0637-4DC3-864F-7E3FEA572795}"/>
    <cellStyle name="Comma 4 2 2 2 3 5 2 2 3" xfId="25285" xr:uid="{A14779C6-2611-4A84-990D-1C57B1EC721F}"/>
    <cellStyle name="Comma 4 2 2 2 3 5 2 3" xfId="12633" xr:uid="{6475D925-0B00-4FBF-84F9-63A7434403BE}"/>
    <cellStyle name="Comma 4 2 2 2 3 5 2 4" xfId="21068" xr:uid="{851666E4-B56B-42A4-8599-0AEA33FFAA23}"/>
    <cellStyle name="Comma 4 2 2 2 3 5 3" xfId="6256" xr:uid="{00000000-0005-0000-0000-0000E2070000}"/>
    <cellStyle name="Comma 4 2 2 2 3 5 3 2" xfId="14706" xr:uid="{9F699FCA-5C24-4797-BD75-C4AF4815DF09}"/>
    <cellStyle name="Comma 4 2 2 2 3 5 3 3" xfId="23140" xr:uid="{008FF23F-6164-4BE8-B53E-7B1A8093CBD3}"/>
    <cellStyle name="Comma 4 2 2 2 3 5 4" xfId="10488" xr:uid="{B34A0F53-A5BB-485E-95A1-F3BB5FE2BFEC}"/>
    <cellStyle name="Comma 4 2 2 2 3 5 5" xfId="18923" xr:uid="{EC6F6F29-16E5-4C99-90AE-6A438C1B73C6}"/>
    <cellStyle name="Comma 4 2 2 2 3 6" xfId="2385" xr:uid="{00000000-0005-0000-0000-0000E3070000}"/>
    <cellStyle name="Comma 4 2 2 2 3 6 2" xfId="6669" xr:uid="{00000000-0005-0000-0000-0000E4070000}"/>
    <cellStyle name="Comma 4 2 2 2 3 6 2 2" xfId="15119" xr:uid="{1BBC42DC-CFC4-4A6D-8C06-76D7A1E4691D}"/>
    <cellStyle name="Comma 4 2 2 2 3 6 2 3" xfId="23553" xr:uid="{5D056A69-02C5-4DBD-85E9-165BF578F616}"/>
    <cellStyle name="Comma 4 2 2 2 3 6 3" xfId="10901" xr:uid="{FBFE121B-2FF9-4299-97AF-F9BAC317C35A}"/>
    <cellStyle name="Comma 4 2 2 2 3 6 4" xfId="19336" xr:uid="{E712EDBE-4288-4607-B44B-F4DAB6B3D7F5}"/>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075A8146-0FD0-4BAB-9D1B-1DBA0152FBD4}"/>
    <cellStyle name="Comma 4 2 2 2 3 8 2 3" xfId="23870" xr:uid="{25DDF5FD-77DB-4B72-8D2A-06225F44C75A}"/>
    <cellStyle name="Comma 4 2 2 2 3 8 3" xfId="11218" xr:uid="{6E542BD5-DE68-43AF-BCD9-153901C59AF0}"/>
    <cellStyle name="Comma 4 2 2 2 3 8 4" xfId="19653" xr:uid="{1942D48E-2D49-4BF1-A5EE-98979407058D}"/>
    <cellStyle name="Comma 4 2 2 2 3 9" xfId="4603" xr:uid="{00000000-0005-0000-0000-0000E8070000}"/>
    <cellStyle name="Comma 4 2 2 2 3 9 2" xfId="13053" xr:uid="{F6C7DDB7-AEB0-412E-A77C-7559941EA246}"/>
    <cellStyle name="Comma 4 2 2 2 3 9 3" xfId="21487" xr:uid="{D18FF0FA-ED37-43C8-AEF7-796E0EE30AAC}"/>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E67CE0E8-E13D-4D52-8788-D54D041348E4}"/>
    <cellStyle name="Comma 4 2 2 2 4 2 2 3" xfId="24043" xr:uid="{265A085A-C817-4149-A2D4-22CB685A2298}"/>
    <cellStyle name="Comma 4 2 2 2 4 2 3" xfId="11391" xr:uid="{D3FFC1E1-8B8D-4161-A64A-4EE14617631F}"/>
    <cellStyle name="Comma 4 2 2 2 4 2 4" xfId="19826" xr:uid="{3D2DABAE-C827-4405-946D-82662F5AFDB3}"/>
    <cellStyle name="Comma 4 2 2 2 4 3" xfId="5014" xr:uid="{00000000-0005-0000-0000-0000EC070000}"/>
    <cellStyle name="Comma 4 2 2 2 4 3 2" xfId="13464" xr:uid="{A1C89226-DEAD-4289-86E8-3500CF491AB3}"/>
    <cellStyle name="Comma 4 2 2 2 4 3 3" xfId="21898" xr:uid="{B7FF4EE7-04C6-45BC-9EDA-78FEFCDED98F}"/>
    <cellStyle name="Comma 4 2 2 2 4 4" xfId="9246" xr:uid="{CF642243-6112-4A58-901B-18EDEEFBC4B4}"/>
    <cellStyle name="Comma 4 2 2 2 4 5" xfId="17681" xr:uid="{9E9FAC53-1FF5-48E5-B27C-1FF50759A69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1BFEDE38-56B5-4E10-B06B-8A6D1F8DD3CE}"/>
    <cellStyle name="Comma 4 2 2 2 5 2 2 3" xfId="24456" xr:uid="{DC50A7AE-184D-4416-AA56-D628D68EA5A3}"/>
    <cellStyle name="Comma 4 2 2 2 5 2 3" xfId="11804" xr:uid="{B2980065-AE6C-4D60-A9DE-F9CD7DE8A4D0}"/>
    <cellStyle name="Comma 4 2 2 2 5 2 4" xfId="20239" xr:uid="{739D82E7-A12B-43E9-B5DC-70F2F67D242E}"/>
    <cellStyle name="Comma 4 2 2 2 5 3" xfId="5427" xr:uid="{00000000-0005-0000-0000-0000F0070000}"/>
    <cellStyle name="Comma 4 2 2 2 5 3 2" xfId="13877" xr:uid="{CEF92E00-018D-4B6C-87A2-B42075BA5818}"/>
    <cellStyle name="Comma 4 2 2 2 5 3 3" xfId="22311" xr:uid="{CCDEB1AF-FDCC-4695-A449-CF469D991135}"/>
    <cellStyle name="Comma 4 2 2 2 5 4" xfId="9659" xr:uid="{B84F1C09-84B8-43C0-A084-5FC1C794F7A7}"/>
    <cellStyle name="Comma 4 2 2 2 5 5" xfId="18094" xr:uid="{CB568D6A-E04C-467B-A747-3500A7B6979A}"/>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0D3F629C-515C-474E-8276-875A54A7D609}"/>
    <cellStyle name="Comma 4 2 2 2 6 2 2 3" xfId="24869" xr:uid="{A1A3B7EC-7CBD-42A1-BBA7-6B539C17D763}"/>
    <cellStyle name="Comma 4 2 2 2 6 2 3" xfId="12217" xr:uid="{31FE282F-B0DB-44A9-A3BA-08F3FBFF9002}"/>
    <cellStyle name="Comma 4 2 2 2 6 2 4" xfId="20652" xr:uid="{04D435E3-EF18-47BB-A37B-1E985F697B2E}"/>
    <cellStyle name="Comma 4 2 2 2 6 3" xfId="5840" xr:uid="{00000000-0005-0000-0000-0000F4070000}"/>
    <cellStyle name="Comma 4 2 2 2 6 3 2" xfId="14290" xr:uid="{68B345D1-D20B-40AC-A540-383249DA056F}"/>
    <cellStyle name="Comma 4 2 2 2 6 3 3" xfId="22724" xr:uid="{CFE65125-54E8-44FD-A346-107026B793E5}"/>
    <cellStyle name="Comma 4 2 2 2 6 4" xfId="10072" xr:uid="{29A8DAAF-3711-453A-B31E-DDA656AACDD7}"/>
    <cellStyle name="Comma 4 2 2 2 6 5" xfId="18507" xr:uid="{1E5D6D22-5B5A-4E0E-9F5D-5653EEB3EB96}"/>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2C323D30-4080-4C7D-98EC-B52F74D053F4}"/>
    <cellStyle name="Comma 4 2 2 2 7 2 2 3" xfId="25282" xr:uid="{F2C208BE-7498-4CEE-8B8D-E842125365A1}"/>
    <cellStyle name="Comma 4 2 2 2 7 2 3" xfId="12630" xr:uid="{2B52F27A-2376-4105-A9CB-59CDF09F6DBE}"/>
    <cellStyle name="Comma 4 2 2 2 7 2 4" xfId="21065" xr:uid="{A1F355C8-6ADC-48CD-A827-92652C92576F}"/>
    <cellStyle name="Comma 4 2 2 2 7 3" xfId="6253" xr:uid="{00000000-0005-0000-0000-0000F8070000}"/>
    <cellStyle name="Comma 4 2 2 2 7 3 2" xfId="14703" xr:uid="{20464622-CAC8-4AFB-9767-8FCC9250822A}"/>
    <cellStyle name="Comma 4 2 2 2 7 3 3" xfId="23137" xr:uid="{74E0F8E2-BF0D-4BD9-88D9-11FD4FABB885}"/>
    <cellStyle name="Comma 4 2 2 2 7 4" xfId="10485" xr:uid="{0F537374-4C05-4D2B-9BB1-ABBF4CBD41D2}"/>
    <cellStyle name="Comma 4 2 2 2 7 5" xfId="18920" xr:uid="{8A18309A-C1BA-41AB-9CFC-DB1FE9F47920}"/>
    <cellStyle name="Comma 4 2 2 2 8" xfId="2382" xr:uid="{00000000-0005-0000-0000-0000F9070000}"/>
    <cellStyle name="Comma 4 2 2 2 8 2" xfId="6666" xr:uid="{00000000-0005-0000-0000-0000FA070000}"/>
    <cellStyle name="Comma 4 2 2 2 8 2 2" xfId="15116" xr:uid="{5068F2F2-17AD-4320-8DD1-4F946629161C}"/>
    <cellStyle name="Comma 4 2 2 2 8 2 3" xfId="23550" xr:uid="{B8F00199-FC7B-4AE0-8A54-0992D3FC1AB4}"/>
    <cellStyle name="Comma 4 2 2 2 8 3" xfId="10898" xr:uid="{CAFDE479-C5AB-4C41-8071-EB40552614BA}"/>
    <cellStyle name="Comma 4 2 2 2 8 4" xfId="19333" xr:uid="{16576272-0664-497A-A897-4CB9BE596FD8}"/>
    <cellStyle name="Comma 4 2 2 2 9" xfId="2381" xr:uid="{00000000-0005-0000-0000-0000FB070000}"/>
    <cellStyle name="Comma 4 2 2 3" xfId="132" xr:uid="{00000000-0005-0000-0000-0000FC070000}"/>
    <cellStyle name="Comma 4 2 2 3 10" xfId="4604" xr:uid="{00000000-0005-0000-0000-0000FD070000}"/>
    <cellStyle name="Comma 4 2 2 3 10 2" xfId="13054" xr:uid="{969C25B4-53BA-40FD-8FA4-84C49A79AA33}"/>
    <cellStyle name="Comma 4 2 2 3 10 3" xfId="21488" xr:uid="{7084BFAC-DE9F-4B9A-93AF-F50BB266DE4B}"/>
    <cellStyle name="Comma 4 2 2 3 11" xfId="8836" xr:uid="{1D56A88B-33E3-4C63-A9D6-F6C29805410F}"/>
    <cellStyle name="Comma 4 2 2 3 12" xfId="17271" xr:uid="{0BE63A0E-6FC0-4B72-A347-296C1FD88F18}"/>
    <cellStyle name="Comma 4 2 2 3 2" xfId="133" xr:uid="{00000000-0005-0000-0000-0000FE070000}"/>
    <cellStyle name="Comma 4 2 2 3 2 10" xfId="8837" xr:uid="{D6B0BB56-8991-4DC8-9001-A6DB06E9182D}"/>
    <cellStyle name="Comma 4 2 2 3 2 11" xfId="17272" xr:uid="{7EACB7E0-87DA-47C1-BF36-331DD4A339AA}"/>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160C2060-3619-441F-8FCC-5B7AEB7EFEB8}"/>
    <cellStyle name="Comma 4 2 2 3 2 2 2 2 3" xfId="24048" xr:uid="{13667E48-5214-400E-B48B-B55684137430}"/>
    <cellStyle name="Comma 4 2 2 3 2 2 2 3" xfId="11396" xr:uid="{5F2208E0-D224-4F4B-A216-B1B77CDC5C64}"/>
    <cellStyle name="Comma 4 2 2 3 2 2 2 4" xfId="19831" xr:uid="{909495E3-C22E-4BA6-9D70-47E4BFC28E19}"/>
    <cellStyle name="Comma 4 2 2 3 2 2 3" xfId="5019" xr:uid="{00000000-0005-0000-0000-000002080000}"/>
    <cellStyle name="Comma 4 2 2 3 2 2 3 2" xfId="13469" xr:uid="{4779B3E7-B05E-42BF-A7EB-C8A812C18F51}"/>
    <cellStyle name="Comma 4 2 2 3 2 2 3 3" xfId="21903" xr:uid="{9FE08F7A-5FE0-4795-909F-BCE4990725F3}"/>
    <cellStyle name="Comma 4 2 2 3 2 2 4" xfId="9251" xr:uid="{75E8EDBF-DC37-4A8A-87B4-0C1B35CDC56E}"/>
    <cellStyle name="Comma 4 2 2 3 2 2 5" xfId="17686" xr:uid="{EE311D12-E080-4240-8F19-8D850A510194}"/>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91310535-538D-4E88-BC62-C885BC0AABEC}"/>
    <cellStyle name="Comma 4 2 2 3 2 3 2 2 3" xfId="24461" xr:uid="{3F7EBC73-C808-4341-9C84-600A1AD73C73}"/>
    <cellStyle name="Comma 4 2 2 3 2 3 2 3" xfId="11809" xr:uid="{B4842D72-FBB1-429F-9E4F-A5284D1B99C3}"/>
    <cellStyle name="Comma 4 2 2 3 2 3 2 4" xfId="20244" xr:uid="{283F7CC6-D836-4D6C-865D-5076E5159C20}"/>
    <cellStyle name="Comma 4 2 2 3 2 3 3" xfId="5432" xr:uid="{00000000-0005-0000-0000-000006080000}"/>
    <cellStyle name="Comma 4 2 2 3 2 3 3 2" xfId="13882" xr:uid="{4E40728A-B44A-4FA0-82CC-B189B17A8B5D}"/>
    <cellStyle name="Comma 4 2 2 3 2 3 3 3" xfId="22316" xr:uid="{19026468-E568-405B-8444-BDFD489E1716}"/>
    <cellStyle name="Comma 4 2 2 3 2 3 4" xfId="9664" xr:uid="{2F330AD4-0A68-4E80-964C-0EFF1A79A502}"/>
    <cellStyle name="Comma 4 2 2 3 2 3 5" xfId="18099" xr:uid="{367093B8-F54B-4220-9E6F-959697C9944C}"/>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CC995F57-63B2-4D42-9C2F-47F520D98EFE}"/>
    <cellStyle name="Comma 4 2 2 3 2 4 2 2 3" xfId="24874" xr:uid="{3BE8D61F-CC0D-4910-8980-3AA56134160F}"/>
    <cellStyle name="Comma 4 2 2 3 2 4 2 3" xfId="12222" xr:uid="{9D8E4519-EDFA-47D6-9578-690DF3B339F5}"/>
    <cellStyle name="Comma 4 2 2 3 2 4 2 4" xfId="20657" xr:uid="{C87741E7-DE2A-474A-9CE6-A6B99C706B66}"/>
    <cellStyle name="Comma 4 2 2 3 2 4 3" xfId="5845" xr:uid="{00000000-0005-0000-0000-00000A080000}"/>
    <cellStyle name="Comma 4 2 2 3 2 4 3 2" xfId="14295" xr:uid="{9A77F76B-E8EE-48BB-92F9-8CF3077B2F2F}"/>
    <cellStyle name="Comma 4 2 2 3 2 4 3 3" xfId="22729" xr:uid="{3132A6BF-97A6-44C5-8BA3-F06168B0FF97}"/>
    <cellStyle name="Comma 4 2 2 3 2 4 4" xfId="10077" xr:uid="{3D31A0D1-D9BA-4282-B0EC-671734198E06}"/>
    <cellStyle name="Comma 4 2 2 3 2 4 5" xfId="18512" xr:uid="{7E6E5698-80FB-4E8C-AD02-2060C048308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ED71FE6C-DEED-4CEA-A266-7DFE68E83D6B}"/>
    <cellStyle name="Comma 4 2 2 3 2 5 2 2 3" xfId="25287" xr:uid="{719A9743-05A0-4943-AF6A-B4A8D22B4B4A}"/>
    <cellStyle name="Comma 4 2 2 3 2 5 2 3" xfId="12635" xr:uid="{F52B6962-987D-462A-8912-02A938877088}"/>
    <cellStyle name="Comma 4 2 2 3 2 5 2 4" xfId="21070" xr:uid="{81605F54-946C-4307-B2BB-4882F882EED9}"/>
    <cellStyle name="Comma 4 2 2 3 2 5 3" xfId="6258" xr:uid="{00000000-0005-0000-0000-00000E080000}"/>
    <cellStyle name="Comma 4 2 2 3 2 5 3 2" xfId="14708" xr:uid="{41E45626-6829-48C6-8088-2A2E0B91D3C8}"/>
    <cellStyle name="Comma 4 2 2 3 2 5 3 3" xfId="23142" xr:uid="{13F7D0E0-81E0-411D-8D44-AD7D0CF7CCE3}"/>
    <cellStyle name="Comma 4 2 2 3 2 5 4" xfId="10490" xr:uid="{17FCE698-530D-4B8C-B233-6A6AF5314195}"/>
    <cellStyle name="Comma 4 2 2 3 2 5 5" xfId="18925" xr:uid="{C2B63369-61F8-48B6-B6DB-2425EBEE3218}"/>
    <cellStyle name="Comma 4 2 2 3 2 6" xfId="2387" xr:uid="{00000000-0005-0000-0000-00000F080000}"/>
    <cellStyle name="Comma 4 2 2 3 2 6 2" xfId="6671" xr:uid="{00000000-0005-0000-0000-000010080000}"/>
    <cellStyle name="Comma 4 2 2 3 2 6 2 2" xfId="15121" xr:uid="{9F65209C-2B48-4C0C-BF5C-21D5B89D5AC4}"/>
    <cellStyle name="Comma 4 2 2 3 2 6 2 3" xfId="23555" xr:uid="{1A032324-BC2C-4E34-9BB3-497FA4D0E476}"/>
    <cellStyle name="Comma 4 2 2 3 2 6 3" xfId="10903" xr:uid="{B2781DFD-5BA6-4F52-BD3A-CD8204EF650D}"/>
    <cellStyle name="Comma 4 2 2 3 2 6 4" xfId="19338" xr:uid="{8A3E442B-2203-4EE9-9FB1-A215683D7D58}"/>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B496C9DA-B8C6-4FA5-A4BB-2636EE466608}"/>
    <cellStyle name="Comma 4 2 2 3 2 8 2 3" xfId="23872" xr:uid="{CFAE18E1-D881-4C0F-8AED-33228CD545DF}"/>
    <cellStyle name="Comma 4 2 2 3 2 8 3" xfId="11220" xr:uid="{1EDAC07F-5AE1-437A-8FBC-D104FF66881F}"/>
    <cellStyle name="Comma 4 2 2 3 2 8 4" xfId="19655" xr:uid="{F965FB45-6003-4171-8612-D630C15F91D1}"/>
    <cellStyle name="Comma 4 2 2 3 2 9" xfId="4605" xr:uid="{00000000-0005-0000-0000-000014080000}"/>
    <cellStyle name="Comma 4 2 2 3 2 9 2" xfId="13055" xr:uid="{CAC25876-2D13-40B3-9ACE-E1A2A0EAB87D}"/>
    <cellStyle name="Comma 4 2 2 3 2 9 3" xfId="21489" xr:uid="{263897B0-F971-4D77-B5C2-132E90F109EA}"/>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AA34C9C1-C43C-42D6-9F1F-5B77D953C116}"/>
    <cellStyle name="Comma 4 2 2 3 3 2 2 3" xfId="24047" xr:uid="{6139137A-BD7E-4FED-B1B3-C9B78F83B292}"/>
    <cellStyle name="Comma 4 2 2 3 3 2 3" xfId="11395" xr:uid="{255012A5-A3D2-4D54-90F8-DE1CBED5A459}"/>
    <cellStyle name="Comma 4 2 2 3 3 2 4" xfId="19830" xr:uid="{12A4F7FC-C313-4583-B9E7-0680CB463B9E}"/>
    <cellStyle name="Comma 4 2 2 3 3 3" xfId="5018" xr:uid="{00000000-0005-0000-0000-000018080000}"/>
    <cellStyle name="Comma 4 2 2 3 3 3 2" xfId="13468" xr:uid="{5BFD49F1-8422-442E-A034-326EB51B9189}"/>
    <cellStyle name="Comma 4 2 2 3 3 3 3" xfId="21902" xr:uid="{27803639-FCFB-4843-BE2C-F85E8A413E60}"/>
    <cellStyle name="Comma 4 2 2 3 3 4" xfId="9250" xr:uid="{F59373E7-92F9-4FE5-AE07-3A014811A214}"/>
    <cellStyle name="Comma 4 2 2 3 3 5" xfId="17685" xr:uid="{BADA1B35-E9D2-4081-A3A3-980BD29CB54C}"/>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30EC2732-49FB-4603-AE04-5FE409754BA6}"/>
    <cellStyle name="Comma 4 2 2 3 4 2 2 3" xfId="24460" xr:uid="{946603EB-9B27-47B4-B024-A2053B0DA6A8}"/>
    <cellStyle name="Comma 4 2 2 3 4 2 3" xfId="11808" xr:uid="{E803274D-711B-4B62-A781-2AE6C29ED38C}"/>
    <cellStyle name="Comma 4 2 2 3 4 2 4" xfId="20243" xr:uid="{E66B2E8D-0E81-445D-A79D-E2666E4577C0}"/>
    <cellStyle name="Comma 4 2 2 3 4 3" xfId="5431" xr:uid="{00000000-0005-0000-0000-00001C080000}"/>
    <cellStyle name="Comma 4 2 2 3 4 3 2" xfId="13881" xr:uid="{5B113597-74B6-46D1-98B3-69AE3EC85084}"/>
    <cellStyle name="Comma 4 2 2 3 4 3 3" xfId="22315" xr:uid="{EB9C044B-4313-42C8-BD3D-E62C2B52B0C2}"/>
    <cellStyle name="Comma 4 2 2 3 4 4" xfId="9663" xr:uid="{A0A3F21F-44C0-4135-9BFE-F03B85941061}"/>
    <cellStyle name="Comma 4 2 2 3 4 5" xfId="18098" xr:uid="{26482864-9143-44E2-BCDB-F9A2E4A4D16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79305E57-89A6-4C05-8781-05AEB0A235FF}"/>
    <cellStyle name="Comma 4 2 2 3 5 2 2 3" xfId="24873" xr:uid="{08B34180-150D-4696-A3AF-83F0E56D0C33}"/>
    <cellStyle name="Comma 4 2 2 3 5 2 3" xfId="12221" xr:uid="{048D19C0-E49F-41DF-A738-F876F5F48512}"/>
    <cellStyle name="Comma 4 2 2 3 5 2 4" xfId="20656" xr:uid="{52579542-A127-470F-BB44-CA4C845CC8F3}"/>
    <cellStyle name="Comma 4 2 2 3 5 3" xfId="5844" xr:uid="{00000000-0005-0000-0000-000020080000}"/>
    <cellStyle name="Comma 4 2 2 3 5 3 2" xfId="14294" xr:uid="{CC73F1CF-BFCE-4DFA-8B48-BB8A38626D17}"/>
    <cellStyle name="Comma 4 2 2 3 5 3 3" xfId="22728" xr:uid="{469265FF-15CF-47FB-AA27-6D3FD2941F49}"/>
    <cellStyle name="Comma 4 2 2 3 5 4" xfId="10076" xr:uid="{DC3B4E45-A4C7-4618-92BE-96EB66769D8E}"/>
    <cellStyle name="Comma 4 2 2 3 5 5" xfId="18511" xr:uid="{A5EA0D90-2B40-44B6-87F5-DB348E5FDAB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0E08A6DA-BD4C-4058-A060-0DEF985AA945}"/>
    <cellStyle name="Comma 4 2 2 3 6 2 2 3" xfId="25286" xr:uid="{DB32A883-A56A-46E7-B2EE-D75F2F9B0EEC}"/>
    <cellStyle name="Comma 4 2 2 3 6 2 3" xfId="12634" xr:uid="{9ED267A7-C515-4EF6-AFD7-9C67EF4C67EC}"/>
    <cellStyle name="Comma 4 2 2 3 6 2 4" xfId="21069" xr:uid="{82B636B1-253B-48D1-B237-C82B5A3C7A2C}"/>
    <cellStyle name="Comma 4 2 2 3 6 3" xfId="6257" xr:uid="{00000000-0005-0000-0000-000024080000}"/>
    <cellStyle name="Comma 4 2 2 3 6 3 2" xfId="14707" xr:uid="{42E1A2B0-191A-4F5B-A9B0-6F29DB0B137C}"/>
    <cellStyle name="Comma 4 2 2 3 6 3 3" xfId="23141" xr:uid="{8AD9DBDA-C5A1-47DD-97FD-019366484A42}"/>
    <cellStyle name="Comma 4 2 2 3 6 4" xfId="10489" xr:uid="{B71BECDD-272D-47A0-A436-AF04F8CF8891}"/>
    <cellStyle name="Comma 4 2 2 3 6 5" xfId="18924" xr:uid="{4391BA7E-A126-4FEA-AF09-8FAE561E0721}"/>
    <cellStyle name="Comma 4 2 2 3 7" xfId="2386" xr:uid="{00000000-0005-0000-0000-000025080000}"/>
    <cellStyle name="Comma 4 2 2 3 7 2" xfId="6670" xr:uid="{00000000-0005-0000-0000-000026080000}"/>
    <cellStyle name="Comma 4 2 2 3 7 2 2" xfId="15120" xr:uid="{1918D80B-86EB-4C3B-BB9A-E85116C5A80C}"/>
    <cellStyle name="Comma 4 2 2 3 7 2 3" xfId="23554" xr:uid="{B5D986B0-D118-4E4B-8FD9-54548B53129E}"/>
    <cellStyle name="Comma 4 2 2 3 7 3" xfId="10902" xr:uid="{6E728782-6354-4235-9D64-F15FD8994201}"/>
    <cellStyle name="Comma 4 2 2 3 7 4" xfId="19337" xr:uid="{63452262-EA92-44FE-905F-68B933E980CE}"/>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36FE326F-C0A7-4BFC-8471-F615F3FA188C}"/>
    <cellStyle name="Comma 4 2 2 3 9 2 3" xfId="23871" xr:uid="{BAC760E9-022A-4F3F-ABE3-992A82C67C62}"/>
    <cellStyle name="Comma 4 2 2 3 9 3" xfId="11219" xr:uid="{CB585DC9-58C4-4227-ABFF-A4CCC1932C8B}"/>
    <cellStyle name="Comma 4 2 2 3 9 4" xfId="19654" xr:uid="{89881FBD-7902-4426-8E54-C71D2D15ED5A}"/>
    <cellStyle name="Comma 4 2 2 4" xfId="134" xr:uid="{00000000-0005-0000-0000-00002A080000}"/>
    <cellStyle name="Comma 4 2 2 4 10" xfId="8838" xr:uid="{DDFF6ED3-2E26-4A92-B1F8-59858BC5B8F5}"/>
    <cellStyle name="Comma 4 2 2 4 11" xfId="17273" xr:uid="{053E3562-B979-4519-800F-FFDE96FD77B4}"/>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FD362BE3-D6B0-4D42-AFB7-5650D2AB4DAE}"/>
    <cellStyle name="Comma 4 2 2 4 2 2 2 3" xfId="24049" xr:uid="{8A8CE7A7-600B-49E7-8BEA-328F80A69994}"/>
    <cellStyle name="Comma 4 2 2 4 2 2 3" xfId="11397" xr:uid="{7D4D3B09-8110-4670-8B5A-0F68A26DF4E2}"/>
    <cellStyle name="Comma 4 2 2 4 2 2 4" xfId="19832" xr:uid="{7F255744-8328-4D7B-8E99-A4B43BCB7BBA}"/>
    <cellStyle name="Comma 4 2 2 4 2 3" xfId="5020" xr:uid="{00000000-0005-0000-0000-00002E080000}"/>
    <cellStyle name="Comma 4 2 2 4 2 3 2" xfId="13470" xr:uid="{964CA95A-5972-444D-A03F-8543308478E6}"/>
    <cellStyle name="Comma 4 2 2 4 2 3 3" xfId="21904" xr:uid="{792F5F3D-8647-413D-94E9-1D12ABE382AD}"/>
    <cellStyle name="Comma 4 2 2 4 2 4" xfId="9252" xr:uid="{4D498E34-DB54-42B8-A319-2BB1F9909EC7}"/>
    <cellStyle name="Comma 4 2 2 4 2 5" xfId="17687" xr:uid="{D3A60790-2C95-455F-AD7B-A057D816B65D}"/>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82BC6EA0-CC5F-41D9-95DD-B5C137D56982}"/>
    <cellStyle name="Comma 4 2 2 4 3 2 2 3" xfId="24462" xr:uid="{938C216D-07FF-4C58-AE33-8EBC19DB438A}"/>
    <cellStyle name="Comma 4 2 2 4 3 2 3" xfId="11810" xr:uid="{BE89251A-119F-4AF7-8100-0F4690841BF6}"/>
    <cellStyle name="Comma 4 2 2 4 3 2 4" xfId="20245" xr:uid="{CBE07BE2-5DE5-4849-96E4-EECC210F345B}"/>
    <cellStyle name="Comma 4 2 2 4 3 3" xfId="5433" xr:uid="{00000000-0005-0000-0000-000032080000}"/>
    <cellStyle name="Comma 4 2 2 4 3 3 2" xfId="13883" xr:uid="{4B6D5DAA-B95B-4443-B972-91D33D4CB688}"/>
    <cellStyle name="Comma 4 2 2 4 3 3 3" xfId="22317" xr:uid="{03754916-7798-4BB0-81B7-0103DA1AA388}"/>
    <cellStyle name="Comma 4 2 2 4 3 4" xfId="9665" xr:uid="{EE83122C-6D04-4F01-AEDF-10939532C1FE}"/>
    <cellStyle name="Comma 4 2 2 4 3 5" xfId="18100" xr:uid="{624C2485-723A-4563-B79B-FF9D42C9465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27792A83-50F8-453D-AF54-752B9F0D6DF2}"/>
    <cellStyle name="Comma 4 2 2 4 4 2 2 3" xfId="24875" xr:uid="{15793BF1-D041-45ED-8F5C-84381C408A4A}"/>
    <cellStyle name="Comma 4 2 2 4 4 2 3" xfId="12223" xr:uid="{754A1A23-C33D-4F2E-8340-5059F2E1D51F}"/>
    <cellStyle name="Comma 4 2 2 4 4 2 4" xfId="20658" xr:uid="{C997772F-4844-452A-B857-27FC4EF83ADF}"/>
    <cellStyle name="Comma 4 2 2 4 4 3" xfId="5846" xr:uid="{00000000-0005-0000-0000-000036080000}"/>
    <cellStyle name="Comma 4 2 2 4 4 3 2" xfId="14296" xr:uid="{7EFB48D4-9EB0-4011-BACE-07F0F9D48B5E}"/>
    <cellStyle name="Comma 4 2 2 4 4 3 3" xfId="22730" xr:uid="{39F7B9B5-1ECA-4161-BD38-636AB67114EA}"/>
    <cellStyle name="Comma 4 2 2 4 4 4" xfId="10078" xr:uid="{91B27785-097E-4989-8D97-E14E1F812383}"/>
    <cellStyle name="Comma 4 2 2 4 4 5" xfId="18513" xr:uid="{14E4901C-9E9E-4E43-8CE8-4051335DF0B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369F4E5D-4C1C-4D0B-883D-D9D2A7782CCD}"/>
    <cellStyle name="Comma 4 2 2 4 5 2 2 3" xfId="25288" xr:uid="{46C970F0-9472-429A-935D-533AAA0D76EC}"/>
    <cellStyle name="Comma 4 2 2 4 5 2 3" xfId="12636" xr:uid="{906F37C4-A38F-4A35-8613-927D94BF463C}"/>
    <cellStyle name="Comma 4 2 2 4 5 2 4" xfId="21071" xr:uid="{C3FC40E4-B411-48E7-ABC6-CF76816B5DFB}"/>
    <cellStyle name="Comma 4 2 2 4 5 3" xfId="6259" xr:uid="{00000000-0005-0000-0000-00003A080000}"/>
    <cellStyle name="Comma 4 2 2 4 5 3 2" xfId="14709" xr:uid="{529E193A-AB55-42CF-A409-15CE9A096FF7}"/>
    <cellStyle name="Comma 4 2 2 4 5 3 3" xfId="23143" xr:uid="{67C27DFE-4499-4F6B-8B1B-F84961CCCD22}"/>
    <cellStyle name="Comma 4 2 2 4 5 4" xfId="10491" xr:uid="{EA2169E4-6DBC-4CBF-8DB6-A07A93EBB5F7}"/>
    <cellStyle name="Comma 4 2 2 4 5 5" xfId="18926" xr:uid="{1BEE7904-023C-4FE9-8514-4B9270B2A98F}"/>
    <cellStyle name="Comma 4 2 2 4 6" xfId="2388" xr:uid="{00000000-0005-0000-0000-00003B080000}"/>
    <cellStyle name="Comma 4 2 2 4 6 2" xfId="6672" xr:uid="{00000000-0005-0000-0000-00003C080000}"/>
    <cellStyle name="Comma 4 2 2 4 6 2 2" xfId="15122" xr:uid="{9CB53611-2BBF-41C4-B13D-041F6C1B9670}"/>
    <cellStyle name="Comma 4 2 2 4 6 2 3" xfId="23556" xr:uid="{6994D214-5302-4E11-97D0-1F7A06FA8F7F}"/>
    <cellStyle name="Comma 4 2 2 4 6 3" xfId="10904" xr:uid="{74A9B011-D037-4BB2-923C-16D2DB177B38}"/>
    <cellStyle name="Comma 4 2 2 4 6 4" xfId="19339" xr:uid="{31B54798-DBA5-4F8B-85E9-4CB9C96266CD}"/>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13AF0F14-BCB6-445C-90A0-7B77F1E699BA}"/>
    <cellStyle name="Comma 4 2 2 4 8 2 3" xfId="23873" xr:uid="{4502C340-DFEF-46A9-AC9A-63630E84607B}"/>
    <cellStyle name="Comma 4 2 2 4 8 3" xfId="11221" xr:uid="{73224CE7-0B1B-4C1F-8D3D-699F474C866F}"/>
    <cellStyle name="Comma 4 2 2 4 8 4" xfId="19656" xr:uid="{96E671EB-9EF2-4ECC-8500-3189A2434A4D}"/>
    <cellStyle name="Comma 4 2 2 4 9" xfId="4606" xr:uid="{00000000-0005-0000-0000-000040080000}"/>
    <cellStyle name="Comma 4 2 2 4 9 2" xfId="13056" xr:uid="{A83A0CA9-0519-4E38-A146-462DA7078FFE}"/>
    <cellStyle name="Comma 4 2 2 4 9 3" xfId="21490" xr:uid="{7132BFD3-8D69-4B8F-BBD5-6C2775BA12D2}"/>
    <cellStyle name="Comma 4 2 2 5" xfId="135" xr:uid="{00000000-0005-0000-0000-000041080000}"/>
    <cellStyle name="Comma 4 2 2 5 10" xfId="8839" xr:uid="{8E10D199-5C2F-4080-9D8B-57E9F39F12C2}"/>
    <cellStyle name="Comma 4 2 2 5 11" xfId="17274" xr:uid="{E1010C19-91DD-4CCA-99CC-114692274577}"/>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25CBD077-0F5B-4160-AF81-8113B108006B}"/>
    <cellStyle name="Comma 4 2 2 5 2 2 2 3" xfId="24050" xr:uid="{FE53023C-5798-4532-A7ED-572F533384CE}"/>
    <cellStyle name="Comma 4 2 2 5 2 2 3" xfId="11398" xr:uid="{8C31F17C-5C4E-4296-BFED-1891BA3B2E30}"/>
    <cellStyle name="Comma 4 2 2 5 2 2 4" xfId="19833" xr:uid="{C6F02851-AD1C-44C0-B950-091C544442C5}"/>
    <cellStyle name="Comma 4 2 2 5 2 3" xfId="5021" xr:uid="{00000000-0005-0000-0000-000045080000}"/>
    <cellStyle name="Comma 4 2 2 5 2 3 2" xfId="13471" xr:uid="{DD3CE5CE-A4D0-4DEC-8E32-CF7EA18EEB5B}"/>
    <cellStyle name="Comma 4 2 2 5 2 3 3" xfId="21905" xr:uid="{847631F9-8EC4-4F36-B7FB-2AF49F90DA49}"/>
    <cellStyle name="Comma 4 2 2 5 2 4" xfId="9253" xr:uid="{1E685171-CFE0-485E-A535-9AACAC03D64C}"/>
    <cellStyle name="Comma 4 2 2 5 2 5" xfId="17688" xr:uid="{D04892F3-7C1D-4A71-B4CF-84D16788307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920A00EB-52ED-48BB-B0F9-ACA4A0CC88B4}"/>
    <cellStyle name="Comma 4 2 2 5 3 2 2 3" xfId="24463" xr:uid="{5A26BA56-B48C-4FC9-B977-DD4E688A185B}"/>
    <cellStyle name="Comma 4 2 2 5 3 2 3" xfId="11811" xr:uid="{376DE088-1125-4919-AE7D-412E97A008AB}"/>
    <cellStyle name="Comma 4 2 2 5 3 2 4" xfId="20246" xr:uid="{95ED28EA-E698-4F65-B0F3-71053236D6BB}"/>
    <cellStyle name="Comma 4 2 2 5 3 3" xfId="5434" xr:uid="{00000000-0005-0000-0000-000049080000}"/>
    <cellStyle name="Comma 4 2 2 5 3 3 2" xfId="13884" xr:uid="{9E89ACBC-3B07-4062-A2FC-D0AAC7E5117B}"/>
    <cellStyle name="Comma 4 2 2 5 3 3 3" xfId="22318" xr:uid="{B5F4D84A-7997-48CF-91DF-E89D0FBBD219}"/>
    <cellStyle name="Comma 4 2 2 5 3 4" xfId="9666" xr:uid="{B96FFBD7-E847-49F5-83D1-E6A9F4A54EFC}"/>
    <cellStyle name="Comma 4 2 2 5 3 5" xfId="18101" xr:uid="{3FFD9703-C2DD-44DF-92FE-73E5B2F50608}"/>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9EFEF669-D55A-45DE-9A5A-2CA245674FA4}"/>
    <cellStyle name="Comma 4 2 2 5 4 2 2 3" xfId="24876" xr:uid="{1195C175-D07C-4F82-8421-5C0A7A189903}"/>
    <cellStyle name="Comma 4 2 2 5 4 2 3" xfId="12224" xr:uid="{0AFA24D2-5B29-4AB9-BC90-DD59B198402F}"/>
    <cellStyle name="Comma 4 2 2 5 4 2 4" xfId="20659" xr:uid="{5943755C-F758-4226-BBD3-CC4FEBCEB8EE}"/>
    <cellStyle name="Comma 4 2 2 5 4 3" xfId="5847" xr:uid="{00000000-0005-0000-0000-00004D080000}"/>
    <cellStyle name="Comma 4 2 2 5 4 3 2" xfId="14297" xr:uid="{261F4CC5-8CF7-4A67-8249-42C815DD96B8}"/>
    <cellStyle name="Comma 4 2 2 5 4 3 3" xfId="22731" xr:uid="{CBAF8AD8-3C2A-4F5F-AD92-CCC642DCA62F}"/>
    <cellStyle name="Comma 4 2 2 5 4 4" xfId="10079" xr:uid="{D512D2B6-A400-4E6A-9BE2-3DA1675F8461}"/>
    <cellStyle name="Comma 4 2 2 5 4 5" xfId="18514" xr:uid="{2DE9717D-96AE-4B10-938E-EA23B10FEBA2}"/>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07482120-3EB2-4F2E-92C1-E442C101882F}"/>
    <cellStyle name="Comma 4 2 2 5 5 2 2 3" xfId="25289" xr:uid="{3F8AECD0-7271-4FCD-B3B7-ECAF76CBF092}"/>
    <cellStyle name="Comma 4 2 2 5 5 2 3" xfId="12637" xr:uid="{FD2606B8-A1D3-4E0E-8E99-4BCC6F9D4F2C}"/>
    <cellStyle name="Comma 4 2 2 5 5 2 4" xfId="21072" xr:uid="{69B0FAB2-655C-4135-91DF-B7982D58F258}"/>
    <cellStyle name="Comma 4 2 2 5 5 3" xfId="6260" xr:uid="{00000000-0005-0000-0000-000051080000}"/>
    <cellStyle name="Comma 4 2 2 5 5 3 2" xfId="14710" xr:uid="{6CACF915-1B1F-47FB-8AC3-BE08017F7EB8}"/>
    <cellStyle name="Comma 4 2 2 5 5 3 3" xfId="23144" xr:uid="{353C2FF6-B22D-41FC-B7CB-7C033B97DA0A}"/>
    <cellStyle name="Comma 4 2 2 5 5 4" xfId="10492" xr:uid="{1C0EB995-C5FF-4AED-B0EB-055C323F9581}"/>
    <cellStyle name="Comma 4 2 2 5 5 5" xfId="18927" xr:uid="{F7F21E86-2F13-4124-81E8-4797BE6CE137}"/>
    <cellStyle name="Comma 4 2 2 5 6" xfId="2389" xr:uid="{00000000-0005-0000-0000-000052080000}"/>
    <cellStyle name="Comma 4 2 2 5 6 2" xfId="6673" xr:uid="{00000000-0005-0000-0000-000053080000}"/>
    <cellStyle name="Comma 4 2 2 5 6 2 2" xfId="15123" xr:uid="{02106948-2BAE-4B3F-AD49-0662B6FFFDF7}"/>
    <cellStyle name="Comma 4 2 2 5 6 2 3" xfId="23557" xr:uid="{48D7B5AD-5B3B-4F1B-8209-DFCBD245F7AB}"/>
    <cellStyle name="Comma 4 2 2 5 6 3" xfId="10905" xr:uid="{4DD2BC04-156A-4763-A306-2D680E43D744}"/>
    <cellStyle name="Comma 4 2 2 5 6 4" xfId="19340" xr:uid="{38294CFC-2EE9-4DE6-AFEC-5FC33BF763DF}"/>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5B03E174-FFF5-4E78-950F-94766B216634}"/>
    <cellStyle name="Comma 4 2 2 5 8 2 3" xfId="23874" xr:uid="{02709101-DAB9-411F-A863-53F117398A76}"/>
    <cellStyle name="Comma 4 2 2 5 8 3" xfId="11222" xr:uid="{B81AB41F-DAC3-47A7-944D-ED3CD8EE0EEF}"/>
    <cellStyle name="Comma 4 2 2 5 8 4" xfId="19657" xr:uid="{2DFA7974-BF9C-4DCF-BF82-523F8A40FB87}"/>
    <cellStyle name="Comma 4 2 2 5 9" xfId="4607" xr:uid="{00000000-0005-0000-0000-000057080000}"/>
    <cellStyle name="Comma 4 2 2 5 9 2" xfId="13057" xr:uid="{93FFEE6A-6E9F-432A-9A73-6AA048502C51}"/>
    <cellStyle name="Comma 4 2 2 5 9 3" xfId="21491" xr:uid="{8E2676C0-FDA4-4954-AAB8-EA8882561E9E}"/>
    <cellStyle name="Comma 4 2 3" xfId="136" xr:uid="{00000000-0005-0000-0000-000058080000}"/>
    <cellStyle name="Comma 4 2 3 10" xfId="2768" xr:uid="{00000000-0005-0000-0000-000059080000}"/>
    <cellStyle name="Comma 4 2 3 10 2" xfId="6991" xr:uid="{00000000-0005-0000-0000-00005A080000}"/>
    <cellStyle name="Comma 4 2 3 10 2 2" xfId="15441" xr:uid="{FA34E779-8680-4A58-BE89-490F20C2DD04}"/>
    <cellStyle name="Comma 4 2 3 10 2 3" xfId="23875" xr:uid="{02CD7E86-F330-4EC5-9987-CC5968CE7C9C}"/>
    <cellStyle name="Comma 4 2 3 10 3" xfId="11223" xr:uid="{1CBB4255-8ABD-453C-8168-81DB921BA44E}"/>
    <cellStyle name="Comma 4 2 3 10 4" xfId="19658" xr:uid="{32D11706-4798-404C-8A5C-78E851CE9547}"/>
    <cellStyle name="Comma 4 2 3 11" xfId="4608" xr:uid="{00000000-0005-0000-0000-00005B080000}"/>
    <cellStyle name="Comma 4 2 3 11 2" xfId="13058" xr:uid="{03F57B3E-C2BC-41FB-B508-FC46E7240D85}"/>
    <cellStyle name="Comma 4 2 3 11 3" xfId="21492" xr:uid="{C8A44CA3-A68A-47A0-BF90-69ECF692C9ED}"/>
    <cellStyle name="Comma 4 2 3 12" xfId="8840" xr:uid="{00FEE61D-8A1D-4E69-BD35-00DC6936F6A7}"/>
    <cellStyle name="Comma 4 2 3 13" xfId="17275" xr:uid="{524CE0C6-C29E-49BE-8A65-2617E83FEDB1}"/>
    <cellStyle name="Comma 4 2 3 2" xfId="137" xr:uid="{00000000-0005-0000-0000-00005C080000}"/>
    <cellStyle name="Comma 4 2 3 2 10" xfId="4609" xr:uid="{00000000-0005-0000-0000-00005D080000}"/>
    <cellStyle name="Comma 4 2 3 2 10 2" xfId="13059" xr:uid="{3B1DE6AD-70FC-40DC-815B-E2F89BDE53C7}"/>
    <cellStyle name="Comma 4 2 3 2 10 3" xfId="21493" xr:uid="{8D2A34C5-DB8E-48EB-8E54-DBE42FDE83E5}"/>
    <cellStyle name="Comma 4 2 3 2 11" xfId="8841" xr:uid="{19E16903-1227-477F-BDA3-485CE8DBA42B}"/>
    <cellStyle name="Comma 4 2 3 2 12" xfId="17276" xr:uid="{5AC96866-CB30-4F90-9E82-ED8D62394C3F}"/>
    <cellStyle name="Comma 4 2 3 2 2" xfId="138" xr:uid="{00000000-0005-0000-0000-00005E080000}"/>
    <cellStyle name="Comma 4 2 3 2 2 10" xfId="8842" xr:uid="{0714D5A5-1EF6-435D-90E4-8911AE9C4E3C}"/>
    <cellStyle name="Comma 4 2 3 2 2 11" xfId="17277" xr:uid="{AD8A3EF8-D135-4328-81D6-FD614C88112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034CB85F-CF23-4621-AB54-DAF941FF49C8}"/>
    <cellStyle name="Comma 4 2 3 2 2 2 2 2 3" xfId="24053" xr:uid="{5D79BEF6-D299-4CA5-A15B-3C4BB38DE3AB}"/>
    <cellStyle name="Comma 4 2 3 2 2 2 2 3" xfId="11401" xr:uid="{41E63764-D0FB-4A65-AAFB-9AA5D2772565}"/>
    <cellStyle name="Comma 4 2 3 2 2 2 2 4" xfId="19836" xr:uid="{B18A7FA6-C94E-40C6-B6BC-672E41D35711}"/>
    <cellStyle name="Comma 4 2 3 2 2 2 3" xfId="5024" xr:uid="{00000000-0005-0000-0000-000062080000}"/>
    <cellStyle name="Comma 4 2 3 2 2 2 3 2" xfId="13474" xr:uid="{8E3A760F-5F2D-4024-BA3C-E0D1D0808E5C}"/>
    <cellStyle name="Comma 4 2 3 2 2 2 3 3" xfId="21908" xr:uid="{DAA8663A-F285-40AA-B54E-510173BF09B8}"/>
    <cellStyle name="Comma 4 2 3 2 2 2 4" xfId="9256" xr:uid="{042B1E56-77EB-41CB-A137-E7B9F9578B63}"/>
    <cellStyle name="Comma 4 2 3 2 2 2 5" xfId="17691" xr:uid="{1C093AFB-E3D3-4EC8-AD71-AF3A87FB828F}"/>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9B134178-D711-461A-A930-B9AC554DC91F}"/>
    <cellStyle name="Comma 4 2 3 2 2 3 2 2 3" xfId="24466" xr:uid="{F72A8C5C-0534-4F08-B293-DAA6D09AD852}"/>
    <cellStyle name="Comma 4 2 3 2 2 3 2 3" xfId="11814" xr:uid="{92C2F7B8-B90D-40EF-BF2A-1EE464240B30}"/>
    <cellStyle name="Comma 4 2 3 2 2 3 2 4" xfId="20249" xr:uid="{EA79294B-BDFF-498B-9343-CC3115E396E9}"/>
    <cellStyle name="Comma 4 2 3 2 2 3 3" xfId="5437" xr:uid="{00000000-0005-0000-0000-000066080000}"/>
    <cellStyle name="Comma 4 2 3 2 2 3 3 2" xfId="13887" xr:uid="{D795C27A-72C4-4B26-85E8-382AEEFBFB1F}"/>
    <cellStyle name="Comma 4 2 3 2 2 3 3 3" xfId="22321" xr:uid="{E0BB2976-4AFA-45C0-BA97-7814C35C5783}"/>
    <cellStyle name="Comma 4 2 3 2 2 3 4" xfId="9669" xr:uid="{C6CA1CD6-BAC8-47AF-8D65-47170ED79083}"/>
    <cellStyle name="Comma 4 2 3 2 2 3 5" xfId="18104" xr:uid="{AA33C25A-3581-41CF-A9A7-F6EE4E3FFF1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4D0C0546-AB8B-4A1A-B47B-91E728905C0F}"/>
    <cellStyle name="Comma 4 2 3 2 2 4 2 2 3" xfId="24879" xr:uid="{EF8AA757-073E-48E3-9AC8-59FBB8056438}"/>
    <cellStyle name="Comma 4 2 3 2 2 4 2 3" xfId="12227" xr:uid="{B6EF12E4-6D3C-40C2-98E3-C818986FD0D0}"/>
    <cellStyle name="Comma 4 2 3 2 2 4 2 4" xfId="20662" xr:uid="{1BCBF523-4D99-4992-B4C9-B20D84E9ABF9}"/>
    <cellStyle name="Comma 4 2 3 2 2 4 3" xfId="5850" xr:uid="{00000000-0005-0000-0000-00006A080000}"/>
    <cellStyle name="Comma 4 2 3 2 2 4 3 2" xfId="14300" xr:uid="{B0B5235F-B052-4E42-ACB5-FCD09B803CBD}"/>
    <cellStyle name="Comma 4 2 3 2 2 4 3 3" xfId="22734" xr:uid="{CF92C84B-785F-441A-8E22-6BBD818B9890}"/>
    <cellStyle name="Comma 4 2 3 2 2 4 4" xfId="10082" xr:uid="{C52A9E74-1F30-4C0A-B4F9-3FEDDCCEC06B}"/>
    <cellStyle name="Comma 4 2 3 2 2 4 5" xfId="18517" xr:uid="{8C96D9AA-29ED-4C65-9F39-893A2900DF26}"/>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685C11C3-0F63-4661-9911-D69A33A59E32}"/>
    <cellStyle name="Comma 4 2 3 2 2 5 2 2 3" xfId="25292" xr:uid="{DA92D714-D984-47B3-B78E-7D5BA2F70B54}"/>
    <cellStyle name="Comma 4 2 3 2 2 5 2 3" xfId="12640" xr:uid="{F1CEB7DE-E53E-4F20-B735-CBE1511E6744}"/>
    <cellStyle name="Comma 4 2 3 2 2 5 2 4" xfId="21075" xr:uid="{61D2539B-3961-4F68-993C-ADF0EE8533C2}"/>
    <cellStyle name="Comma 4 2 3 2 2 5 3" xfId="6263" xr:uid="{00000000-0005-0000-0000-00006E080000}"/>
    <cellStyle name="Comma 4 2 3 2 2 5 3 2" xfId="14713" xr:uid="{89303A73-66A7-433C-BC15-2E01E755FF2D}"/>
    <cellStyle name="Comma 4 2 3 2 2 5 3 3" xfId="23147" xr:uid="{743EAEF6-5E1C-4CC5-92F9-84A15F6DD085}"/>
    <cellStyle name="Comma 4 2 3 2 2 5 4" xfId="10495" xr:uid="{91569A26-ED44-4874-9255-275C455962CA}"/>
    <cellStyle name="Comma 4 2 3 2 2 5 5" xfId="18930" xr:uid="{5C7C5A09-A499-40DC-B238-A139DBCC5A8F}"/>
    <cellStyle name="Comma 4 2 3 2 2 6" xfId="2392" xr:uid="{00000000-0005-0000-0000-00006F080000}"/>
    <cellStyle name="Comma 4 2 3 2 2 6 2" xfId="6676" xr:uid="{00000000-0005-0000-0000-000070080000}"/>
    <cellStyle name="Comma 4 2 3 2 2 6 2 2" xfId="15126" xr:uid="{F5E5B910-F607-4165-869D-479313826010}"/>
    <cellStyle name="Comma 4 2 3 2 2 6 2 3" xfId="23560" xr:uid="{DE9534DE-F6ED-4045-AC77-47EF4A4B11CE}"/>
    <cellStyle name="Comma 4 2 3 2 2 6 3" xfId="10908" xr:uid="{91F712D1-5363-45C5-8729-4AFE7AB2CBC3}"/>
    <cellStyle name="Comma 4 2 3 2 2 6 4" xfId="19343" xr:uid="{36499080-7E65-4B33-8994-4C9AF77AED06}"/>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107A6F38-C6AC-483D-89B6-1940F0923DA1}"/>
    <cellStyle name="Comma 4 2 3 2 2 8 2 3" xfId="23877" xr:uid="{8135AA07-8386-431B-9CA8-4A4ABFBA5B6C}"/>
    <cellStyle name="Comma 4 2 3 2 2 8 3" xfId="11225" xr:uid="{3253D1A6-0C25-4997-ADAE-5EDB3438654A}"/>
    <cellStyle name="Comma 4 2 3 2 2 8 4" xfId="19660" xr:uid="{74885711-FD6D-42D3-A7F5-67E7F0880691}"/>
    <cellStyle name="Comma 4 2 3 2 2 9" xfId="4610" xr:uid="{00000000-0005-0000-0000-000074080000}"/>
    <cellStyle name="Comma 4 2 3 2 2 9 2" xfId="13060" xr:uid="{F166B0F5-697E-4023-A74C-8D82D8381249}"/>
    <cellStyle name="Comma 4 2 3 2 2 9 3" xfId="21494" xr:uid="{4B10A0D1-6B71-4B9A-93DA-725073CFC682}"/>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E07D2F76-EC2F-41A3-8A4C-466E1FFF133B}"/>
    <cellStyle name="Comma 4 2 3 2 3 2 2 3" xfId="24052" xr:uid="{C8E9FB99-E9AD-4590-9C82-442F500BC441}"/>
    <cellStyle name="Comma 4 2 3 2 3 2 3" xfId="11400" xr:uid="{758B29B7-7BCA-411E-B438-438368605B50}"/>
    <cellStyle name="Comma 4 2 3 2 3 2 4" xfId="19835" xr:uid="{90AE89C9-30ED-4752-8212-0601CDD0C0D4}"/>
    <cellStyle name="Comma 4 2 3 2 3 3" xfId="5023" xr:uid="{00000000-0005-0000-0000-000078080000}"/>
    <cellStyle name="Comma 4 2 3 2 3 3 2" xfId="13473" xr:uid="{E9CF0526-41C5-4A37-A992-6E56360BBBC3}"/>
    <cellStyle name="Comma 4 2 3 2 3 3 3" xfId="21907" xr:uid="{0F551E18-DC10-4627-9AFD-C59A8C83A165}"/>
    <cellStyle name="Comma 4 2 3 2 3 4" xfId="9255" xr:uid="{2CC85070-B9B0-40EC-9C5C-F64027902BB7}"/>
    <cellStyle name="Comma 4 2 3 2 3 5" xfId="17690" xr:uid="{0D4A3B6B-7E18-4FCE-97C7-D9BEB422B951}"/>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7F97F01E-C91A-4937-B3DA-3C375E92D1C3}"/>
    <cellStyle name="Comma 4 2 3 2 4 2 2 3" xfId="24465" xr:uid="{C3AB6838-6630-449B-A5CA-AE950910DA8E}"/>
    <cellStyle name="Comma 4 2 3 2 4 2 3" xfId="11813" xr:uid="{52C84C6C-2C92-47A2-9F3E-BE5E8F3AFF74}"/>
    <cellStyle name="Comma 4 2 3 2 4 2 4" xfId="20248" xr:uid="{16B9CC74-8FDE-4352-B1BC-508CC892E2E7}"/>
    <cellStyle name="Comma 4 2 3 2 4 3" xfId="5436" xr:uid="{00000000-0005-0000-0000-00007C080000}"/>
    <cellStyle name="Comma 4 2 3 2 4 3 2" xfId="13886" xr:uid="{F406E2F5-E9E0-40C7-89CF-E201CE9F0163}"/>
    <cellStyle name="Comma 4 2 3 2 4 3 3" xfId="22320" xr:uid="{4E76500E-DE63-47A4-82DE-F1321B1E53B6}"/>
    <cellStyle name="Comma 4 2 3 2 4 4" xfId="9668" xr:uid="{4B8903C1-1A1F-4BD9-B606-F50565494A55}"/>
    <cellStyle name="Comma 4 2 3 2 4 5" xfId="18103" xr:uid="{D5C6B547-F9F9-4860-AE6F-E989A44FBDE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823A4D41-20D6-483E-887F-D901802F9BD1}"/>
    <cellStyle name="Comma 4 2 3 2 5 2 2 3" xfId="24878" xr:uid="{E8175C3E-9066-4982-A565-8BA485AC7737}"/>
    <cellStyle name="Comma 4 2 3 2 5 2 3" xfId="12226" xr:uid="{8BE56974-C3B6-4DEC-84EC-AE8A7CDCD993}"/>
    <cellStyle name="Comma 4 2 3 2 5 2 4" xfId="20661" xr:uid="{DB326810-4380-4A44-9FB6-706E23D6C7D2}"/>
    <cellStyle name="Comma 4 2 3 2 5 3" xfId="5849" xr:uid="{00000000-0005-0000-0000-000080080000}"/>
    <cellStyle name="Comma 4 2 3 2 5 3 2" xfId="14299" xr:uid="{016F570B-DA5E-4547-A3F6-E4F0071201AD}"/>
    <cellStyle name="Comma 4 2 3 2 5 3 3" xfId="22733" xr:uid="{6D08214B-33ED-4A9F-9005-0732611CF268}"/>
    <cellStyle name="Comma 4 2 3 2 5 4" xfId="10081" xr:uid="{E3246976-D2B2-4A35-A50B-9C9262094F8D}"/>
    <cellStyle name="Comma 4 2 3 2 5 5" xfId="18516" xr:uid="{178CE6D8-8C6C-4BA2-B0A9-CBCCF02D3D6E}"/>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A6F4F876-D9DE-4870-A35F-8A43A5FA360F}"/>
    <cellStyle name="Comma 4 2 3 2 6 2 2 3" xfId="25291" xr:uid="{8AA3057F-7110-4CB5-85BB-27C8140FCCD3}"/>
    <cellStyle name="Comma 4 2 3 2 6 2 3" xfId="12639" xr:uid="{73314234-D88C-475A-8965-FFEE86230AFB}"/>
    <cellStyle name="Comma 4 2 3 2 6 2 4" xfId="21074" xr:uid="{2954DAD1-62FA-4D74-9363-E10383B5DD71}"/>
    <cellStyle name="Comma 4 2 3 2 6 3" xfId="6262" xr:uid="{00000000-0005-0000-0000-000084080000}"/>
    <cellStyle name="Comma 4 2 3 2 6 3 2" xfId="14712" xr:uid="{3E68658E-56EA-453B-A742-F1EC0A7BAB26}"/>
    <cellStyle name="Comma 4 2 3 2 6 3 3" xfId="23146" xr:uid="{BE4699F7-4B60-4D32-8E8E-953E46BD8CBC}"/>
    <cellStyle name="Comma 4 2 3 2 6 4" xfId="10494" xr:uid="{1203DF59-75DD-47E4-BBBE-A45B81B42843}"/>
    <cellStyle name="Comma 4 2 3 2 6 5" xfId="18929" xr:uid="{8D5C334B-B0D9-4704-86F1-537B0CB14A36}"/>
    <cellStyle name="Comma 4 2 3 2 7" xfId="2391" xr:uid="{00000000-0005-0000-0000-000085080000}"/>
    <cellStyle name="Comma 4 2 3 2 7 2" xfId="6675" xr:uid="{00000000-0005-0000-0000-000086080000}"/>
    <cellStyle name="Comma 4 2 3 2 7 2 2" xfId="15125" xr:uid="{B34DAA90-4938-45DA-9773-C5FB3C5051C8}"/>
    <cellStyle name="Comma 4 2 3 2 7 2 3" xfId="23559" xr:uid="{7FD1DDD2-3AC8-4A99-A402-174BD75E4E3D}"/>
    <cellStyle name="Comma 4 2 3 2 7 3" xfId="10907" xr:uid="{4735A4C9-2EC1-441A-BB7E-8FD84DABF35E}"/>
    <cellStyle name="Comma 4 2 3 2 7 4" xfId="19342" xr:uid="{C02B1283-7557-407C-AB92-7F463348DBA6}"/>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929535B1-8883-4FF6-9017-8D628A44EB8A}"/>
    <cellStyle name="Comma 4 2 3 2 9 2 3" xfId="23876" xr:uid="{A7CC7728-B475-4226-B9DE-5BC6648D0937}"/>
    <cellStyle name="Comma 4 2 3 2 9 3" xfId="11224" xr:uid="{3D1BB47F-9416-4E82-80F2-315E13FF6D58}"/>
    <cellStyle name="Comma 4 2 3 2 9 4" xfId="19659" xr:uid="{3DA60D27-1FD6-465F-901D-C024B49E3B7C}"/>
    <cellStyle name="Comma 4 2 3 3" xfId="139" xr:uid="{00000000-0005-0000-0000-00008A080000}"/>
    <cellStyle name="Comma 4 2 3 3 10" xfId="8843" xr:uid="{F65CB3C2-EB38-4228-8287-21906CD7D5DD}"/>
    <cellStyle name="Comma 4 2 3 3 11" xfId="17278" xr:uid="{F3FA2781-F960-49F9-BBE1-5B1962893926}"/>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08C718F5-405A-4B91-AC0E-7EE6AD7B76BE}"/>
    <cellStyle name="Comma 4 2 3 3 2 2 2 3" xfId="24054" xr:uid="{643865FF-6A8A-4466-A8E9-596211D75E65}"/>
    <cellStyle name="Comma 4 2 3 3 2 2 3" xfId="11402" xr:uid="{E52A1589-4BAB-441C-AE5D-7C3024C4E7C1}"/>
    <cellStyle name="Comma 4 2 3 3 2 2 4" xfId="19837" xr:uid="{10EF379C-9696-481E-BD08-90CB34839B3D}"/>
    <cellStyle name="Comma 4 2 3 3 2 3" xfId="5025" xr:uid="{00000000-0005-0000-0000-00008E080000}"/>
    <cellStyle name="Comma 4 2 3 3 2 3 2" xfId="13475" xr:uid="{E7C849B4-DE74-486E-8C2F-144D5B6A8B90}"/>
    <cellStyle name="Comma 4 2 3 3 2 3 3" xfId="21909" xr:uid="{E8CE16AE-B077-464E-B18D-934EA0F9776E}"/>
    <cellStyle name="Comma 4 2 3 3 2 4" xfId="9257" xr:uid="{DCB5A3E8-4529-4A27-9D86-18F4D79A9AE4}"/>
    <cellStyle name="Comma 4 2 3 3 2 5" xfId="17692" xr:uid="{34370481-F248-4763-9E41-365192B3171E}"/>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AF8B0FF7-0B49-47ED-8AD7-D9A7B293950C}"/>
    <cellStyle name="Comma 4 2 3 3 3 2 2 3" xfId="24467" xr:uid="{04635611-5B80-4E25-962F-49EA0C2E2C40}"/>
    <cellStyle name="Comma 4 2 3 3 3 2 3" xfId="11815" xr:uid="{089D8EAC-FB84-4636-A12C-220ABEFA3A52}"/>
    <cellStyle name="Comma 4 2 3 3 3 2 4" xfId="20250" xr:uid="{8E4219B6-A4DC-4212-8EFF-1E86BC739F4B}"/>
    <cellStyle name="Comma 4 2 3 3 3 3" xfId="5438" xr:uid="{00000000-0005-0000-0000-000092080000}"/>
    <cellStyle name="Comma 4 2 3 3 3 3 2" xfId="13888" xr:uid="{ADC18D30-5903-4BF0-8488-C1D9F3629408}"/>
    <cellStyle name="Comma 4 2 3 3 3 3 3" xfId="22322" xr:uid="{1B90F2E0-7A55-4F44-B78C-EA01C9B65FB3}"/>
    <cellStyle name="Comma 4 2 3 3 3 4" xfId="9670" xr:uid="{01D07F77-2863-4907-BBB4-EEAA4929502B}"/>
    <cellStyle name="Comma 4 2 3 3 3 5" xfId="18105" xr:uid="{83FE7113-174D-4E5E-A9C4-4260FF1D10E1}"/>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FBB7973C-3B47-4711-946F-5205AD24C197}"/>
    <cellStyle name="Comma 4 2 3 3 4 2 2 3" xfId="24880" xr:uid="{7F27E051-7DB1-4E90-B4B8-E972F3512904}"/>
    <cellStyle name="Comma 4 2 3 3 4 2 3" xfId="12228" xr:uid="{D5B66D84-BD2C-49FC-9E73-09E5355A116E}"/>
    <cellStyle name="Comma 4 2 3 3 4 2 4" xfId="20663" xr:uid="{BDC63D10-F290-4A8A-8A3B-06868D84289A}"/>
    <cellStyle name="Comma 4 2 3 3 4 3" xfId="5851" xr:uid="{00000000-0005-0000-0000-000096080000}"/>
    <cellStyle name="Comma 4 2 3 3 4 3 2" xfId="14301" xr:uid="{C73175D6-AF43-4A1F-B333-659672BCC26B}"/>
    <cellStyle name="Comma 4 2 3 3 4 3 3" xfId="22735" xr:uid="{8AA7A086-8300-4E67-8A76-2A87D51E8953}"/>
    <cellStyle name="Comma 4 2 3 3 4 4" xfId="10083" xr:uid="{0FD69630-5EB7-4C42-AC0C-790B156CB72C}"/>
    <cellStyle name="Comma 4 2 3 3 4 5" xfId="18518" xr:uid="{974AB4B6-4EF9-480D-AE17-6187760EEDA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0D53EDDF-3352-4AED-B739-602782C1B2AA}"/>
    <cellStyle name="Comma 4 2 3 3 5 2 2 3" xfId="25293" xr:uid="{EE3820BA-3D0C-473A-BE5D-CB965CB926B3}"/>
    <cellStyle name="Comma 4 2 3 3 5 2 3" xfId="12641" xr:uid="{113A75E3-7265-401A-B9FA-0547A7F967C0}"/>
    <cellStyle name="Comma 4 2 3 3 5 2 4" xfId="21076" xr:uid="{E6CC0DCB-C4C9-4902-B4C0-8C6E55E210E7}"/>
    <cellStyle name="Comma 4 2 3 3 5 3" xfId="6264" xr:uid="{00000000-0005-0000-0000-00009A080000}"/>
    <cellStyle name="Comma 4 2 3 3 5 3 2" xfId="14714" xr:uid="{CE41E00C-981F-4B5D-8788-B2532CE0788B}"/>
    <cellStyle name="Comma 4 2 3 3 5 3 3" xfId="23148" xr:uid="{D509D86C-9254-4398-B1A4-524629A862D6}"/>
    <cellStyle name="Comma 4 2 3 3 5 4" xfId="10496" xr:uid="{B254B0D1-BA40-4EE0-9D5A-C18F245C9658}"/>
    <cellStyle name="Comma 4 2 3 3 5 5" xfId="18931" xr:uid="{A9163B7B-2B6C-49E0-925A-C5DD5258F1AD}"/>
    <cellStyle name="Comma 4 2 3 3 6" xfId="2393" xr:uid="{00000000-0005-0000-0000-00009B080000}"/>
    <cellStyle name="Comma 4 2 3 3 6 2" xfId="6677" xr:uid="{00000000-0005-0000-0000-00009C080000}"/>
    <cellStyle name="Comma 4 2 3 3 6 2 2" xfId="15127" xr:uid="{F2441C66-0732-4950-8940-A9302365483A}"/>
    <cellStyle name="Comma 4 2 3 3 6 2 3" xfId="23561" xr:uid="{0B02BE25-4A17-4C48-BB54-83ADB455FC95}"/>
    <cellStyle name="Comma 4 2 3 3 6 3" xfId="10909" xr:uid="{C912F1D7-5AAF-4B89-BC09-07E85FC3563E}"/>
    <cellStyle name="Comma 4 2 3 3 6 4" xfId="19344" xr:uid="{8EFAE445-85D0-4E5C-BC15-EE966840C0CD}"/>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B847B25C-F77E-403C-8B4C-624EB071D29E}"/>
    <cellStyle name="Comma 4 2 3 3 8 2 3" xfId="23878" xr:uid="{F9590F1F-4795-4890-BC6A-35DB13DDE1E9}"/>
    <cellStyle name="Comma 4 2 3 3 8 3" xfId="11226" xr:uid="{94F48A27-3DB2-429F-B0D0-83C88FE2BFF9}"/>
    <cellStyle name="Comma 4 2 3 3 8 4" xfId="19661" xr:uid="{D1F35D6C-D196-4938-81F3-0D24DD39322A}"/>
    <cellStyle name="Comma 4 2 3 3 9" xfId="4611" xr:uid="{00000000-0005-0000-0000-0000A0080000}"/>
    <cellStyle name="Comma 4 2 3 3 9 2" xfId="13061" xr:uid="{C9282015-67BC-42A3-9483-20506CC0307E}"/>
    <cellStyle name="Comma 4 2 3 3 9 3" xfId="21495" xr:uid="{9305A165-224D-4F46-BD38-11ACFDC56606}"/>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18DDBF48-57CB-4054-A4D5-3D8DD9EAF19E}"/>
    <cellStyle name="Comma 4 2 3 4 2 2 3" xfId="24051" xr:uid="{42D38709-BC3E-4D54-898D-23D7507DA44A}"/>
    <cellStyle name="Comma 4 2 3 4 2 3" xfId="11399" xr:uid="{02D4B4BA-8DD8-47BA-8DD6-AB3C07B0FA6A}"/>
    <cellStyle name="Comma 4 2 3 4 2 4" xfId="19834" xr:uid="{C29571B2-E4EC-4EA8-8BD9-DAA2F4B1C977}"/>
    <cellStyle name="Comma 4 2 3 4 3" xfId="5022" xr:uid="{00000000-0005-0000-0000-0000A4080000}"/>
    <cellStyle name="Comma 4 2 3 4 3 2" xfId="13472" xr:uid="{522FD75D-37BC-4822-915F-27D345631485}"/>
    <cellStyle name="Comma 4 2 3 4 3 3" xfId="21906" xr:uid="{E05ECB2F-0A1C-4AB6-8132-4C36E943D1DB}"/>
    <cellStyle name="Comma 4 2 3 4 4" xfId="9254" xr:uid="{60FF892E-042C-4832-9350-B9A9BBD91EBA}"/>
    <cellStyle name="Comma 4 2 3 4 5" xfId="17689" xr:uid="{D0A6166A-B48C-4C20-8881-F1491154A962}"/>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360B971E-50E4-4237-BEE2-CEC54A2E32F3}"/>
    <cellStyle name="Comma 4 2 3 5 2 2 3" xfId="24464" xr:uid="{44597FCC-4633-4FC8-8460-75CBF5445EA0}"/>
    <cellStyle name="Comma 4 2 3 5 2 3" xfId="11812" xr:uid="{EE54E62C-79EB-46BA-9359-6176E7E1513E}"/>
    <cellStyle name="Comma 4 2 3 5 2 4" xfId="20247" xr:uid="{2DC8B26B-0E2A-45D9-AAC3-FC8905650578}"/>
    <cellStyle name="Comma 4 2 3 5 3" xfId="5435" xr:uid="{00000000-0005-0000-0000-0000A8080000}"/>
    <cellStyle name="Comma 4 2 3 5 3 2" xfId="13885" xr:uid="{25CAEAAE-7E55-4229-A8B5-15F6753C3192}"/>
    <cellStyle name="Comma 4 2 3 5 3 3" xfId="22319" xr:uid="{BB1442B8-A454-49DC-8DAC-D89CE75FDDEC}"/>
    <cellStyle name="Comma 4 2 3 5 4" xfId="9667" xr:uid="{8C30DD53-B25B-44E4-8630-4C78B0B7BBE8}"/>
    <cellStyle name="Comma 4 2 3 5 5" xfId="18102" xr:uid="{EC41E414-8E15-480A-98A9-250C734E670C}"/>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A824CE26-65CC-49A7-90B3-2F818B57D680}"/>
    <cellStyle name="Comma 4 2 3 6 2 2 3" xfId="24877" xr:uid="{3F310ADD-2BBA-43A7-A536-A30804614D4F}"/>
    <cellStyle name="Comma 4 2 3 6 2 3" xfId="12225" xr:uid="{DCF5A283-29B8-4468-BC78-7A706EE9327C}"/>
    <cellStyle name="Comma 4 2 3 6 2 4" xfId="20660" xr:uid="{8AA0A8EF-AA15-44FB-8E95-24B755905C81}"/>
    <cellStyle name="Comma 4 2 3 6 3" xfId="5848" xr:uid="{00000000-0005-0000-0000-0000AC080000}"/>
    <cellStyle name="Comma 4 2 3 6 3 2" xfId="14298" xr:uid="{925C590C-347D-43F3-B41F-39BD2B03E686}"/>
    <cellStyle name="Comma 4 2 3 6 3 3" xfId="22732" xr:uid="{B8F6C6C6-6B39-4CB5-A4C0-BDAC41B5B2A6}"/>
    <cellStyle name="Comma 4 2 3 6 4" xfId="10080" xr:uid="{8E44DBC3-7002-4207-9A54-864F03585EAD}"/>
    <cellStyle name="Comma 4 2 3 6 5" xfId="18515" xr:uid="{93581AE0-238A-4813-A2A7-837CB90F3078}"/>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285C3887-9901-4FF8-98BF-67A22AEF3B75}"/>
    <cellStyle name="Comma 4 2 3 7 2 2 3" xfId="25290" xr:uid="{A1FB8FD5-C373-4EAA-9CDD-A52221F6D19A}"/>
    <cellStyle name="Comma 4 2 3 7 2 3" xfId="12638" xr:uid="{109E2121-3516-4D31-956A-0E1087DA21D5}"/>
    <cellStyle name="Comma 4 2 3 7 2 4" xfId="21073" xr:uid="{BFE0F2E0-EC8D-4CE3-947E-4F9292B88DEC}"/>
    <cellStyle name="Comma 4 2 3 7 3" xfId="6261" xr:uid="{00000000-0005-0000-0000-0000B0080000}"/>
    <cellStyle name="Comma 4 2 3 7 3 2" xfId="14711" xr:uid="{70A3FBC5-7B6F-4B18-8FAA-10ED23AB2B2A}"/>
    <cellStyle name="Comma 4 2 3 7 3 3" xfId="23145" xr:uid="{B1028BC1-019F-4AE3-90E1-615D3B22EF35}"/>
    <cellStyle name="Comma 4 2 3 7 4" xfId="10493" xr:uid="{0D727C02-6789-4030-9F88-2DEBDBA23456}"/>
    <cellStyle name="Comma 4 2 3 7 5" xfId="18928" xr:uid="{BCEA3BA9-76DC-478E-A62F-BBEEE3FE5414}"/>
    <cellStyle name="Comma 4 2 3 8" xfId="2390" xr:uid="{00000000-0005-0000-0000-0000B1080000}"/>
    <cellStyle name="Comma 4 2 3 8 2" xfId="6674" xr:uid="{00000000-0005-0000-0000-0000B2080000}"/>
    <cellStyle name="Comma 4 2 3 8 2 2" xfId="15124" xr:uid="{CE6BD7B7-B524-4469-A856-5ED3971D3C5A}"/>
    <cellStyle name="Comma 4 2 3 8 2 3" xfId="23558" xr:uid="{68073BF4-AB27-492F-84FD-90437EC008EA}"/>
    <cellStyle name="Comma 4 2 3 8 3" xfId="10906" xr:uid="{D9D40AC3-F485-421D-A740-A4C940020865}"/>
    <cellStyle name="Comma 4 2 3 8 4" xfId="19341" xr:uid="{5C97E319-461F-49D4-9332-FA99706FE797}"/>
    <cellStyle name="Comma 4 2 3 9" xfId="2373" xr:uid="{00000000-0005-0000-0000-0000B3080000}"/>
    <cellStyle name="Comma 4 2 4" xfId="140" xr:uid="{00000000-0005-0000-0000-0000B4080000}"/>
    <cellStyle name="Comma 4 2 4 10" xfId="4612" xr:uid="{00000000-0005-0000-0000-0000B5080000}"/>
    <cellStyle name="Comma 4 2 4 10 2" xfId="13062" xr:uid="{3116869E-3347-4449-B856-B9BA60375AD0}"/>
    <cellStyle name="Comma 4 2 4 10 3" xfId="21496" xr:uid="{C5BCF56D-B663-48F3-B0C3-E830B4F6B367}"/>
    <cellStyle name="Comma 4 2 4 11" xfId="8844" xr:uid="{40B72A04-67C6-4306-BAB3-41FE53EB6D91}"/>
    <cellStyle name="Comma 4 2 4 12" xfId="17279" xr:uid="{94090DC8-95ED-4378-B635-2066AD1D5149}"/>
    <cellStyle name="Comma 4 2 4 2" xfId="141" xr:uid="{00000000-0005-0000-0000-0000B6080000}"/>
    <cellStyle name="Comma 4 2 4 2 10" xfId="8845" xr:uid="{7A80E523-FD08-4079-9A55-601D5D246EF2}"/>
    <cellStyle name="Comma 4 2 4 2 11" xfId="17280" xr:uid="{3C2239D6-5FFF-4C07-B288-A2CB850E74DA}"/>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5F903870-C861-4422-8F1D-2D9F9D80D89F}"/>
    <cellStyle name="Comma 4 2 4 2 2 2 2 3" xfId="24056" xr:uid="{4DA44252-86B7-428A-A456-CF375E86BF14}"/>
    <cellStyle name="Comma 4 2 4 2 2 2 3" xfId="11404" xr:uid="{F920A12E-B3BC-4604-9257-0C2EEBD61716}"/>
    <cellStyle name="Comma 4 2 4 2 2 2 4" xfId="19839" xr:uid="{C33DC171-BC8E-4EBF-B176-A00A191CBE4E}"/>
    <cellStyle name="Comma 4 2 4 2 2 3" xfId="5027" xr:uid="{00000000-0005-0000-0000-0000BA080000}"/>
    <cellStyle name="Comma 4 2 4 2 2 3 2" xfId="13477" xr:uid="{8FE2F8FC-D5D0-4716-9D13-8962B75B395F}"/>
    <cellStyle name="Comma 4 2 4 2 2 3 3" xfId="21911" xr:uid="{78289D06-9E89-4CD8-B1E4-32444F3C4B82}"/>
    <cellStyle name="Comma 4 2 4 2 2 4" xfId="9259" xr:uid="{FE7D9B8E-54CF-46E2-962F-CA1C38474381}"/>
    <cellStyle name="Comma 4 2 4 2 2 5" xfId="17694" xr:uid="{6C756215-AD32-4665-AD4B-478B2A05292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2CDB5282-8ACB-4150-9F0B-52A1D41E440A}"/>
    <cellStyle name="Comma 4 2 4 2 3 2 2 3" xfId="24469" xr:uid="{A0B8566B-0CC1-4874-82CB-3548BB46C9DC}"/>
    <cellStyle name="Comma 4 2 4 2 3 2 3" xfId="11817" xr:uid="{9BABE3F7-8C0B-45C8-B13D-E6F57A7F6448}"/>
    <cellStyle name="Comma 4 2 4 2 3 2 4" xfId="20252" xr:uid="{14485E30-8EFE-4F85-B8B1-846FDC34DC75}"/>
    <cellStyle name="Comma 4 2 4 2 3 3" xfId="5440" xr:uid="{00000000-0005-0000-0000-0000BE080000}"/>
    <cellStyle name="Comma 4 2 4 2 3 3 2" xfId="13890" xr:uid="{8E9E326D-D5C2-41CC-9DFE-65AAA0CF4A92}"/>
    <cellStyle name="Comma 4 2 4 2 3 3 3" xfId="22324" xr:uid="{9577C15D-0046-4CE4-8B08-D9371E3B50EE}"/>
    <cellStyle name="Comma 4 2 4 2 3 4" xfId="9672" xr:uid="{DEA67524-0819-4CD9-BE83-1AC7AD3C2453}"/>
    <cellStyle name="Comma 4 2 4 2 3 5" xfId="18107" xr:uid="{51F81D70-B4F0-4E37-9851-D5D3A69DB9BA}"/>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8E9E0081-76BE-447A-BAC2-4C96049F662E}"/>
    <cellStyle name="Comma 4 2 4 2 4 2 2 3" xfId="24882" xr:uid="{A345490F-B59E-4B49-B339-554ECB3F7473}"/>
    <cellStyle name="Comma 4 2 4 2 4 2 3" xfId="12230" xr:uid="{21AF6DB9-C668-4C22-ABBA-7A3B8364D0A4}"/>
    <cellStyle name="Comma 4 2 4 2 4 2 4" xfId="20665" xr:uid="{DF5A1E2B-22D6-4A56-B4FD-F9DA543FD5C2}"/>
    <cellStyle name="Comma 4 2 4 2 4 3" xfId="5853" xr:uid="{00000000-0005-0000-0000-0000C2080000}"/>
    <cellStyle name="Comma 4 2 4 2 4 3 2" xfId="14303" xr:uid="{69B1D52D-1AF5-4B48-8B39-2DEC405FDFDE}"/>
    <cellStyle name="Comma 4 2 4 2 4 3 3" xfId="22737" xr:uid="{6E0AC7E1-3F52-4516-920A-6A8D2C7242E7}"/>
    <cellStyle name="Comma 4 2 4 2 4 4" xfId="10085" xr:uid="{C4112949-A10B-42C2-AD01-08F2A97B68D7}"/>
    <cellStyle name="Comma 4 2 4 2 4 5" xfId="18520" xr:uid="{8AF52ECE-335E-4A67-B5A9-406AA772D633}"/>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7EB8CA02-2855-41A2-B631-657AB5ACE663}"/>
    <cellStyle name="Comma 4 2 4 2 5 2 2 3" xfId="25295" xr:uid="{AD1D87A4-820E-4A3F-9C56-224B2D8AE0E4}"/>
    <cellStyle name="Comma 4 2 4 2 5 2 3" xfId="12643" xr:uid="{FF431973-93EE-4931-91DE-B26837A6CA13}"/>
    <cellStyle name="Comma 4 2 4 2 5 2 4" xfId="21078" xr:uid="{3D0AF912-AA31-42F2-B842-7E43762182F4}"/>
    <cellStyle name="Comma 4 2 4 2 5 3" xfId="6266" xr:uid="{00000000-0005-0000-0000-0000C6080000}"/>
    <cellStyle name="Comma 4 2 4 2 5 3 2" xfId="14716" xr:uid="{A6DDB3BE-3440-466A-9DB7-4190C372C77E}"/>
    <cellStyle name="Comma 4 2 4 2 5 3 3" xfId="23150" xr:uid="{F950DCDB-D4D4-4430-91DE-DA2906E53902}"/>
    <cellStyle name="Comma 4 2 4 2 5 4" xfId="10498" xr:uid="{FD7785D6-02C6-40C3-8DFB-46CA66F9ED98}"/>
    <cellStyle name="Comma 4 2 4 2 5 5" xfId="18933" xr:uid="{4B62B49F-82B5-412F-A21B-FC94348D3771}"/>
    <cellStyle name="Comma 4 2 4 2 6" xfId="2395" xr:uid="{00000000-0005-0000-0000-0000C7080000}"/>
    <cellStyle name="Comma 4 2 4 2 6 2" xfId="6679" xr:uid="{00000000-0005-0000-0000-0000C8080000}"/>
    <cellStyle name="Comma 4 2 4 2 6 2 2" xfId="15129" xr:uid="{B5A2D71C-DE1B-410B-AB5C-390A9575BD06}"/>
    <cellStyle name="Comma 4 2 4 2 6 2 3" xfId="23563" xr:uid="{3EE30B3C-88C6-4CA2-9825-A2242DB23B27}"/>
    <cellStyle name="Comma 4 2 4 2 6 3" xfId="10911" xr:uid="{BE86F1EC-4962-4D8A-9BDA-37FA4FA44651}"/>
    <cellStyle name="Comma 4 2 4 2 6 4" xfId="19346" xr:uid="{F8C8C7ED-1E70-4791-A2C5-B45E93243B39}"/>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4B22E8EB-1C20-4358-927F-BE61C7DCFA5E}"/>
    <cellStyle name="Comma 4 2 4 2 8 2 3" xfId="23880" xr:uid="{FB1C8770-5A22-456B-B685-4ABEDBE75FB1}"/>
    <cellStyle name="Comma 4 2 4 2 8 3" xfId="11228" xr:uid="{76FE7174-003E-49F8-AE9B-734798E315CF}"/>
    <cellStyle name="Comma 4 2 4 2 8 4" xfId="19663" xr:uid="{09944D5B-5CAC-4D6F-98CB-F707BFAEF0C7}"/>
    <cellStyle name="Comma 4 2 4 2 9" xfId="4613" xr:uid="{00000000-0005-0000-0000-0000CC080000}"/>
    <cellStyle name="Comma 4 2 4 2 9 2" xfId="13063" xr:uid="{F1E46E3B-32C2-4B6A-853F-75A42ED94A67}"/>
    <cellStyle name="Comma 4 2 4 2 9 3" xfId="21497" xr:uid="{23B7AC26-7704-4A8F-A9CA-3EF3E0094677}"/>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B9813ADB-CA18-4219-A997-0C0EFF8A9615}"/>
    <cellStyle name="Comma 4 2 4 3 2 2 3" xfId="24055" xr:uid="{0DA6199D-B888-4578-8166-6D3E6CF020EB}"/>
    <cellStyle name="Comma 4 2 4 3 2 3" xfId="11403" xr:uid="{311DC0C8-6A8D-403F-A4F5-58B7CD8EAA1B}"/>
    <cellStyle name="Comma 4 2 4 3 2 4" xfId="19838" xr:uid="{81BF49CA-2562-4A25-BB46-C8152B2BB580}"/>
    <cellStyle name="Comma 4 2 4 3 3" xfId="5026" xr:uid="{00000000-0005-0000-0000-0000D0080000}"/>
    <cellStyle name="Comma 4 2 4 3 3 2" xfId="13476" xr:uid="{DBEB59EA-2C8D-4FEA-951C-3BAA0BF0A122}"/>
    <cellStyle name="Comma 4 2 4 3 3 3" xfId="21910" xr:uid="{EF4C54D0-9EBD-47BA-ACA8-D5C5BD527D2D}"/>
    <cellStyle name="Comma 4 2 4 3 4" xfId="9258" xr:uid="{D2412BBA-C1F4-4895-8209-5E3EE3FC98C4}"/>
    <cellStyle name="Comma 4 2 4 3 5" xfId="17693" xr:uid="{06A2A07C-BA73-4DEF-B003-0F367AF28D2A}"/>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7685BA51-7E3F-4850-B329-8C839EAD2D42}"/>
    <cellStyle name="Comma 4 2 4 4 2 2 3" xfId="24468" xr:uid="{A48989ED-12B2-4BF8-8BC3-3F208FB710D1}"/>
    <cellStyle name="Comma 4 2 4 4 2 3" xfId="11816" xr:uid="{24115B8E-F64E-4726-BC08-EB14C0454932}"/>
    <cellStyle name="Comma 4 2 4 4 2 4" xfId="20251" xr:uid="{CAB810F1-AC81-44FB-9403-067C868C6710}"/>
    <cellStyle name="Comma 4 2 4 4 3" xfId="5439" xr:uid="{00000000-0005-0000-0000-0000D4080000}"/>
    <cellStyle name="Comma 4 2 4 4 3 2" xfId="13889" xr:uid="{4CE0319F-7E0F-4E57-9A0F-3047DD3AF73F}"/>
    <cellStyle name="Comma 4 2 4 4 3 3" xfId="22323" xr:uid="{2290C8F9-74F5-4BC0-A050-DC213282F74B}"/>
    <cellStyle name="Comma 4 2 4 4 4" xfId="9671" xr:uid="{86DB0900-0F24-4407-BEFD-84672667B193}"/>
    <cellStyle name="Comma 4 2 4 4 5" xfId="18106" xr:uid="{20EE998B-DA89-4890-A863-869015452638}"/>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81A0F291-5A7B-4122-BF01-14545117E0D1}"/>
    <cellStyle name="Comma 4 2 4 5 2 2 3" xfId="24881" xr:uid="{5C0C95BC-1A5A-472F-BAAB-2988BBFE9348}"/>
    <cellStyle name="Comma 4 2 4 5 2 3" xfId="12229" xr:uid="{3E710FEF-96BF-46C2-88AD-81D0C18FB15C}"/>
    <cellStyle name="Comma 4 2 4 5 2 4" xfId="20664" xr:uid="{B586BFE0-26CB-4A1E-9FAB-9BECC914EAC2}"/>
    <cellStyle name="Comma 4 2 4 5 3" xfId="5852" xr:uid="{00000000-0005-0000-0000-0000D8080000}"/>
    <cellStyle name="Comma 4 2 4 5 3 2" xfId="14302" xr:uid="{40F33748-A2A3-47D5-BA06-9A4EC13D1186}"/>
    <cellStyle name="Comma 4 2 4 5 3 3" xfId="22736" xr:uid="{5693180B-6D64-4406-B2D7-950CF4FCD103}"/>
    <cellStyle name="Comma 4 2 4 5 4" xfId="10084" xr:uid="{15760C37-E180-4F4A-81A7-F49E91BBFFC6}"/>
    <cellStyle name="Comma 4 2 4 5 5" xfId="18519" xr:uid="{65F0B52F-DC90-4755-B1D6-CB6A8BF7D626}"/>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8E33E5CF-14B4-44A7-A49B-29D87E95832F}"/>
    <cellStyle name="Comma 4 2 4 6 2 2 3" xfId="25294" xr:uid="{D5DB742A-8F56-43FF-B0E6-13ED72AE53F9}"/>
    <cellStyle name="Comma 4 2 4 6 2 3" xfId="12642" xr:uid="{9AA8F255-1331-4FE5-A1A8-9429BA3B9E6D}"/>
    <cellStyle name="Comma 4 2 4 6 2 4" xfId="21077" xr:uid="{CC5D70AF-26A3-4B2C-ACDB-2544747BA409}"/>
    <cellStyle name="Comma 4 2 4 6 3" xfId="6265" xr:uid="{00000000-0005-0000-0000-0000DC080000}"/>
    <cellStyle name="Comma 4 2 4 6 3 2" xfId="14715" xr:uid="{F070363C-915F-4345-8AD1-770DD1FFD213}"/>
    <cellStyle name="Comma 4 2 4 6 3 3" xfId="23149" xr:uid="{FE454310-8B56-457A-86C5-077BBCBE4668}"/>
    <cellStyle name="Comma 4 2 4 6 4" xfId="10497" xr:uid="{09C78E74-AA78-4BD5-A16E-978D721CBBCE}"/>
    <cellStyle name="Comma 4 2 4 6 5" xfId="18932" xr:uid="{13E13BDE-EEF0-45B3-B8A5-461B324B82C8}"/>
    <cellStyle name="Comma 4 2 4 7" xfId="2394" xr:uid="{00000000-0005-0000-0000-0000DD080000}"/>
    <cellStyle name="Comma 4 2 4 7 2" xfId="6678" xr:uid="{00000000-0005-0000-0000-0000DE080000}"/>
    <cellStyle name="Comma 4 2 4 7 2 2" xfId="15128" xr:uid="{F6016735-57C4-4D51-B2C7-EE0665CEB543}"/>
    <cellStyle name="Comma 4 2 4 7 2 3" xfId="23562" xr:uid="{B48E333D-3FD3-46EF-ABFF-08613D101613}"/>
    <cellStyle name="Comma 4 2 4 7 3" xfId="10910" xr:uid="{ABCC37B5-C49B-4EDB-A680-E3F12958A6AE}"/>
    <cellStyle name="Comma 4 2 4 7 4" xfId="19345" xr:uid="{AEA9174D-A637-4FBF-9ECC-BF116109D1CB}"/>
    <cellStyle name="Comma 4 2 4 8" xfId="2369" xr:uid="{00000000-0005-0000-0000-0000DF080000}"/>
    <cellStyle name="Comma 4 2 4 9" xfId="2772" xr:uid="{00000000-0005-0000-0000-0000E0080000}"/>
    <cellStyle name="Comma 4 2 4 9 2" xfId="6995" xr:uid="{00000000-0005-0000-0000-0000E1080000}"/>
    <cellStyle name="Comma 4 2 4 9 2 2" xfId="15445" xr:uid="{DD1EE7AF-9EB3-446F-8062-E333CBD38385}"/>
    <cellStyle name="Comma 4 2 4 9 2 3" xfId="23879" xr:uid="{6ED7EFAB-08E9-49DB-8A0E-1C8B25D6D8A4}"/>
    <cellStyle name="Comma 4 2 4 9 3" xfId="11227" xr:uid="{41A387D4-1ACF-43C5-8752-4EE14E428A28}"/>
    <cellStyle name="Comma 4 2 4 9 4" xfId="19662" xr:uid="{92701FB2-CB0A-4AEF-A3CB-96DD8822A6A7}"/>
    <cellStyle name="Comma 4 2 5" xfId="142" xr:uid="{00000000-0005-0000-0000-0000E2080000}"/>
    <cellStyle name="Comma 4 2 5 10" xfId="8846" xr:uid="{74907477-15A1-4797-8AA9-DEDAE63621BB}"/>
    <cellStyle name="Comma 4 2 5 11" xfId="17281" xr:uid="{6E4F8765-B08F-451C-A89F-FD48CF5F4769}"/>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5A1F3DDF-86F6-4D1E-B006-FF59DA98279E}"/>
    <cellStyle name="Comma 4 2 5 2 2 2 3" xfId="24057" xr:uid="{3DA7BF52-2E50-42AA-88AD-10D9FDE559F2}"/>
    <cellStyle name="Comma 4 2 5 2 2 3" xfId="11405" xr:uid="{908A2957-983C-4131-8069-E42ABA5514BA}"/>
    <cellStyle name="Comma 4 2 5 2 2 4" xfId="19840" xr:uid="{F3E6A21E-E48A-4F0C-9078-5BA6A6CDFB21}"/>
    <cellStyle name="Comma 4 2 5 2 3" xfId="5028" xr:uid="{00000000-0005-0000-0000-0000E6080000}"/>
    <cellStyle name="Comma 4 2 5 2 3 2" xfId="13478" xr:uid="{FD80E084-F04F-4D7A-9C06-E4A922074070}"/>
    <cellStyle name="Comma 4 2 5 2 3 3" xfId="21912" xr:uid="{333219F6-9214-4C31-A722-840DFBE4AB85}"/>
    <cellStyle name="Comma 4 2 5 2 4" xfId="9260" xr:uid="{9667A1AC-426E-4E2B-94EF-820DD0A8E137}"/>
    <cellStyle name="Comma 4 2 5 2 5" xfId="17695" xr:uid="{95A1CB19-803F-47E3-B045-2843FA02C683}"/>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83ED890C-5624-4CFB-B5DB-699A4395D6E6}"/>
    <cellStyle name="Comma 4 2 5 3 2 2 3" xfId="24470" xr:uid="{60C7A027-08DD-4A47-9CDD-41A42D07ADA2}"/>
    <cellStyle name="Comma 4 2 5 3 2 3" xfId="11818" xr:uid="{CFA274EA-7056-4E0D-85C6-9C684C215260}"/>
    <cellStyle name="Comma 4 2 5 3 2 4" xfId="20253" xr:uid="{A82E643C-06FC-498E-9911-47B172AA1CF3}"/>
    <cellStyle name="Comma 4 2 5 3 3" xfId="5441" xr:uid="{00000000-0005-0000-0000-0000EA080000}"/>
    <cellStyle name="Comma 4 2 5 3 3 2" xfId="13891" xr:uid="{A8CF681D-7599-4E60-A307-88139C479B1A}"/>
    <cellStyle name="Comma 4 2 5 3 3 3" xfId="22325" xr:uid="{FC059F27-E1EC-409E-9218-77C4594B8808}"/>
    <cellStyle name="Comma 4 2 5 3 4" xfId="9673" xr:uid="{8A51D0EE-9E5B-4504-829D-F096358DEDE2}"/>
    <cellStyle name="Comma 4 2 5 3 5" xfId="18108" xr:uid="{7E006F0D-183C-4A52-B435-1D2E0A2881F2}"/>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CB40FF01-CD0B-43E4-9E6E-3CB7577F8EAE}"/>
    <cellStyle name="Comma 4 2 5 4 2 2 3" xfId="24883" xr:uid="{B2948ACD-EE89-4679-A91F-1AD055BE5FB2}"/>
    <cellStyle name="Comma 4 2 5 4 2 3" xfId="12231" xr:uid="{04549EEA-FE07-4E0F-A983-6023539F3317}"/>
    <cellStyle name="Comma 4 2 5 4 2 4" xfId="20666" xr:uid="{CF57F77D-64DF-4164-9340-7B7A53BF4F66}"/>
    <cellStyle name="Comma 4 2 5 4 3" xfId="5854" xr:uid="{00000000-0005-0000-0000-0000EE080000}"/>
    <cellStyle name="Comma 4 2 5 4 3 2" xfId="14304" xr:uid="{B0147C15-4A31-417B-9FF7-8AB34F53BF4B}"/>
    <cellStyle name="Comma 4 2 5 4 3 3" xfId="22738" xr:uid="{D3C5889D-A516-42AD-BE56-9DBE3395CEE2}"/>
    <cellStyle name="Comma 4 2 5 4 4" xfId="10086" xr:uid="{68DD3DEA-68E2-42DF-8810-8FA94328B492}"/>
    <cellStyle name="Comma 4 2 5 4 5" xfId="18521" xr:uid="{C338E017-FB37-4AC4-9642-E88FBE4C9D58}"/>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1E9B6A8A-02EE-4499-966D-B46950AA9791}"/>
    <cellStyle name="Comma 4 2 5 5 2 2 3" xfId="25296" xr:uid="{78301A96-362E-48B3-BBA1-F29A0818C461}"/>
    <cellStyle name="Comma 4 2 5 5 2 3" xfId="12644" xr:uid="{458E2753-046D-455C-963C-BFBD634E46BA}"/>
    <cellStyle name="Comma 4 2 5 5 2 4" xfId="21079" xr:uid="{23442293-9A32-4B8C-8879-C3542BC68274}"/>
    <cellStyle name="Comma 4 2 5 5 3" xfId="6267" xr:uid="{00000000-0005-0000-0000-0000F2080000}"/>
    <cellStyle name="Comma 4 2 5 5 3 2" xfId="14717" xr:uid="{4BFCF046-3CBD-4425-BB1E-5EE8ECB8391D}"/>
    <cellStyle name="Comma 4 2 5 5 3 3" xfId="23151" xr:uid="{E57C94F0-F4EB-45C4-B4F7-F4210B8539F6}"/>
    <cellStyle name="Comma 4 2 5 5 4" xfId="10499" xr:uid="{2C69DE95-2B9D-45ED-9AA1-F74AA72D7EFA}"/>
    <cellStyle name="Comma 4 2 5 5 5" xfId="18934" xr:uid="{89872581-B793-44E2-A3B2-57056EC1CF42}"/>
    <cellStyle name="Comma 4 2 5 6" xfId="2396" xr:uid="{00000000-0005-0000-0000-0000F3080000}"/>
    <cellStyle name="Comma 4 2 5 6 2" xfId="6680" xr:uid="{00000000-0005-0000-0000-0000F4080000}"/>
    <cellStyle name="Comma 4 2 5 6 2 2" xfId="15130" xr:uid="{B78F6A76-C930-444D-BACA-CD6F90F79644}"/>
    <cellStyle name="Comma 4 2 5 6 2 3" xfId="23564" xr:uid="{13E6DF86-BB43-460B-A85B-5B99CD663CFF}"/>
    <cellStyle name="Comma 4 2 5 6 3" xfId="10912" xr:uid="{852E1EBE-44F0-4640-B2A8-1CF9B9F78FE5}"/>
    <cellStyle name="Comma 4 2 5 6 4" xfId="19347" xr:uid="{7D882C66-BA5D-42DD-8AA6-230A5DF7B0BC}"/>
    <cellStyle name="Comma 4 2 5 7" xfId="2367" xr:uid="{00000000-0005-0000-0000-0000F5080000}"/>
    <cellStyle name="Comma 4 2 5 8" xfId="2774" xr:uid="{00000000-0005-0000-0000-0000F6080000}"/>
    <cellStyle name="Comma 4 2 5 8 2" xfId="6997" xr:uid="{00000000-0005-0000-0000-0000F7080000}"/>
    <cellStyle name="Comma 4 2 5 8 2 2" xfId="15447" xr:uid="{5BE4CCBF-F534-4772-8621-6419CD87D88C}"/>
    <cellStyle name="Comma 4 2 5 8 2 3" xfId="23881" xr:uid="{DF8EA822-8847-4C7A-A5BC-E3BBA689261E}"/>
    <cellStyle name="Comma 4 2 5 8 3" xfId="11229" xr:uid="{6D45408E-502A-4EA8-8218-AEB60AD242D9}"/>
    <cellStyle name="Comma 4 2 5 8 4" xfId="19664" xr:uid="{36146184-FFCB-45DF-99C7-7528282EBA6C}"/>
    <cellStyle name="Comma 4 2 5 9" xfId="4614" xr:uid="{00000000-0005-0000-0000-0000F8080000}"/>
    <cellStyle name="Comma 4 2 5 9 2" xfId="13064" xr:uid="{6CA3CE2D-E826-4051-8494-D9D8A63288D4}"/>
    <cellStyle name="Comma 4 2 5 9 3" xfId="21498" xr:uid="{A5A455E7-1F6C-46B8-B768-335098F39F77}"/>
    <cellStyle name="Comma 4 2 6" xfId="143" xr:uid="{00000000-0005-0000-0000-0000F9080000}"/>
    <cellStyle name="Comma 4 2 6 10" xfId="8847" xr:uid="{5EA0E576-C5E7-4C9E-B7FD-C98DD9A44281}"/>
    <cellStyle name="Comma 4 2 6 11" xfId="17282" xr:uid="{EB5DE1B2-6C0E-4710-8CA0-6CF36A66A597}"/>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5C2390A0-9017-45E0-A64C-81DD5D0E2790}"/>
    <cellStyle name="Comma 4 2 6 2 2 2 3" xfId="24058" xr:uid="{2C691526-EEBF-4C99-9D1B-4EF66E566514}"/>
    <cellStyle name="Comma 4 2 6 2 2 3" xfId="11406" xr:uid="{849443A9-FC2F-4591-8F3A-27E3772349FA}"/>
    <cellStyle name="Comma 4 2 6 2 2 4" xfId="19841" xr:uid="{CD8E73F3-5867-4D5F-9364-03B574367245}"/>
    <cellStyle name="Comma 4 2 6 2 3" xfId="5029" xr:uid="{00000000-0005-0000-0000-0000FD080000}"/>
    <cellStyle name="Comma 4 2 6 2 3 2" xfId="13479" xr:uid="{C88C8CB1-D1B2-41A3-8A51-21394E13CEE0}"/>
    <cellStyle name="Comma 4 2 6 2 3 3" xfId="21913" xr:uid="{B91F9EF9-F4FD-47DC-9817-CBD9CC3C09D9}"/>
    <cellStyle name="Comma 4 2 6 2 4" xfId="9261" xr:uid="{4E08F7C3-25AB-4911-9E47-09182475DD59}"/>
    <cellStyle name="Comma 4 2 6 2 5" xfId="17696" xr:uid="{A98D19B4-426D-4FF0-974F-373E666EB628}"/>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91020DD2-54D9-41D6-B009-93D341683C3A}"/>
    <cellStyle name="Comma 4 2 6 3 2 2 3" xfId="24471" xr:uid="{A83CB0DD-8F6F-4657-9F0F-2C29A9D7B20D}"/>
    <cellStyle name="Comma 4 2 6 3 2 3" xfId="11819" xr:uid="{6DB7BBF0-8B4E-4C98-8749-1CE97E52F366}"/>
    <cellStyle name="Comma 4 2 6 3 2 4" xfId="20254" xr:uid="{214EF3FD-C9A4-495A-A91E-D9F1D2BD12BE}"/>
    <cellStyle name="Comma 4 2 6 3 3" xfId="5442" xr:uid="{00000000-0005-0000-0000-000001090000}"/>
    <cellStyle name="Comma 4 2 6 3 3 2" xfId="13892" xr:uid="{FA25420D-9C53-4C63-AC9B-491D5DD69895}"/>
    <cellStyle name="Comma 4 2 6 3 3 3" xfId="22326" xr:uid="{828EC2C0-A167-496B-8040-8F312F7D0551}"/>
    <cellStyle name="Comma 4 2 6 3 4" xfId="9674" xr:uid="{2F35673A-BF93-4B81-BDB7-19057F7A8F5A}"/>
    <cellStyle name="Comma 4 2 6 3 5" xfId="18109" xr:uid="{617F5C87-BD80-44A5-BD43-A6EBCB14DE93}"/>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D8075DB5-60B6-464C-B494-7A4D6C1EBCAA}"/>
    <cellStyle name="Comma 4 2 6 4 2 2 3" xfId="24884" xr:uid="{9B979F6D-AECF-47C7-B59F-4C9174E7E0EF}"/>
    <cellStyle name="Comma 4 2 6 4 2 3" xfId="12232" xr:uid="{44AECFFD-2521-43BD-9724-32DC162F8C6F}"/>
    <cellStyle name="Comma 4 2 6 4 2 4" xfId="20667" xr:uid="{FE9F0F3B-BC20-404F-9482-D13CD4F8DFA3}"/>
    <cellStyle name="Comma 4 2 6 4 3" xfId="5855" xr:uid="{00000000-0005-0000-0000-000005090000}"/>
    <cellStyle name="Comma 4 2 6 4 3 2" xfId="14305" xr:uid="{DF7CC79C-C0D6-4374-B7D9-B54E6C8F7630}"/>
    <cellStyle name="Comma 4 2 6 4 3 3" xfId="22739" xr:uid="{EE7D2CF3-57BC-4B08-9180-BF8B7B0A2AF9}"/>
    <cellStyle name="Comma 4 2 6 4 4" xfId="10087" xr:uid="{14470ED3-3B4A-41E6-8F4C-AE01EC71FEF0}"/>
    <cellStyle name="Comma 4 2 6 4 5" xfId="18522" xr:uid="{C342C7DF-40F9-4810-9EE8-048C83DCCD47}"/>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6347DF56-F261-4056-9341-F622417AFCDC}"/>
    <cellStyle name="Comma 4 2 6 5 2 2 3" xfId="25297" xr:uid="{E59076AB-80D9-4721-87CA-4553440E6D7E}"/>
    <cellStyle name="Comma 4 2 6 5 2 3" xfId="12645" xr:uid="{6E70F829-EFAA-4E2E-8DFE-1EFBFBFE28C6}"/>
    <cellStyle name="Comma 4 2 6 5 2 4" xfId="21080" xr:uid="{7AFFA977-3902-40CC-97FE-83B47639C33B}"/>
    <cellStyle name="Comma 4 2 6 5 3" xfId="6268" xr:uid="{00000000-0005-0000-0000-000009090000}"/>
    <cellStyle name="Comma 4 2 6 5 3 2" xfId="14718" xr:uid="{520B2E39-5665-4598-8547-74E1BE54C6B1}"/>
    <cellStyle name="Comma 4 2 6 5 3 3" xfId="23152" xr:uid="{F8430EC6-5401-47E9-850F-72A72A2AE8F9}"/>
    <cellStyle name="Comma 4 2 6 5 4" xfId="10500" xr:uid="{199116DD-7AFB-4877-B367-E9A3FCED8CC7}"/>
    <cellStyle name="Comma 4 2 6 5 5" xfId="18935" xr:uid="{27AC72C4-2AA8-4C2C-AECA-F10B055E4855}"/>
    <cellStyle name="Comma 4 2 6 6" xfId="2397" xr:uid="{00000000-0005-0000-0000-00000A090000}"/>
    <cellStyle name="Comma 4 2 6 6 2" xfId="6681" xr:uid="{00000000-0005-0000-0000-00000B090000}"/>
    <cellStyle name="Comma 4 2 6 6 2 2" xfId="15131" xr:uid="{F421F1E3-DC9B-4C62-80F1-6604ABA7B04E}"/>
    <cellStyle name="Comma 4 2 6 6 2 3" xfId="23565" xr:uid="{FEA87D5B-593D-411A-AFD1-E1ADE91C9216}"/>
    <cellStyle name="Comma 4 2 6 6 3" xfId="10913" xr:uid="{792B8C08-47E3-4813-9EA2-5DBB06BA8139}"/>
    <cellStyle name="Comma 4 2 6 6 4" xfId="19348" xr:uid="{AE3CE0A5-61D2-4F57-8353-0E9DD8F55461}"/>
    <cellStyle name="Comma 4 2 6 7" xfId="2366" xr:uid="{00000000-0005-0000-0000-00000C090000}"/>
    <cellStyle name="Comma 4 2 6 8" xfId="2775" xr:uid="{00000000-0005-0000-0000-00000D090000}"/>
    <cellStyle name="Comma 4 2 6 8 2" xfId="6998" xr:uid="{00000000-0005-0000-0000-00000E090000}"/>
    <cellStyle name="Comma 4 2 6 8 2 2" xfId="15448" xr:uid="{E58CE260-7E49-4A3B-97A4-12C76BF5D46E}"/>
    <cellStyle name="Comma 4 2 6 8 2 3" xfId="23882" xr:uid="{40A810EC-E97B-41F6-B2AB-C63322050013}"/>
    <cellStyle name="Comma 4 2 6 8 3" xfId="11230" xr:uid="{49D60CA8-1BCC-412F-B5AF-3C01E5B57006}"/>
    <cellStyle name="Comma 4 2 6 8 4" xfId="19665" xr:uid="{E07F7845-AAB5-46F6-92CF-FF59A802AF86}"/>
    <cellStyle name="Comma 4 2 6 9" xfId="4615" xr:uid="{00000000-0005-0000-0000-00000F090000}"/>
    <cellStyle name="Comma 4 2 6 9 2" xfId="13065" xr:uid="{38A3F15E-DDE8-4869-951F-81AF469E2357}"/>
    <cellStyle name="Comma 4 2 6 9 3" xfId="21499" xr:uid="{5020D41E-D60B-41F7-B21A-24E3885069A7}"/>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50B5A52B-8634-4ED5-AB22-1A643E6B4B46}"/>
    <cellStyle name="Comma 4 3 2 10 2 3" xfId="23883" xr:uid="{47F12E65-5608-447E-9D25-0D717786C346}"/>
    <cellStyle name="Comma 4 3 2 10 3" xfId="11231" xr:uid="{27E9B644-1B43-4CA4-B10D-5CF095F2D123}"/>
    <cellStyle name="Comma 4 3 2 10 4" xfId="19666" xr:uid="{BEAC55A4-E46A-43DE-B1AF-8C19E1B91238}"/>
    <cellStyle name="Comma 4 3 2 11" xfId="4616" xr:uid="{00000000-0005-0000-0000-000014090000}"/>
    <cellStyle name="Comma 4 3 2 11 2" xfId="13066" xr:uid="{FB59B648-81DB-467B-92CB-F2643BC52D36}"/>
    <cellStyle name="Comma 4 3 2 11 3" xfId="21500" xr:uid="{F8EF223A-A7EE-42B5-B565-DF337378193D}"/>
    <cellStyle name="Comma 4 3 2 12" xfId="8848" xr:uid="{C7398D5C-0538-4452-86BE-AD424FC2BBB0}"/>
    <cellStyle name="Comma 4 3 2 13" xfId="17283" xr:uid="{8EC1BB9B-ADE5-49EF-AA61-53AD7A10F69F}"/>
    <cellStyle name="Comma 4 3 2 2" xfId="146" xr:uid="{00000000-0005-0000-0000-000015090000}"/>
    <cellStyle name="Comma 4 3 2 2 10" xfId="4617" xr:uid="{00000000-0005-0000-0000-000016090000}"/>
    <cellStyle name="Comma 4 3 2 2 10 2" xfId="13067" xr:uid="{7E7E6D97-D4AC-4AA3-B24E-587B9D278410}"/>
    <cellStyle name="Comma 4 3 2 2 10 3" xfId="21501" xr:uid="{E97FFC45-66D7-45D0-A5C1-0D0DD803B391}"/>
    <cellStyle name="Comma 4 3 2 2 11" xfId="8849" xr:uid="{62AD4076-B0D1-4E7D-B41A-397919AA5A02}"/>
    <cellStyle name="Comma 4 3 2 2 12" xfId="17284" xr:uid="{CBFA356C-E151-4030-8E59-DD8CDAD5C061}"/>
    <cellStyle name="Comma 4 3 2 2 2" xfId="147" xr:uid="{00000000-0005-0000-0000-000017090000}"/>
    <cellStyle name="Comma 4 3 2 2 2 10" xfId="8850" xr:uid="{055EEBEA-9338-4A41-A243-F2C7593C6859}"/>
    <cellStyle name="Comma 4 3 2 2 2 11" xfId="17285" xr:uid="{8B4D3C77-84AC-44FE-8044-95A048E4191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9215D237-8420-4696-A71E-0E9C6648D3FD}"/>
    <cellStyle name="Comma 4 3 2 2 2 2 2 2 3" xfId="24061" xr:uid="{15D1DF0B-048D-4181-ABC1-BD0B4F691901}"/>
    <cellStyle name="Comma 4 3 2 2 2 2 2 3" xfId="11409" xr:uid="{757582E8-A669-4FBE-A3DC-6F66DB07E5F2}"/>
    <cellStyle name="Comma 4 3 2 2 2 2 2 4" xfId="19844" xr:uid="{607037AB-944F-4FAC-A80C-7B75EA69D591}"/>
    <cellStyle name="Comma 4 3 2 2 2 2 3" xfId="5032" xr:uid="{00000000-0005-0000-0000-00001B090000}"/>
    <cellStyle name="Comma 4 3 2 2 2 2 3 2" xfId="13482" xr:uid="{D4FD5EB1-138E-439D-9D58-D308C8FFCD75}"/>
    <cellStyle name="Comma 4 3 2 2 2 2 3 3" xfId="21916" xr:uid="{138AE5A5-745E-459C-91CA-CF13F737A429}"/>
    <cellStyle name="Comma 4 3 2 2 2 2 4" xfId="9264" xr:uid="{A92A8829-BD0E-410D-8F12-539DE0B6C325}"/>
    <cellStyle name="Comma 4 3 2 2 2 2 5" xfId="17699" xr:uid="{8A75AA80-7BE2-4A98-A9C7-95C16CEB5FE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26BA64E5-1391-4576-BD82-0442EE581A8C}"/>
    <cellStyle name="Comma 4 3 2 2 2 3 2 2 3" xfId="24474" xr:uid="{F852236D-18B3-4D2D-B9AA-738F894CA9DE}"/>
    <cellStyle name="Comma 4 3 2 2 2 3 2 3" xfId="11822" xr:uid="{02E5D247-40DC-42E5-AA1C-9F633059F630}"/>
    <cellStyle name="Comma 4 3 2 2 2 3 2 4" xfId="20257" xr:uid="{E930B989-82C4-4B84-AACA-8D475EC31546}"/>
    <cellStyle name="Comma 4 3 2 2 2 3 3" xfId="5445" xr:uid="{00000000-0005-0000-0000-00001F090000}"/>
    <cellStyle name="Comma 4 3 2 2 2 3 3 2" xfId="13895" xr:uid="{59ACEE6F-B6B9-4FE4-8EFA-0147687A13C0}"/>
    <cellStyle name="Comma 4 3 2 2 2 3 3 3" xfId="22329" xr:uid="{05101FF3-8FB1-478E-BFC0-E0EC8E9C8379}"/>
    <cellStyle name="Comma 4 3 2 2 2 3 4" xfId="9677" xr:uid="{0EC5DED5-9E0E-47A4-8BA7-731A1EFA05A8}"/>
    <cellStyle name="Comma 4 3 2 2 2 3 5" xfId="18112" xr:uid="{01C82949-6B06-4EA8-88F5-4893CFCBE88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D6E36EC4-275B-4E74-A40A-6E300AF4A114}"/>
    <cellStyle name="Comma 4 3 2 2 2 4 2 2 3" xfId="24887" xr:uid="{860E6BCB-3ECE-4B27-9756-F20F31C4166C}"/>
    <cellStyle name="Comma 4 3 2 2 2 4 2 3" xfId="12235" xr:uid="{E79AFC81-A33A-4D26-B47C-4F4A71126562}"/>
    <cellStyle name="Comma 4 3 2 2 2 4 2 4" xfId="20670" xr:uid="{5367292D-700F-47AA-8CCA-1B9548A6FDE8}"/>
    <cellStyle name="Comma 4 3 2 2 2 4 3" xfId="5858" xr:uid="{00000000-0005-0000-0000-000023090000}"/>
    <cellStyle name="Comma 4 3 2 2 2 4 3 2" xfId="14308" xr:uid="{26D1FE24-0143-4F40-8BB3-661F086C555A}"/>
    <cellStyle name="Comma 4 3 2 2 2 4 3 3" xfId="22742" xr:uid="{C99C8689-88D8-447A-A287-E287EBD73E45}"/>
    <cellStyle name="Comma 4 3 2 2 2 4 4" xfId="10090" xr:uid="{D5E78D3A-729D-4FF0-92E1-E5F565BF04AC}"/>
    <cellStyle name="Comma 4 3 2 2 2 4 5" xfId="18525" xr:uid="{A378B37E-B40D-4759-BC20-EEFE5A29E20D}"/>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B9D20FF4-9F97-4D1D-BE00-A9589313C183}"/>
    <cellStyle name="Comma 4 3 2 2 2 5 2 2 3" xfId="25300" xr:uid="{94000321-C28F-4627-8553-0A043574A6C9}"/>
    <cellStyle name="Comma 4 3 2 2 2 5 2 3" xfId="12648" xr:uid="{9AC9FA40-B2AE-42C5-BD8A-CC44322DAB1D}"/>
    <cellStyle name="Comma 4 3 2 2 2 5 2 4" xfId="21083" xr:uid="{D80ED904-D205-4EC7-A5DE-A3AFE3320DBB}"/>
    <cellStyle name="Comma 4 3 2 2 2 5 3" xfId="6271" xr:uid="{00000000-0005-0000-0000-000027090000}"/>
    <cellStyle name="Comma 4 3 2 2 2 5 3 2" xfId="14721" xr:uid="{775A7646-1D19-4099-B6D8-51BBB3950AF9}"/>
    <cellStyle name="Comma 4 3 2 2 2 5 3 3" xfId="23155" xr:uid="{3B80F448-C33F-4EBA-85B9-833649167FE7}"/>
    <cellStyle name="Comma 4 3 2 2 2 5 4" xfId="10503" xr:uid="{F77352C8-45A1-4257-B4D3-F83B39219F69}"/>
    <cellStyle name="Comma 4 3 2 2 2 5 5" xfId="18938" xr:uid="{D4F0800A-4554-4550-A93C-11FF3468CACE}"/>
    <cellStyle name="Comma 4 3 2 2 2 6" xfId="2400" xr:uid="{00000000-0005-0000-0000-000028090000}"/>
    <cellStyle name="Comma 4 3 2 2 2 6 2" xfId="6684" xr:uid="{00000000-0005-0000-0000-000029090000}"/>
    <cellStyle name="Comma 4 3 2 2 2 6 2 2" xfId="15134" xr:uid="{BAF2E68B-6E96-4EEE-AA60-E40B92C037FA}"/>
    <cellStyle name="Comma 4 3 2 2 2 6 2 3" xfId="23568" xr:uid="{3F1F1A1D-BB0D-4AB7-B112-CDC0D9CF37AD}"/>
    <cellStyle name="Comma 4 3 2 2 2 6 3" xfId="10916" xr:uid="{1F648D0E-EFFA-4D6D-A7D0-E2D9558FD5D1}"/>
    <cellStyle name="Comma 4 3 2 2 2 6 4" xfId="19351" xr:uid="{43D75DD5-C696-413F-873C-DE828366D65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4FAA3E1C-B513-4E0F-BB64-396226C98866}"/>
    <cellStyle name="Comma 4 3 2 2 2 8 2 3" xfId="23885" xr:uid="{1655C8A4-3A2D-453B-ABC5-3564BC88AE41}"/>
    <cellStyle name="Comma 4 3 2 2 2 8 3" xfId="11233" xr:uid="{900F4275-C82E-4CAB-BEB2-154EC13C69E6}"/>
    <cellStyle name="Comma 4 3 2 2 2 8 4" xfId="19668" xr:uid="{4DD0B058-F243-46DD-BBF7-D4D378982E47}"/>
    <cellStyle name="Comma 4 3 2 2 2 9" xfId="4618" xr:uid="{00000000-0005-0000-0000-00002D090000}"/>
    <cellStyle name="Comma 4 3 2 2 2 9 2" xfId="13068" xr:uid="{4C58D535-4DC5-4AD4-82DD-CB42E23C3233}"/>
    <cellStyle name="Comma 4 3 2 2 2 9 3" xfId="21502" xr:uid="{F96CCDB6-AA39-4396-B78E-979D01B26991}"/>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322F6638-5150-4F14-9BE4-23EDAC6CFF7F}"/>
    <cellStyle name="Comma 4 3 2 2 3 2 2 3" xfId="24060" xr:uid="{487F29A0-8D55-45C4-8E5A-3268F266E296}"/>
    <cellStyle name="Comma 4 3 2 2 3 2 3" xfId="11408" xr:uid="{8576716D-6B05-4177-B88F-47D925B7CFC5}"/>
    <cellStyle name="Comma 4 3 2 2 3 2 4" xfId="19843" xr:uid="{7317077E-48F0-4D02-B60E-AD0F82B72ECB}"/>
    <cellStyle name="Comma 4 3 2 2 3 3" xfId="5031" xr:uid="{00000000-0005-0000-0000-000031090000}"/>
    <cellStyle name="Comma 4 3 2 2 3 3 2" xfId="13481" xr:uid="{4DC316EF-2E97-4F8A-8410-DB1851FEB737}"/>
    <cellStyle name="Comma 4 3 2 2 3 3 3" xfId="21915" xr:uid="{0C7F291B-2483-4430-BEE4-831AF782EF6B}"/>
    <cellStyle name="Comma 4 3 2 2 3 4" xfId="9263" xr:uid="{E63E462B-A093-4F23-846C-B5147D3EAB07}"/>
    <cellStyle name="Comma 4 3 2 2 3 5" xfId="17698" xr:uid="{18677441-4818-444B-A885-D5E925381F32}"/>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56049D78-7AEA-48BB-8205-833E871CDA12}"/>
    <cellStyle name="Comma 4 3 2 2 4 2 2 3" xfId="24473" xr:uid="{3FD42C68-7D96-4975-BCC1-33BDE6790C70}"/>
    <cellStyle name="Comma 4 3 2 2 4 2 3" xfId="11821" xr:uid="{A75C348F-A6A5-4AAE-BE08-70FBDF47E695}"/>
    <cellStyle name="Comma 4 3 2 2 4 2 4" xfId="20256" xr:uid="{AAB723A2-A608-45D7-80AC-E5911C613839}"/>
    <cellStyle name="Comma 4 3 2 2 4 3" xfId="5444" xr:uid="{00000000-0005-0000-0000-000035090000}"/>
    <cellStyle name="Comma 4 3 2 2 4 3 2" xfId="13894" xr:uid="{99915AF6-6BFD-45B2-AAAA-84BBFE2B62FA}"/>
    <cellStyle name="Comma 4 3 2 2 4 3 3" xfId="22328" xr:uid="{3F0E3EDD-754C-4F25-8E32-FDF47CC402CC}"/>
    <cellStyle name="Comma 4 3 2 2 4 4" xfId="9676" xr:uid="{836B6F1B-1897-4C49-9837-582511498988}"/>
    <cellStyle name="Comma 4 3 2 2 4 5" xfId="18111" xr:uid="{89EB5D21-60A8-4075-8844-15FA5BB3D3C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39ED8BF7-1FD1-4560-B36B-7D1B64E607B4}"/>
    <cellStyle name="Comma 4 3 2 2 5 2 2 3" xfId="24886" xr:uid="{7218CEDB-2B6E-4AB0-BBA2-821F30C063BB}"/>
    <cellStyle name="Comma 4 3 2 2 5 2 3" xfId="12234" xr:uid="{5B5C094B-2D4C-412A-A567-E4B63422F4E2}"/>
    <cellStyle name="Comma 4 3 2 2 5 2 4" xfId="20669" xr:uid="{7A827680-7B04-4B6A-AA5A-A617F6DBCCB4}"/>
    <cellStyle name="Comma 4 3 2 2 5 3" xfId="5857" xr:uid="{00000000-0005-0000-0000-000039090000}"/>
    <cellStyle name="Comma 4 3 2 2 5 3 2" xfId="14307" xr:uid="{F5C46F4A-4265-40B3-8726-AA6C3CFEDD79}"/>
    <cellStyle name="Comma 4 3 2 2 5 3 3" xfId="22741" xr:uid="{1543B8E8-7876-454E-B06F-45F4AA4599AD}"/>
    <cellStyle name="Comma 4 3 2 2 5 4" xfId="10089" xr:uid="{C034FBB6-44D7-4116-A58F-EA83C89FD39F}"/>
    <cellStyle name="Comma 4 3 2 2 5 5" xfId="18524" xr:uid="{17B96C67-5152-4D0E-B41E-E38FA38E0538}"/>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3C64C03F-29E9-4D63-B426-85520A4D1978}"/>
    <cellStyle name="Comma 4 3 2 2 6 2 2 3" xfId="25299" xr:uid="{104BDC2D-44BE-47C4-A54B-28BE0B9EA2BC}"/>
    <cellStyle name="Comma 4 3 2 2 6 2 3" xfId="12647" xr:uid="{7DE46922-9E54-492C-98B8-4A87D2A6565C}"/>
    <cellStyle name="Comma 4 3 2 2 6 2 4" xfId="21082" xr:uid="{1C10CD6C-2359-49D3-95FE-DA74BB79AC71}"/>
    <cellStyle name="Comma 4 3 2 2 6 3" xfId="6270" xr:uid="{00000000-0005-0000-0000-00003D090000}"/>
    <cellStyle name="Comma 4 3 2 2 6 3 2" xfId="14720" xr:uid="{7521A01F-89F8-4C4C-9EEF-21C7F818E5D5}"/>
    <cellStyle name="Comma 4 3 2 2 6 3 3" xfId="23154" xr:uid="{19E3D2F1-B521-435A-8C69-B344EDD59496}"/>
    <cellStyle name="Comma 4 3 2 2 6 4" xfId="10502" xr:uid="{7D9DC43D-6574-4457-87C6-5ECEA311463F}"/>
    <cellStyle name="Comma 4 3 2 2 6 5" xfId="18937" xr:uid="{7395C8D5-EA08-4111-9D1C-39C20C698167}"/>
    <cellStyle name="Comma 4 3 2 2 7" xfId="2399" xr:uid="{00000000-0005-0000-0000-00003E090000}"/>
    <cellStyle name="Comma 4 3 2 2 7 2" xfId="6683" xr:uid="{00000000-0005-0000-0000-00003F090000}"/>
    <cellStyle name="Comma 4 3 2 2 7 2 2" xfId="15133" xr:uid="{8F1F4135-6572-446E-90D0-1C9AA9437E22}"/>
    <cellStyle name="Comma 4 3 2 2 7 2 3" xfId="23567" xr:uid="{053CE4F2-D729-4F5C-A850-B056FA47C689}"/>
    <cellStyle name="Comma 4 3 2 2 7 3" xfId="10915" xr:uid="{72912C3E-2BD8-4551-9F82-FA3A3B07FE29}"/>
    <cellStyle name="Comma 4 3 2 2 7 4" xfId="19350" xr:uid="{766460BF-3D11-49E1-8B06-F931DCE7748B}"/>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8C420EBE-F24F-47E8-869D-09928F35C64B}"/>
    <cellStyle name="Comma 4 3 2 2 9 2 3" xfId="23884" xr:uid="{32518E7D-37BE-4C32-A5E3-1DB368E1437D}"/>
    <cellStyle name="Comma 4 3 2 2 9 3" xfId="11232" xr:uid="{628E2D21-8B82-4B5D-AA28-5276C1E2530E}"/>
    <cellStyle name="Comma 4 3 2 2 9 4" xfId="19667" xr:uid="{0C36B40D-770E-4816-8F93-306EC966040F}"/>
    <cellStyle name="Comma 4 3 2 3" xfId="148" xr:uid="{00000000-0005-0000-0000-000043090000}"/>
    <cellStyle name="Comma 4 3 2 3 10" xfId="8851" xr:uid="{E80EBD86-F508-415D-8A81-E7A90F27DCE1}"/>
    <cellStyle name="Comma 4 3 2 3 11" xfId="17286" xr:uid="{E6D9D77E-87D0-485B-A10F-220FC4C79803}"/>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AA4E1811-1A40-4DC2-A3A5-F36C6322873A}"/>
    <cellStyle name="Comma 4 3 2 3 2 2 2 3" xfId="24062" xr:uid="{45D22B1E-7880-46FC-8957-43AD905446F4}"/>
    <cellStyle name="Comma 4 3 2 3 2 2 3" xfId="11410" xr:uid="{1D0EFA10-41BC-42C6-9F27-0925E548173C}"/>
    <cellStyle name="Comma 4 3 2 3 2 2 4" xfId="19845" xr:uid="{67B8CB2B-AA6C-4602-A467-FD5E18F5ACD4}"/>
    <cellStyle name="Comma 4 3 2 3 2 3" xfId="5033" xr:uid="{00000000-0005-0000-0000-000047090000}"/>
    <cellStyle name="Comma 4 3 2 3 2 3 2" xfId="13483" xr:uid="{A0BA2AE1-C5AE-4B78-906C-B55CB5154D3E}"/>
    <cellStyle name="Comma 4 3 2 3 2 3 3" xfId="21917" xr:uid="{87EC6C01-BFA2-4CBF-8BA5-74063534A378}"/>
    <cellStyle name="Comma 4 3 2 3 2 4" xfId="9265" xr:uid="{889859E1-EA1B-43F7-8EB5-3A62A47435D5}"/>
    <cellStyle name="Comma 4 3 2 3 2 5" xfId="17700" xr:uid="{41B61259-DE0A-4964-8C33-9CD25CFA5C4B}"/>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9AAD6CB5-AD34-4EA8-8A52-43D1C9418E7B}"/>
    <cellStyle name="Comma 4 3 2 3 3 2 2 3" xfId="24475" xr:uid="{F67EBA6C-6C1C-4E86-A089-A6DEAB7A39A4}"/>
    <cellStyle name="Comma 4 3 2 3 3 2 3" xfId="11823" xr:uid="{01951863-9286-40FF-8B81-03B400D6F487}"/>
    <cellStyle name="Comma 4 3 2 3 3 2 4" xfId="20258" xr:uid="{3C5DA6AF-91F5-484A-9BA6-958722F72EB5}"/>
    <cellStyle name="Comma 4 3 2 3 3 3" xfId="5446" xr:uid="{00000000-0005-0000-0000-00004B090000}"/>
    <cellStyle name="Comma 4 3 2 3 3 3 2" xfId="13896" xr:uid="{3D1FDFC2-4F34-47AA-B3E4-32736B28BE69}"/>
    <cellStyle name="Comma 4 3 2 3 3 3 3" xfId="22330" xr:uid="{5DDAE9D7-642A-410E-9359-138C72900DB5}"/>
    <cellStyle name="Comma 4 3 2 3 3 4" xfId="9678" xr:uid="{DEA3F196-B221-4580-9C60-E60D4886979C}"/>
    <cellStyle name="Comma 4 3 2 3 3 5" xfId="18113" xr:uid="{FE615DFE-D6CF-40B6-A4F8-FABFF12FDC1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647504C3-31D6-4880-9646-8C506462B416}"/>
    <cellStyle name="Comma 4 3 2 3 4 2 2 3" xfId="24888" xr:uid="{59998A4D-7785-4A37-8634-7ECC612A977F}"/>
    <cellStyle name="Comma 4 3 2 3 4 2 3" xfId="12236" xr:uid="{4CE808C4-BFC7-48DC-92C5-EFEC39F37A60}"/>
    <cellStyle name="Comma 4 3 2 3 4 2 4" xfId="20671" xr:uid="{588029BC-31CD-47D2-BB20-EF7E2228D12C}"/>
    <cellStyle name="Comma 4 3 2 3 4 3" xfId="5859" xr:uid="{00000000-0005-0000-0000-00004F090000}"/>
    <cellStyle name="Comma 4 3 2 3 4 3 2" xfId="14309" xr:uid="{00D015DB-E622-486C-B550-96168B931595}"/>
    <cellStyle name="Comma 4 3 2 3 4 3 3" xfId="22743" xr:uid="{66209267-8EE0-4E3E-9A24-62F1CD2A8C21}"/>
    <cellStyle name="Comma 4 3 2 3 4 4" xfId="10091" xr:uid="{A5F94F94-109E-49F2-BC15-E9460A98A83C}"/>
    <cellStyle name="Comma 4 3 2 3 4 5" xfId="18526" xr:uid="{4A9F100D-E950-479A-8E80-DFE2DF095E3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DA9A0630-CD34-4B06-B555-097158FA05D9}"/>
    <cellStyle name="Comma 4 3 2 3 5 2 2 3" xfId="25301" xr:uid="{1BADD08B-3EAE-4949-825F-7F5A251DBA65}"/>
    <cellStyle name="Comma 4 3 2 3 5 2 3" xfId="12649" xr:uid="{08AABD31-D476-480D-89FA-4021C0A911DB}"/>
    <cellStyle name="Comma 4 3 2 3 5 2 4" xfId="21084" xr:uid="{265300AF-84D8-4A24-9E4D-86FA20E665EB}"/>
    <cellStyle name="Comma 4 3 2 3 5 3" xfId="6272" xr:uid="{00000000-0005-0000-0000-000053090000}"/>
    <cellStyle name="Comma 4 3 2 3 5 3 2" xfId="14722" xr:uid="{EA130E49-3BE3-4F0B-8D25-53D9DFED0E12}"/>
    <cellStyle name="Comma 4 3 2 3 5 3 3" xfId="23156" xr:uid="{CF995420-D488-416F-968E-A5F18025E3BA}"/>
    <cellStyle name="Comma 4 3 2 3 5 4" xfId="10504" xr:uid="{B355EC7F-930C-48FD-B6F3-B9305D837EB3}"/>
    <cellStyle name="Comma 4 3 2 3 5 5" xfId="18939" xr:uid="{40DE87D8-3FAC-41F7-BD9D-2850974429C0}"/>
    <cellStyle name="Comma 4 3 2 3 6" xfId="2401" xr:uid="{00000000-0005-0000-0000-000054090000}"/>
    <cellStyle name="Comma 4 3 2 3 6 2" xfId="6685" xr:uid="{00000000-0005-0000-0000-000055090000}"/>
    <cellStyle name="Comma 4 3 2 3 6 2 2" xfId="15135" xr:uid="{68263F84-3943-4E07-843D-66EA2F04E336}"/>
    <cellStyle name="Comma 4 3 2 3 6 2 3" xfId="23569" xr:uid="{FCA562C8-5D7C-4D54-8BE1-5C75EEFB3ED7}"/>
    <cellStyle name="Comma 4 3 2 3 6 3" xfId="10917" xr:uid="{898696DB-CB61-4864-9EB0-C39858FAE5A8}"/>
    <cellStyle name="Comma 4 3 2 3 6 4" xfId="19352" xr:uid="{CD2F929F-594D-4106-8B77-9BD391FBB7B9}"/>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CC08AF11-8E49-4987-809B-49A49B1B276E}"/>
    <cellStyle name="Comma 4 3 2 3 8 2 3" xfId="23886" xr:uid="{230E0F6C-3A12-4CE1-987B-ECD3BB627126}"/>
    <cellStyle name="Comma 4 3 2 3 8 3" xfId="11234" xr:uid="{434B16DD-C0D1-4EE0-A5E4-2C9813D7F093}"/>
    <cellStyle name="Comma 4 3 2 3 8 4" xfId="19669" xr:uid="{CB78EA54-E68D-4CF6-AF27-8127A5188CF7}"/>
    <cellStyle name="Comma 4 3 2 3 9" xfId="4619" xr:uid="{00000000-0005-0000-0000-000059090000}"/>
    <cellStyle name="Comma 4 3 2 3 9 2" xfId="13069" xr:uid="{7FAC4332-912C-4155-B33C-DD09E1674A66}"/>
    <cellStyle name="Comma 4 3 2 3 9 3" xfId="21503" xr:uid="{23A64C6C-108C-4F27-98C2-42D3DD372649}"/>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4F943AEC-FFDD-471F-BC30-D89428E573F1}"/>
    <cellStyle name="Comma 4 3 2 4 2 2 3" xfId="24059" xr:uid="{70586816-E6F2-413F-9834-2B1D42A5F5C6}"/>
    <cellStyle name="Comma 4 3 2 4 2 3" xfId="11407" xr:uid="{C1EC62A1-88E6-4163-8A64-41EBC062BF34}"/>
    <cellStyle name="Comma 4 3 2 4 2 4" xfId="19842" xr:uid="{9F2C8B07-4DAC-42F3-BA77-1BB884D99152}"/>
    <cellStyle name="Comma 4 3 2 4 3" xfId="5030" xr:uid="{00000000-0005-0000-0000-00005D090000}"/>
    <cellStyle name="Comma 4 3 2 4 3 2" xfId="13480" xr:uid="{9A571A41-EC66-47F1-9310-E66EAF1E8D48}"/>
    <cellStyle name="Comma 4 3 2 4 3 3" xfId="21914" xr:uid="{4943DA19-67E7-4EE0-894E-4C55F419344C}"/>
    <cellStyle name="Comma 4 3 2 4 4" xfId="9262" xr:uid="{629CE430-A283-4D68-95DA-71D9BFF7561A}"/>
    <cellStyle name="Comma 4 3 2 4 5" xfId="17697" xr:uid="{D4E0066F-EAEA-4DAB-9C84-F441443088D1}"/>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08CC0DAC-CECE-4062-A57D-6167694339AB}"/>
    <cellStyle name="Comma 4 3 2 5 2 2 3" xfId="24472" xr:uid="{4A8BEBA2-3B90-4570-BA5E-1E3B701AFD54}"/>
    <cellStyle name="Comma 4 3 2 5 2 3" xfId="11820" xr:uid="{59FCE5B2-DFD0-405D-B6CB-EF7BBDDFA532}"/>
    <cellStyle name="Comma 4 3 2 5 2 4" xfId="20255" xr:uid="{71579FFA-AF36-4F6F-9689-34EE099FFD4A}"/>
    <cellStyle name="Comma 4 3 2 5 3" xfId="5443" xr:uid="{00000000-0005-0000-0000-000061090000}"/>
    <cellStyle name="Comma 4 3 2 5 3 2" xfId="13893" xr:uid="{7C438B7C-7A88-4F6C-BD0E-792D97B76673}"/>
    <cellStyle name="Comma 4 3 2 5 3 3" xfId="22327" xr:uid="{C4830BB4-C0E3-43AD-9D60-D46CADB8B1AC}"/>
    <cellStyle name="Comma 4 3 2 5 4" xfId="9675" xr:uid="{855EFF40-1780-4C6C-B564-6F595C044F1D}"/>
    <cellStyle name="Comma 4 3 2 5 5" xfId="18110" xr:uid="{462D7D28-E821-4781-BC3E-152AEE390079}"/>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0B649950-AA09-431A-A9A5-14BA4E223540}"/>
    <cellStyle name="Comma 4 3 2 6 2 2 3" xfId="24885" xr:uid="{F575B2A6-FCFF-4A11-9ADC-9D16DAB8E215}"/>
    <cellStyle name="Comma 4 3 2 6 2 3" xfId="12233" xr:uid="{4FEDAE63-AE36-4101-A5FE-C4E4869E39B6}"/>
    <cellStyle name="Comma 4 3 2 6 2 4" xfId="20668" xr:uid="{7363B073-027B-4914-93CB-E1B463488516}"/>
    <cellStyle name="Comma 4 3 2 6 3" xfId="5856" xr:uid="{00000000-0005-0000-0000-000065090000}"/>
    <cellStyle name="Comma 4 3 2 6 3 2" xfId="14306" xr:uid="{F8F505ED-BE30-43F7-81A5-EC650FFEDC2E}"/>
    <cellStyle name="Comma 4 3 2 6 3 3" xfId="22740" xr:uid="{AD58BCBE-37CB-43F0-8AD7-ACBE519FD7CC}"/>
    <cellStyle name="Comma 4 3 2 6 4" xfId="10088" xr:uid="{1E99F26C-4601-44A2-A934-229CB4B8CC5F}"/>
    <cellStyle name="Comma 4 3 2 6 5" xfId="18523" xr:uid="{30FE8AC7-EF38-4D45-A17A-D56ACA00972F}"/>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06CBAA39-B474-413E-913C-BD51EDC5B46E}"/>
    <cellStyle name="Comma 4 3 2 7 2 2 3" xfId="25298" xr:uid="{B9F9F1FF-CB27-41C1-8E22-040A00906F53}"/>
    <cellStyle name="Comma 4 3 2 7 2 3" xfId="12646" xr:uid="{60DE7744-68D2-4520-89DD-1E155D8244D6}"/>
    <cellStyle name="Comma 4 3 2 7 2 4" xfId="21081" xr:uid="{AFFF9401-8DEB-4F75-AB60-279DC3568E90}"/>
    <cellStyle name="Comma 4 3 2 7 3" xfId="6269" xr:uid="{00000000-0005-0000-0000-000069090000}"/>
    <cellStyle name="Comma 4 3 2 7 3 2" xfId="14719" xr:uid="{0266ED68-1438-468B-AF5C-E3ACD8A97C08}"/>
    <cellStyle name="Comma 4 3 2 7 3 3" xfId="23153" xr:uid="{63446614-5572-42DB-A920-177B36CD9A26}"/>
    <cellStyle name="Comma 4 3 2 7 4" xfId="10501" xr:uid="{22599066-AE73-414F-B323-85A15DD48DA5}"/>
    <cellStyle name="Comma 4 3 2 7 5" xfId="18936" xr:uid="{C2D8AF2D-E15F-488A-BB58-1D4FCBEAC813}"/>
    <cellStyle name="Comma 4 3 2 8" xfId="2398" xr:uid="{00000000-0005-0000-0000-00006A090000}"/>
    <cellStyle name="Comma 4 3 2 8 2" xfId="6682" xr:uid="{00000000-0005-0000-0000-00006B090000}"/>
    <cellStyle name="Comma 4 3 2 8 2 2" xfId="15132" xr:uid="{3F37B988-BD63-446D-92C8-49EB31A1601A}"/>
    <cellStyle name="Comma 4 3 2 8 2 3" xfId="23566" xr:uid="{2FCC98A1-509E-43F1-AD4D-4FDC8CD794F2}"/>
    <cellStyle name="Comma 4 3 2 8 3" xfId="10914" xr:uid="{DABC38FC-F1B1-43B1-9FF7-F1C928C6B886}"/>
    <cellStyle name="Comma 4 3 2 8 4" xfId="19349" xr:uid="{DB15933A-A6A2-4189-8E2A-C51DF16AFE29}"/>
    <cellStyle name="Comma 4 3 2 9" xfId="2365" xr:uid="{00000000-0005-0000-0000-00006C090000}"/>
    <cellStyle name="Comma 4 3 3" xfId="149" xr:uid="{00000000-0005-0000-0000-00006D090000}"/>
    <cellStyle name="Comma 4 3 3 10" xfId="4620" xr:uid="{00000000-0005-0000-0000-00006E090000}"/>
    <cellStyle name="Comma 4 3 3 10 2" xfId="13070" xr:uid="{B53D5097-EB81-4CD7-ACBE-2D7263096C2F}"/>
    <cellStyle name="Comma 4 3 3 10 3" xfId="21504" xr:uid="{7C52A4AA-7B70-41F9-848D-1BA85BDBCE26}"/>
    <cellStyle name="Comma 4 3 3 11" xfId="8852" xr:uid="{565C88BF-761D-4202-B616-71009552BE39}"/>
    <cellStyle name="Comma 4 3 3 12" xfId="17287" xr:uid="{54EE0269-94BC-4B8D-8F35-10AD2455EC9F}"/>
    <cellStyle name="Comma 4 3 3 2" xfId="150" xr:uid="{00000000-0005-0000-0000-00006F090000}"/>
    <cellStyle name="Comma 4 3 3 2 10" xfId="8853" xr:uid="{DCD09E16-77E8-4797-9AE0-E9AAAD8266CF}"/>
    <cellStyle name="Comma 4 3 3 2 11" xfId="17288" xr:uid="{13CE4FF9-3BE7-43CE-A972-27996F34EDE1}"/>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BBEBB3A9-AB25-4AB6-A032-EE7EB2521548}"/>
    <cellStyle name="Comma 4 3 3 2 2 2 2 3" xfId="24064" xr:uid="{76797DBF-5D64-467B-9C93-AFE095B4CD6B}"/>
    <cellStyle name="Comma 4 3 3 2 2 2 3" xfId="11412" xr:uid="{9BBD54FA-B0CC-41C7-B701-A78BF1FFA742}"/>
    <cellStyle name="Comma 4 3 3 2 2 2 4" xfId="19847" xr:uid="{648BEE22-F7CB-41C7-8B57-FE727F804C8B}"/>
    <cellStyle name="Comma 4 3 3 2 2 3" xfId="5035" xr:uid="{00000000-0005-0000-0000-000073090000}"/>
    <cellStyle name="Comma 4 3 3 2 2 3 2" xfId="13485" xr:uid="{D933F798-B4BC-430C-91EE-E217B8417402}"/>
    <cellStyle name="Comma 4 3 3 2 2 3 3" xfId="21919" xr:uid="{F2A8B649-8DCC-4326-A727-57609DA14EE0}"/>
    <cellStyle name="Comma 4 3 3 2 2 4" xfId="9267" xr:uid="{5FBBA445-3FE8-44F1-A31C-09A6B845117A}"/>
    <cellStyle name="Comma 4 3 3 2 2 5" xfId="17702" xr:uid="{A2453932-0DA5-4A5B-BE3F-BAD0339A8BE2}"/>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3AEC4E11-AB16-4F16-8FD5-B036D514DC90}"/>
    <cellStyle name="Comma 4 3 3 2 3 2 2 3" xfId="24477" xr:uid="{9BF1489D-7B96-4F97-A63E-E7AFA760A5A6}"/>
    <cellStyle name="Comma 4 3 3 2 3 2 3" xfId="11825" xr:uid="{EBB47928-5136-4A73-BBEF-1CF978704547}"/>
    <cellStyle name="Comma 4 3 3 2 3 2 4" xfId="20260" xr:uid="{31434E0F-EB7B-4263-92E1-B3D40C47651B}"/>
    <cellStyle name="Comma 4 3 3 2 3 3" xfId="5448" xr:uid="{00000000-0005-0000-0000-000077090000}"/>
    <cellStyle name="Comma 4 3 3 2 3 3 2" xfId="13898" xr:uid="{6588C7A8-E7AF-4305-8D02-32CC5D9FAF34}"/>
    <cellStyle name="Comma 4 3 3 2 3 3 3" xfId="22332" xr:uid="{D076E886-AFAB-4E64-BB63-70AD03FF5926}"/>
    <cellStyle name="Comma 4 3 3 2 3 4" xfId="9680" xr:uid="{655321B6-3DF8-4198-9E79-03E64926881D}"/>
    <cellStyle name="Comma 4 3 3 2 3 5" xfId="18115" xr:uid="{935E0446-AD8C-4379-BA65-86176BBD842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D1737B45-BF1D-420C-8EBF-5DC71CE509CB}"/>
    <cellStyle name="Comma 4 3 3 2 4 2 2 3" xfId="24890" xr:uid="{85B31D83-8A2E-43E2-AA72-E08BD1A70FE1}"/>
    <cellStyle name="Comma 4 3 3 2 4 2 3" xfId="12238" xr:uid="{DB609D96-FB14-484B-BE5D-8D419F4C7023}"/>
    <cellStyle name="Comma 4 3 3 2 4 2 4" xfId="20673" xr:uid="{AA3A5036-47FA-47E2-8ED2-A5B7778E5233}"/>
    <cellStyle name="Comma 4 3 3 2 4 3" xfId="5861" xr:uid="{00000000-0005-0000-0000-00007B090000}"/>
    <cellStyle name="Comma 4 3 3 2 4 3 2" xfId="14311" xr:uid="{2DC123C9-AA5D-40D4-9155-F64DF48FCE56}"/>
    <cellStyle name="Comma 4 3 3 2 4 3 3" xfId="22745" xr:uid="{3FDC2B34-3CB8-492E-BB4B-64015C44050D}"/>
    <cellStyle name="Comma 4 3 3 2 4 4" xfId="10093" xr:uid="{9D5B66D0-0CB1-416F-860E-944CB87B4D19}"/>
    <cellStyle name="Comma 4 3 3 2 4 5" xfId="18528" xr:uid="{89647922-45D1-4D21-81A0-FD93E21FD75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2D4B7EEE-1522-48AD-B8A5-4F4E600F6A86}"/>
    <cellStyle name="Comma 4 3 3 2 5 2 2 3" xfId="25303" xr:uid="{0DD1A540-425A-43F8-890D-E39F1C28A609}"/>
    <cellStyle name="Comma 4 3 3 2 5 2 3" xfId="12651" xr:uid="{05CAB8C7-71E8-4BFB-A259-029098641C8F}"/>
    <cellStyle name="Comma 4 3 3 2 5 2 4" xfId="21086" xr:uid="{0BF59182-C234-4728-86AA-218828B8ADB3}"/>
    <cellStyle name="Comma 4 3 3 2 5 3" xfId="6274" xr:uid="{00000000-0005-0000-0000-00007F090000}"/>
    <cellStyle name="Comma 4 3 3 2 5 3 2" xfId="14724" xr:uid="{D49A1236-381B-4ED1-9D4D-E7B33F2508F2}"/>
    <cellStyle name="Comma 4 3 3 2 5 3 3" xfId="23158" xr:uid="{EBCF5868-2893-4B3F-9E3A-27A059906B96}"/>
    <cellStyle name="Comma 4 3 3 2 5 4" xfId="10506" xr:uid="{7C97B852-D1AA-4751-B3D8-C18042FE2DBE}"/>
    <cellStyle name="Comma 4 3 3 2 5 5" xfId="18941" xr:uid="{3E368DF6-D2D6-46CA-A243-69D2A7A3CC98}"/>
    <cellStyle name="Comma 4 3 3 2 6" xfId="2403" xr:uid="{00000000-0005-0000-0000-000080090000}"/>
    <cellStyle name="Comma 4 3 3 2 6 2" xfId="6687" xr:uid="{00000000-0005-0000-0000-000081090000}"/>
    <cellStyle name="Comma 4 3 3 2 6 2 2" xfId="15137" xr:uid="{089AF70F-3019-4271-91BC-26D8AD49DBE4}"/>
    <cellStyle name="Comma 4 3 3 2 6 2 3" xfId="23571" xr:uid="{B7E15E34-99A6-4628-9B40-901A7A6B5727}"/>
    <cellStyle name="Comma 4 3 3 2 6 3" xfId="10919" xr:uid="{B49E69DE-50A0-4117-BF07-31BBFEB822BF}"/>
    <cellStyle name="Comma 4 3 3 2 6 4" xfId="19354" xr:uid="{0351CFC0-3F56-4100-B6E5-94CB7FE5FE3F}"/>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977FE199-92F9-44FF-82B3-0CA58761DF0F}"/>
    <cellStyle name="Comma 4 3 3 2 8 2 3" xfId="23888" xr:uid="{B23EE55B-4D53-4EDD-B3D4-DAD1A5BD3BFF}"/>
    <cellStyle name="Comma 4 3 3 2 8 3" xfId="11236" xr:uid="{34399F8D-7991-42B2-AC78-74235C56E668}"/>
    <cellStyle name="Comma 4 3 3 2 8 4" xfId="19671" xr:uid="{16BA714C-5D83-4A8B-9236-CA7C876F6AD4}"/>
    <cellStyle name="Comma 4 3 3 2 9" xfId="4621" xr:uid="{00000000-0005-0000-0000-000085090000}"/>
    <cellStyle name="Comma 4 3 3 2 9 2" xfId="13071" xr:uid="{8333ED02-30AA-4CD2-9EC3-3111B6496930}"/>
    <cellStyle name="Comma 4 3 3 2 9 3" xfId="21505" xr:uid="{79019230-E90D-425E-A04D-1FAECEF83BE4}"/>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D32CECF2-80BC-431A-A19B-AB40F4B5982B}"/>
    <cellStyle name="Comma 4 3 3 3 2 2 3" xfId="24063" xr:uid="{FAB40101-4493-497A-96DB-EF33A98704FD}"/>
    <cellStyle name="Comma 4 3 3 3 2 3" xfId="11411" xr:uid="{7CA54949-BB45-46B9-A734-0E63886318CF}"/>
    <cellStyle name="Comma 4 3 3 3 2 4" xfId="19846" xr:uid="{EA0C9BB7-ACFE-45CD-A2DC-3BC91AC516DB}"/>
    <cellStyle name="Comma 4 3 3 3 3" xfId="5034" xr:uid="{00000000-0005-0000-0000-000089090000}"/>
    <cellStyle name="Comma 4 3 3 3 3 2" xfId="13484" xr:uid="{FE267675-E241-4603-8A3F-13CBACAC21CC}"/>
    <cellStyle name="Comma 4 3 3 3 3 3" xfId="21918" xr:uid="{10B38B03-0C5F-4A73-B337-1FBD8AAB85A8}"/>
    <cellStyle name="Comma 4 3 3 3 4" xfId="9266" xr:uid="{0BF121C0-E683-4C66-99B0-359E21459CC6}"/>
    <cellStyle name="Comma 4 3 3 3 5" xfId="17701" xr:uid="{70B70C9E-53F2-41D7-8BCD-1D357400CC90}"/>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175007FF-E6BD-4CB8-8BF7-33F4B6EA5EAE}"/>
    <cellStyle name="Comma 4 3 3 4 2 2 3" xfId="24476" xr:uid="{0367FA58-4CCD-40BC-AA5D-4D1EEF4A3C6D}"/>
    <cellStyle name="Comma 4 3 3 4 2 3" xfId="11824" xr:uid="{CA1F9C01-D65E-4E75-AD60-56FD51B5DDF2}"/>
    <cellStyle name="Comma 4 3 3 4 2 4" xfId="20259" xr:uid="{D0D2722E-4D9A-4058-9979-8514762B7CA2}"/>
    <cellStyle name="Comma 4 3 3 4 3" xfId="5447" xr:uid="{00000000-0005-0000-0000-00008D090000}"/>
    <cellStyle name="Comma 4 3 3 4 3 2" xfId="13897" xr:uid="{2ADE2180-3669-4CF9-9203-11DC2CDD8B39}"/>
    <cellStyle name="Comma 4 3 3 4 3 3" xfId="22331" xr:uid="{45248F45-BD0F-487C-89A9-5CFF98E6151C}"/>
    <cellStyle name="Comma 4 3 3 4 4" xfId="9679" xr:uid="{82B0D658-8A67-4894-BCEE-C1652B791B74}"/>
    <cellStyle name="Comma 4 3 3 4 5" xfId="18114" xr:uid="{78C15972-90F1-4F75-A75C-E095FF7F06DC}"/>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0C5EB893-9FFE-4347-B1D3-7D7AC246256C}"/>
    <cellStyle name="Comma 4 3 3 5 2 2 3" xfId="24889" xr:uid="{0CF09B53-AF00-4FEA-962D-676C6BF16C65}"/>
    <cellStyle name="Comma 4 3 3 5 2 3" xfId="12237" xr:uid="{CCD767F0-12B4-4AC5-AFD9-0F002622EC56}"/>
    <cellStyle name="Comma 4 3 3 5 2 4" xfId="20672" xr:uid="{E4EABAE1-3031-459D-93DA-ECBCE1F815B9}"/>
    <cellStyle name="Comma 4 3 3 5 3" xfId="5860" xr:uid="{00000000-0005-0000-0000-000091090000}"/>
    <cellStyle name="Comma 4 3 3 5 3 2" xfId="14310" xr:uid="{10DE3D7F-8367-4EBE-8389-749617E2D143}"/>
    <cellStyle name="Comma 4 3 3 5 3 3" xfId="22744" xr:uid="{0C6C3A4F-A7B9-410E-B15C-E2F6F452BEA1}"/>
    <cellStyle name="Comma 4 3 3 5 4" xfId="10092" xr:uid="{DB64D921-56D6-4F1E-9E1D-B010570C91DD}"/>
    <cellStyle name="Comma 4 3 3 5 5" xfId="18527" xr:uid="{F671827C-8C1B-4F80-BB08-BAB27C4A93B1}"/>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2A0EA561-C500-4207-B49D-ACAC7F9EB5E7}"/>
    <cellStyle name="Comma 4 3 3 6 2 2 3" xfId="25302" xr:uid="{46E2F7FA-CB47-43AA-B420-3A341947BB9C}"/>
    <cellStyle name="Comma 4 3 3 6 2 3" xfId="12650" xr:uid="{AEE4C28E-E384-4E9F-A553-12559D427C79}"/>
    <cellStyle name="Comma 4 3 3 6 2 4" xfId="21085" xr:uid="{27EE5FCC-4698-4DAC-A52F-26C3356F2DFA}"/>
    <cellStyle name="Comma 4 3 3 6 3" xfId="6273" xr:uid="{00000000-0005-0000-0000-000095090000}"/>
    <cellStyle name="Comma 4 3 3 6 3 2" xfId="14723" xr:uid="{650035F6-587E-4E2A-8E44-7B0205C35092}"/>
    <cellStyle name="Comma 4 3 3 6 3 3" xfId="23157" xr:uid="{39677C17-3FCC-45CF-9761-0261E4B2F1D8}"/>
    <cellStyle name="Comma 4 3 3 6 4" xfId="10505" xr:uid="{93A15F36-A8A0-4D3A-B867-53FAA31841B1}"/>
    <cellStyle name="Comma 4 3 3 6 5" xfId="18940" xr:uid="{421AF659-7FB8-4B5F-8D04-7C2F9C4EC528}"/>
    <cellStyle name="Comma 4 3 3 7" xfId="2402" xr:uid="{00000000-0005-0000-0000-000096090000}"/>
    <cellStyle name="Comma 4 3 3 7 2" xfId="6686" xr:uid="{00000000-0005-0000-0000-000097090000}"/>
    <cellStyle name="Comma 4 3 3 7 2 2" xfId="15136" xr:uid="{5BE981B3-82A2-4DAC-B053-C7AF3A3E78B9}"/>
    <cellStyle name="Comma 4 3 3 7 2 3" xfId="23570" xr:uid="{1C97204F-E226-48D4-978F-AA5F62F637E1}"/>
    <cellStyle name="Comma 4 3 3 7 3" xfId="10918" xr:uid="{DC1CB9E0-79A3-486C-BF46-2C09A5361D9E}"/>
    <cellStyle name="Comma 4 3 3 7 4" xfId="19353" xr:uid="{2A736FD1-454B-41BD-B444-64F0446D450F}"/>
    <cellStyle name="Comma 4 3 3 8" xfId="2361" xr:uid="{00000000-0005-0000-0000-000098090000}"/>
    <cellStyle name="Comma 4 3 3 9" xfId="2780" xr:uid="{00000000-0005-0000-0000-000099090000}"/>
    <cellStyle name="Comma 4 3 3 9 2" xfId="7003" xr:uid="{00000000-0005-0000-0000-00009A090000}"/>
    <cellStyle name="Comma 4 3 3 9 2 2" xfId="15453" xr:uid="{3788CC0F-2AD2-4E68-A8D4-85425D3C7250}"/>
    <cellStyle name="Comma 4 3 3 9 2 3" xfId="23887" xr:uid="{8240FED8-3D12-431F-922A-500B1B8E8E57}"/>
    <cellStyle name="Comma 4 3 3 9 3" xfId="11235" xr:uid="{412FAB7A-2FA7-460B-8F03-9024F5F1365E}"/>
    <cellStyle name="Comma 4 3 3 9 4" xfId="19670" xr:uid="{62213BC2-7788-4772-9C4F-3DC643081D2E}"/>
    <cellStyle name="Comma 4 3 4" xfId="151" xr:uid="{00000000-0005-0000-0000-00009B090000}"/>
    <cellStyle name="Comma 4 3 4 10" xfId="8854" xr:uid="{43E4949E-2941-4C55-812D-A3079DB3B9BA}"/>
    <cellStyle name="Comma 4 3 4 11" xfId="17289" xr:uid="{834BFA56-CF4A-4DBC-94FA-1C9B7E02E4B6}"/>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57CC1AE8-FFC3-462D-9C59-F92767EC04E8}"/>
    <cellStyle name="Comma 4 3 4 2 2 2 3" xfId="24065" xr:uid="{807D86CC-0E88-4ED8-B311-69339996007E}"/>
    <cellStyle name="Comma 4 3 4 2 2 3" xfId="11413" xr:uid="{E83ED507-9F1A-46FB-9AE5-7F56A66AA37D}"/>
    <cellStyle name="Comma 4 3 4 2 2 4" xfId="19848" xr:uid="{ED4AADD6-ECA5-46E8-AC01-0800C36C1F17}"/>
    <cellStyle name="Comma 4 3 4 2 3" xfId="5036" xr:uid="{00000000-0005-0000-0000-00009F090000}"/>
    <cellStyle name="Comma 4 3 4 2 3 2" xfId="13486" xr:uid="{F7C638FC-0562-4ABB-9719-6468A478695E}"/>
    <cellStyle name="Comma 4 3 4 2 3 3" xfId="21920" xr:uid="{11081609-4EAC-40DE-8A50-24912FC2B5D6}"/>
    <cellStyle name="Comma 4 3 4 2 4" xfId="9268" xr:uid="{014191A3-EA61-400C-A373-1E0FE26A175D}"/>
    <cellStyle name="Comma 4 3 4 2 5" xfId="17703" xr:uid="{5C996737-FEFF-4A66-85DC-BAEC90C620F1}"/>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D019F832-4432-41BC-8B53-88E56C475CCB}"/>
    <cellStyle name="Comma 4 3 4 3 2 2 3" xfId="24478" xr:uid="{F96B076B-31BB-4399-AFBD-18760A9ACA7B}"/>
    <cellStyle name="Comma 4 3 4 3 2 3" xfId="11826" xr:uid="{002E6DAB-0F18-4BDE-BBB2-D413D70F51AF}"/>
    <cellStyle name="Comma 4 3 4 3 2 4" xfId="20261" xr:uid="{69CC2BA6-16E5-485C-B543-116A52F1ADA8}"/>
    <cellStyle name="Comma 4 3 4 3 3" xfId="5449" xr:uid="{00000000-0005-0000-0000-0000A3090000}"/>
    <cellStyle name="Comma 4 3 4 3 3 2" xfId="13899" xr:uid="{11BCAEA8-3C63-4404-8FA5-F9E7F1CD77C7}"/>
    <cellStyle name="Comma 4 3 4 3 3 3" xfId="22333" xr:uid="{BDE8CAE2-C98A-4F68-B03C-39E904D5F3F5}"/>
    <cellStyle name="Comma 4 3 4 3 4" xfId="9681" xr:uid="{4D1A46A3-F305-4428-82CE-DA23B5C84FF2}"/>
    <cellStyle name="Comma 4 3 4 3 5" xfId="18116" xr:uid="{16DA9D64-28FD-4030-99E1-705635A2249F}"/>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7FC185EA-AB76-4943-A983-0EFCB818E3AF}"/>
    <cellStyle name="Comma 4 3 4 4 2 2 3" xfId="24891" xr:uid="{4FA239BA-DA24-4C5C-9BBA-0AC9F385611C}"/>
    <cellStyle name="Comma 4 3 4 4 2 3" xfId="12239" xr:uid="{CF030F5A-79D8-44E1-9953-B6CD890649F1}"/>
    <cellStyle name="Comma 4 3 4 4 2 4" xfId="20674" xr:uid="{E7A2BD68-9BC2-4C6C-9D3E-F8DC5C32BD2D}"/>
    <cellStyle name="Comma 4 3 4 4 3" xfId="5862" xr:uid="{00000000-0005-0000-0000-0000A7090000}"/>
    <cellStyle name="Comma 4 3 4 4 3 2" xfId="14312" xr:uid="{AA236C37-776B-4095-B89D-B2C6C74039A4}"/>
    <cellStyle name="Comma 4 3 4 4 3 3" xfId="22746" xr:uid="{E89A4B09-B6E6-40FB-9D0D-0629FD5D83D0}"/>
    <cellStyle name="Comma 4 3 4 4 4" xfId="10094" xr:uid="{19B8A459-9D1C-4C66-8288-BE054B51DD3A}"/>
    <cellStyle name="Comma 4 3 4 4 5" xfId="18529" xr:uid="{1DDB20B3-E2DB-4D0E-8853-FB209F7E7572}"/>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D9A02BE5-04DA-4E6C-9CA3-6C3144919EAE}"/>
    <cellStyle name="Comma 4 3 4 5 2 2 3" xfId="25304" xr:uid="{8F977418-9779-413A-AE8F-E521B4E48A74}"/>
    <cellStyle name="Comma 4 3 4 5 2 3" xfId="12652" xr:uid="{FEF6D85E-9608-46E1-83DE-EE7FC8BC174C}"/>
    <cellStyle name="Comma 4 3 4 5 2 4" xfId="21087" xr:uid="{B1B2AA2A-E620-40D8-89FC-16A5440E3D21}"/>
    <cellStyle name="Comma 4 3 4 5 3" xfId="6275" xr:uid="{00000000-0005-0000-0000-0000AB090000}"/>
    <cellStyle name="Comma 4 3 4 5 3 2" xfId="14725" xr:uid="{AD2B20C5-78E6-4D73-8704-A81E74DDAB08}"/>
    <cellStyle name="Comma 4 3 4 5 3 3" xfId="23159" xr:uid="{F9B86A60-DC19-48AF-AAFB-CB25942D8CB2}"/>
    <cellStyle name="Comma 4 3 4 5 4" xfId="10507" xr:uid="{9149E497-EDB8-4134-8EC5-F6AAAE2F2E70}"/>
    <cellStyle name="Comma 4 3 4 5 5" xfId="18942" xr:uid="{814111AF-CA49-4D7A-876F-735B6A066AF1}"/>
    <cellStyle name="Comma 4 3 4 6" xfId="2404" xr:uid="{00000000-0005-0000-0000-0000AC090000}"/>
    <cellStyle name="Comma 4 3 4 6 2" xfId="6688" xr:uid="{00000000-0005-0000-0000-0000AD090000}"/>
    <cellStyle name="Comma 4 3 4 6 2 2" xfId="15138" xr:uid="{C3A9E7BE-B6F7-4CAD-B523-A950E566F8F7}"/>
    <cellStyle name="Comma 4 3 4 6 2 3" xfId="23572" xr:uid="{64D1240C-1342-4541-A950-05327B0A38C1}"/>
    <cellStyle name="Comma 4 3 4 6 3" xfId="10920" xr:uid="{53E4036A-5424-4E25-AFEC-EFDE3107D117}"/>
    <cellStyle name="Comma 4 3 4 6 4" xfId="19355" xr:uid="{80802A9A-57A5-443F-869D-52988C0C9502}"/>
    <cellStyle name="Comma 4 3 4 7" xfId="2700" xr:uid="{00000000-0005-0000-0000-0000AE090000}"/>
    <cellStyle name="Comma 4 3 4 8" xfId="2782" xr:uid="{00000000-0005-0000-0000-0000AF090000}"/>
    <cellStyle name="Comma 4 3 4 8 2" xfId="7005" xr:uid="{00000000-0005-0000-0000-0000B0090000}"/>
    <cellStyle name="Comma 4 3 4 8 2 2" xfId="15455" xr:uid="{AF1286DB-FE84-4CAF-BDA4-DD7FBF156EEE}"/>
    <cellStyle name="Comma 4 3 4 8 2 3" xfId="23889" xr:uid="{0D1E6742-7848-48B1-B9B7-4A6127BFBCAD}"/>
    <cellStyle name="Comma 4 3 4 8 3" xfId="11237" xr:uid="{0C746BFA-CACE-497E-921A-5E35D51D9302}"/>
    <cellStyle name="Comma 4 3 4 8 4" xfId="19672" xr:uid="{DA96120C-9FA8-45B4-AE83-3D8E919453F1}"/>
    <cellStyle name="Comma 4 3 4 9" xfId="4622" xr:uid="{00000000-0005-0000-0000-0000B1090000}"/>
    <cellStyle name="Comma 4 3 4 9 2" xfId="13072" xr:uid="{6B9C719F-743A-4C0B-82B9-136F9B1F41CB}"/>
    <cellStyle name="Comma 4 3 4 9 3" xfId="21506" xr:uid="{6B7B4EDB-C7CD-494F-AF25-75B42D462201}"/>
    <cellStyle name="Comma 4 3 5" xfId="152" xr:uid="{00000000-0005-0000-0000-0000B2090000}"/>
    <cellStyle name="Comma 4 3 5 10" xfId="8855" xr:uid="{D48E2640-F145-4A2A-9514-580505C4CC7B}"/>
    <cellStyle name="Comma 4 3 5 11" xfId="17290" xr:uid="{324DDCA0-221C-4F38-8F4A-4F2BE9D6B7C8}"/>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930B51CB-6806-4113-9A83-30EDEE18B730}"/>
    <cellStyle name="Comma 4 3 5 2 2 2 3" xfId="24066" xr:uid="{BE44C655-EE97-4DA1-8E7C-AA0C27718AA3}"/>
    <cellStyle name="Comma 4 3 5 2 2 3" xfId="11414" xr:uid="{2847E18F-61DD-4ACB-81A0-A2212528E46A}"/>
    <cellStyle name="Comma 4 3 5 2 2 4" xfId="19849" xr:uid="{B4D12403-879F-4692-B8FE-8BB08AAC8705}"/>
    <cellStyle name="Comma 4 3 5 2 3" xfId="5037" xr:uid="{00000000-0005-0000-0000-0000B6090000}"/>
    <cellStyle name="Comma 4 3 5 2 3 2" xfId="13487" xr:uid="{D20D25A3-86EA-4CA4-92AE-2EB097065A68}"/>
    <cellStyle name="Comma 4 3 5 2 3 3" xfId="21921" xr:uid="{A1E74091-4CBB-4FD6-AE52-5BBCDD8EE2F3}"/>
    <cellStyle name="Comma 4 3 5 2 4" xfId="9269" xr:uid="{17DB4B4B-51A4-4036-89B7-0DAC171F03F2}"/>
    <cellStyle name="Comma 4 3 5 2 5" xfId="17704" xr:uid="{F81190D9-E258-4633-8A4F-F1234C1487DF}"/>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953291A3-78FD-4D36-AF21-A5FB168CA156}"/>
    <cellStyle name="Comma 4 3 5 3 2 2 3" xfId="24479" xr:uid="{54041565-0F4F-416A-9DF9-181FFE6907A0}"/>
    <cellStyle name="Comma 4 3 5 3 2 3" xfId="11827" xr:uid="{E5F0ABA0-7A0D-4B3A-AECD-7A3AD0FF1EA5}"/>
    <cellStyle name="Comma 4 3 5 3 2 4" xfId="20262" xr:uid="{4A106EDD-B637-4F19-9E87-9A8E1300B26F}"/>
    <cellStyle name="Comma 4 3 5 3 3" xfId="5450" xr:uid="{00000000-0005-0000-0000-0000BA090000}"/>
    <cellStyle name="Comma 4 3 5 3 3 2" xfId="13900" xr:uid="{E141DF0C-3107-457D-B112-B8DEEFBB81B9}"/>
    <cellStyle name="Comma 4 3 5 3 3 3" xfId="22334" xr:uid="{0A71ADF7-959C-4655-A84C-8E78766F1A89}"/>
    <cellStyle name="Comma 4 3 5 3 4" xfId="9682" xr:uid="{D584F3DC-1D90-464A-817C-338801121B55}"/>
    <cellStyle name="Comma 4 3 5 3 5" xfId="18117" xr:uid="{24DAEAB1-8511-40FE-9D87-A0FAA4782F09}"/>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39CDF026-967F-48BF-ACD1-8AD1EFB21DA0}"/>
    <cellStyle name="Comma 4 3 5 4 2 2 3" xfId="24892" xr:uid="{9AC23CFA-049C-4797-9768-5CD7D9D5800D}"/>
    <cellStyle name="Comma 4 3 5 4 2 3" xfId="12240" xr:uid="{F6F2203D-478B-4CF3-A92F-B0EFD6B4C3CA}"/>
    <cellStyle name="Comma 4 3 5 4 2 4" xfId="20675" xr:uid="{FF12DF82-2C71-44EF-AEEF-3EDADE766244}"/>
    <cellStyle name="Comma 4 3 5 4 3" xfId="5863" xr:uid="{00000000-0005-0000-0000-0000BE090000}"/>
    <cellStyle name="Comma 4 3 5 4 3 2" xfId="14313" xr:uid="{B956CC40-BCFE-44F9-A77D-D7432588A3F7}"/>
    <cellStyle name="Comma 4 3 5 4 3 3" xfId="22747" xr:uid="{F7A2DCEB-EAC2-41D8-B41E-16996DC16FAF}"/>
    <cellStyle name="Comma 4 3 5 4 4" xfId="10095" xr:uid="{BB3551CC-5776-4A3E-9F53-663711871902}"/>
    <cellStyle name="Comma 4 3 5 4 5" xfId="18530" xr:uid="{73CB0F93-7D59-4713-852D-D126570683A5}"/>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FF8347C8-3277-40E7-B5A8-99F94D5BE721}"/>
    <cellStyle name="Comma 4 3 5 5 2 2 3" xfId="25305" xr:uid="{2A1B4A1F-95CC-4603-B2F7-4CB715BC9EC3}"/>
    <cellStyle name="Comma 4 3 5 5 2 3" xfId="12653" xr:uid="{77075BB5-B615-4840-8F32-3EA3CBEFBF09}"/>
    <cellStyle name="Comma 4 3 5 5 2 4" xfId="21088" xr:uid="{1996B916-2EB3-4608-9FA9-2C45415F3B5E}"/>
    <cellStyle name="Comma 4 3 5 5 3" xfId="6276" xr:uid="{00000000-0005-0000-0000-0000C2090000}"/>
    <cellStyle name="Comma 4 3 5 5 3 2" xfId="14726" xr:uid="{5620C4FF-02D0-49B9-AD07-AF32777D2C0A}"/>
    <cellStyle name="Comma 4 3 5 5 3 3" xfId="23160" xr:uid="{F8C549B1-CB34-490F-B2B0-2C152C3A96B2}"/>
    <cellStyle name="Comma 4 3 5 5 4" xfId="10508" xr:uid="{1DBE1B5D-3067-4CFE-B2F6-2F82AAD4A6A8}"/>
    <cellStyle name="Comma 4 3 5 5 5" xfId="18943" xr:uid="{2B9AF440-3340-4491-A795-57C165B45BD9}"/>
    <cellStyle name="Comma 4 3 5 6" xfId="2405" xr:uid="{00000000-0005-0000-0000-0000C3090000}"/>
    <cellStyle name="Comma 4 3 5 6 2" xfId="6689" xr:uid="{00000000-0005-0000-0000-0000C4090000}"/>
    <cellStyle name="Comma 4 3 5 6 2 2" xfId="15139" xr:uid="{DFB59D23-AADF-41F9-9474-78F0893F5CCE}"/>
    <cellStyle name="Comma 4 3 5 6 2 3" xfId="23573" xr:uid="{CC7BBE03-FD8B-4C39-B734-9389E86A5C2E}"/>
    <cellStyle name="Comma 4 3 5 6 3" xfId="10921" xr:uid="{7C7BC543-46D0-4951-98B0-3B75EA360579}"/>
    <cellStyle name="Comma 4 3 5 6 4" xfId="19356" xr:uid="{41B53BEA-6EAD-41F0-B77C-4512E5A2B366}"/>
    <cellStyle name="Comma 4 3 5 7" xfId="2701" xr:uid="{00000000-0005-0000-0000-0000C5090000}"/>
    <cellStyle name="Comma 4 3 5 8" xfId="2783" xr:uid="{00000000-0005-0000-0000-0000C6090000}"/>
    <cellStyle name="Comma 4 3 5 8 2" xfId="7006" xr:uid="{00000000-0005-0000-0000-0000C7090000}"/>
    <cellStyle name="Comma 4 3 5 8 2 2" xfId="15456" xr:uid="{729E5EA7-FEC6-49FA-A782-2C4963AE0F68}"/>
    <cellStyle name="Comma 4 3 5 8 2 3" xfId="23890" xr:uid="{7284FB9E-558E-434D-9B80-EB955DD623D9}"/>
    <cellStyle name="Comma 4 3 5 8 3" xfId="11238" xr:uid="{1BE1C70F-D66C-4840-88C9-97A3A1370A84}"/>
    <cellStyle name="Comma 4 3 5 8 4" xfId="19673" xr:uid="{8184FEFC-8073-46C8-9A04-102791F01FAB}"/>
    <cellStyle name="Comma 4 3 5 9" xfId="4623" xr:uid="{00000000-0005-0000-0000-0000C8090000}"/>
    <cellStyle name="Comma 4 3 5 9 2" xfId="13073" xr:uid="{7123F19C-01D4-4C0B-BF70-12C3E58ED630}"/>
    <cellStyle name="Comma 4 3 5 9 3" xfId="21507" xr:uid="{06741300-9595-4CD8-A694-DFFC09D0653A}"/>
    <cellStyle name="Comma 4 4" xfId="153" xr:uid="{00000000-0005-0000-0000-0000C9090000}"/>
    <cellStyle name="Comma 4 4 10" xfId="2784" xr:uid="{00000000-0005-0000-0000-0000CA090000}"/>
    <cellStyle name="Comma 4 4 10 2" xfId="7007" xr:uid="{00000000-0005-0000-0000-0000CB090000}"/>
    <cellStyle name="Comma 4 4 10 2 2" xfId="15457" xr:uid="{52C8E97C-16FE-4CC9-A228-B7DD3BFAEFCE}"/>
    <cellStyle name="Comma 4 4 10 2 3" xfId="23891" xr:uid="{6887CC81-D528-4ED1-8F55-A1FAB2B3CCE2}"/>
    <cellStyle name="Comma 4 4 10 3" xfId="11239" xr:uid="{7802A1DD-23D7-4EAF-8ED9-3D097660FAE9}"/>
    <cellStyle name="Comma 4 4 10 4" xfId="19674" xr:uid="{1B90AE95-03E3-4959-979E-313D1141D0A1}"/>
    <cellStyle name="Comma 4 4 11" xfId="4624" xr:uid="{00000000-0005-0000-0000-0000CC090000}"/>
    <cellStyle name="Comma 4 4 11 2" xfId="13074" xr:uid="{E6514956-A98D-4582-A38A-C81195D1A545}"/>
    <cellStyle name="Comma 4 4 11 3" xfId="21508" xr:uid="{98EDBDA9-5AE8-4A37-9456-883169FC8F50}"/>
    <cellStyle name="Comma 4 4 12" xfId="8856" xr:uid="{D705D654-D933-4396-8DD5-329D343A02D6}"/>
    <cellStyle name="Comma 4 4 13" xfId="17291" xr:uid="{0CF1D649-3227-4B7D-8F36-62AB60133391}"/>
    <cellStyle name="Comma 4 4 2" xfId="154" xr:uid="{00000000-0005-0000-0000-0000CD090000}"/>
    <cellStyle name="Comma 4 4 2 10" xfId="4625" xr:uid="{00000000-0005-0000-0000-0000CE090000}"/>
    <cellStyle name="Comma 4 4 2 10 2" xfId="13075" xr:uid="{828F571A-AEA5-44C1-9B61-33EA16FBBFBE}"/>
    <cellStyle name="Comma 4 4 2 10 3" xfId="21509" xr:uid="{AC373365-3F4A-4C9A-9D33-F83BCD704EDB}"/>
    <cellStyle name="Comma 4 4 2 11" xfId="8857" xr:uid="{6E29FC6E-B553-4A2D-959A-950018FC40B2}"/>
    <cellStyle name="Comma 4 4 2 12" xfId="17292" xr:uid="{28E46CCC-1E04-4B63-8606-303649FCACAF}"/>
    <cellStyle name="Comma 4 4 2 2" xfId="155" xr:uid="{00000000-0005-0000-0000-0000CF090000}"/>
    <cellStyle name="Comma 4 4 2 2 10" xfId="8858" xr:uid="{0935B6C2-CAAE-497D-A557-AF1B7B98F1B3}"/>
    <cellStyle name="Comma 4 4 2 2 11" xfId="17293" xr:uid="{027EDA1D-0205-4488-B379-20A83FAA1229}"/>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7CF66C15-EB27-4B30-939D-515A9FE83994}"/>
    <cellStyle name="Comma 4 4 2 2 2 2 2 3" xfId="24069" xr:uid="{0D95D12D-7B6D-4137-8AFE-D46C7BC51020}"/>
    <cellStyle name="Comma 4 4 2 2 2 2 3" xfId="11417" xr:uid="{DA53F42D-62A7-4A0B-8891-4A49E5EB2EA0}"/>
    <cellStyle name="Comma 4 4 2 2 2 2 4" xfId="19852" xr:uid="{8506FDC2-9171-40F5-8BE0-C3F973613DF0}"/>
    <cellStyle name="Comma 4 4 2 2 2 3" xfId="5040" xr:uid="{00000000-0005-0000-0000-0000D3090000}"/>
    <cellStyle name="Comma 4 4 2 2 2 3 2" xfId="13490" xr:uid="{3DBAA9EA-3B6A-4BB3-BEE3-F798AA44BA49}"/>
    <cellStyle name="Comma 4 4 2 2 2 3 3" xfId="21924" xr:uid="{023D709B-C59D-4E4B-9F53-CA6715A2C2A5}"/>
    <cellStyle name="Comma 4 4 2 2 2 4" xfId="9272" xr:uid="{EE1AA47D-3CA9-4320-9646-CB30A5DE07EF}"/>
    <cellStyle name="Comma 4 4 2 2 2 5" xfId="17707" xr:uid="{254FC2A9-B9BB-4EC9-84C8-C677F148B4EB}"/>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E6A5FE51-1E64-440A-8B6E-F9B6A470B883}"/>
    <cellStyle name="Comma 4 4 2 2 3 2 2 3" xfId="24482" xr:uid="{799077F6-256A-47D9-BB59-1BFC3BB8C69F}"/>
    <cellStyle name="Comma 4 4 2 2 3 2 3" xfId="11830" xr:uid="{C50A45E9-F744-4E4B-A711-DA0B94AB9208}"/>
    <cellStyle name="Comma 4 4 2 2 3 2 4" xfId="20265" xr:uid="{5D7ABB7F-3CCB-4EFF-8C1B-69887127C0A3}"/>
    <cellStyle name="Comma 4 4 2 2 3 3" xfId="5453" xr:uid="{00000000-0005-0000-0000-0000D7090000}"/>
    <cellStyle name="Comma 4 4 2 2 3 3 2" xfId="13903" xr:uid="{B5DEAE4D-1E87-4D63-AD27-B9C17928A26B}"/>
    <cellStyle name="Comma 4 4 2 2 3 3 3" xfId="22337" xr:uid="{46515843-235C-43CF-9EA7-E0CB362B88B6}"/>
    <cellStyle name="Comma 4 4 2 2 3 4" xfId="9685" xr:uid="{E81B5477-11C6-4991-B8DA-589E13FDCB5E}"/>
    <cellStyle name="Comma 4 4 2 2 3 5" xfId="18120" xr:uid="{C7AF5319-735E-4270-B858-4F30686C7F7A}"/>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94176FBC-6CF7-4632-89EE-F7E0C349C209}"/>
    <cellStyle name="Comma 4 4 2 2 4 2 2 3" xfId="24895" xr:uid="{DAC8506B-5F43-48A0-825D-C7D10D4C95A8}"/>
    <cellStyle name="Comma 4 4 2 2 4 2 3" xfId="12243" xr:uid="{3C20AD47-A71B-47BD-9369-40D2C274ED68}"/>
    <cellStyle name="Comma 4 4 2 2 4 2 4" xfId="20678" xr:uid="{2AD35708-F78C-4A3A-B787-63DF6D62F144}"/>
    <cellStyle name="Comma 4 4 2 2 4 3" xfId="5866" xr:uid="{00000000-0005-0000-0000-0000DB090000}"/>
    <cellStyle name="Comma 4 4 2 2 4 3 2" xfId="14316" xr:uid="{2254C154-4E61-4E72-AFF6-4F46D30F2BEB}"/>
    <cellStyle name="Comma 4 4 2 2 4 3 3" xfId="22750" xr:uid="{337F357A-B431-476E-BC52-0D8D29664488}"/>
    <cellStyle name="Comma 4 4 2 2 4 4" xfId="10098" xr:uid="{926ED36F-DA55-4662-AD8D-0673CE4C079F}"/>
    <cellStyle name="Comma 4 4 2 2 4 5" xfId="18533" xr:uid="{7D69A856-BAA0-4580-8FC5-2E5ABC4AB5F2}"/>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8D1D6E60-5C71-4B1E-B3C8-CECF32A4B5B7}"/>
    <cellStyle name="Comma 4 4 2 2 5 2 2 3" xfId="25308" xr:uid="{1E8A02FB-FC3E-4B02-B4BD-AAD49CDA358F}"/>
    <cellStyle name="Comma 4 4 2 2 5 2 3" xfId="12656" xr:uid="{B2C6A1FB-71F2-41FD-AB1A-27BB01AECDA1}"/>
    <cellStyle name="Comma 4 4 2 2 5 2 4" xfId="21091" xr:uid="{AB01D133-6C21-4715-94A4-5D04A0F8CFF3}"/>
    <cellStyle name="Comma 4 4 2 2 5 3" xfId="6279" xr:uid="{00000000-0005-0000-0000-0000DF090000}"/>
    <cellStyle name="Comma 4 4 2 2 5 3 2" xfId="14729" xr:uid="{9A50A635-73E1-4817-903B-1975DEA45601}"/>
    <cellStyle name="Comma 4 4 2 2 5 3 3" xfId="23163" xr:uid="{CA4E0DD5-EB47-4644-B2F1-46B8D90B51D3}"/>
    <cellStyle name="Comma 4 4 2 2 5 4" xfId="10511" xr:uid="{FD661D35-DCBA-4C04-A19E-D0F0D84F6DDA}"/>
    <cellStyle name="Comma 4 4 2 2 5 5" xfId="18946" xr:uid="{A05D268A-56B5-4672-ADDE-848E29956F89}"/>
    <cellStyle name="Comma 4 4 2 2 6" xfId="2408" xr:uid="{00000000-0005-0000-0000-0000E0090000}"/>
    <cellStyle name="Comma 4 4 2 2 6 2" xfId="6692" xr:uid="{00000000-0005-0000-0000-0000E1090000}"/>
    <cellStyle name="Comma 4 4 2 2 6 2 2" xfId="15142" xr:uid="{1227EFC0-BB0C-486F-989F-A3722C3E262E}"/>
    <cellStyle name="Comma 4 4 2 2 6 2 3" xfId="23576" xr:uid="{3CE1FD01-29AD-46EE-B2E1-CF5BE0F793F5}"/>
    <cellStyle name="Comma 4 4 2 2 6 3" xfId="10924" xr:uid="{9EE5F359-8B80-4D6C-9109-62EE9E05BDEE}"/>
    <cellStyle name="Comma 4 4 2 2 6 4" xfId="19359" xr:uid="{9C55B02D-BFE9-4131-A3A9-5FC386EBDCFA}"/>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EBE638A6-23FE-4004-B08E-1A3A5C349817}"/>
    <cellStyle name="Comma 4 4 2 2 8 2 3" xfId="23893" xr:uid="{96A04F10-C6E2-4BD6-996F-8352FCC11718}"/>
    <cellStyle name="Comma 4 4 2 2 8 3" xfId="11241" xr:uid="{7228009D-D93B-4B19-A31D-DD0D8856B8DD}"/>
    <cellStyle name="Comma 4 4 2 2 8 4" xfId="19676" xr:uid="{F4FE55CC-0B14-4182-9768-A9C253E1CDB7}"/>
    <cellStyle name="Comma 4 4 2 2 9" xfId="4626" xr:uid="{00000000-0005-0000-0000-0000E5090000}"/>
    <cellStyle name="Comma 4 4 2 2 9 2" xfId="13076" xr:uid="{8ABE3181-C88D-47A7-83E0-2436C1D5233A}"/>
    <cellStyle name="Comma 4 4 2 2 9 3" xfId="21510" xr:uid="{B15435FE-CC5A-45B0-A540-87530773CA4A}"/>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7730BFBF-2A18-4F26-A506-85D0731E890A}"/>
    <cellStyle name="Comma 4 4 2 3 2 2 3" xfId="24068" xr:uid="{6C4FBB9B-FEB2-4315-856C-7B1D7083A646}"/>
    <cellStyle name="Comma 4 4 2 3 2 3" xfId="11416" xr:uid="{A06DA064-D8E5-4906-98C7-478F0ABCC24C}"/>
    <cellStyle name="Comma 4 4 2 3 2 4" xfId="19851" xr:uid="{7A5B1CD8-FD30-4A67-B776-FF0E1EE91380}"/>
    <cellStyle name="Comma 4 4 2 3 3" xfId="5039" xr:uid="{00000000-0005-0000-0000-0000E9090000}"/>
    <cellStyle name="Comma 4 4 2 3 3 2" xfId="13489" xr:uid="{88E79D95-9487-43C7-8A16-65743A6B0A5F}"/>
    <cellStyle name="Comma 4 4 2 3 3 3" xfId="21923" xr:uid="{3D31BED3-742B-4813-8973-D53BDDBDC5E9}"/>
    <cellStyle name="Comma 4 4 2 3 4" xfId="9271" xr:uid="{0E86673D-2D81-4185-832E-0F1F58AA8782}"/>
    <cellStyle name="Comma 4 4 2 3 5" xfId="17706" xr:uid="{5690F237-F112-468F-B837-C5ABCA9AD4D8}"/>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BAFA78AD-2890-466B-9A1E-15CBDCE07C28}"/>
    <cellStyle name="Comma 4 4 2 4 2 2 3" xfId="24481" xr:uid="{B8081BD7-548D-4DE4-84CB-5351C321A662}"/>
    <cellStyle name="Comma 4 4 2 4 2 3" xfId="11829" xr:uid="{87FF60EF-C1F3-4B8E-9844-57D7E9A009E3}"/>
    <cellStyle name="Comma 4 4 2 4 2 4" xfId="20264" xr:uid="{80CFA7CA-943B-4ACF-A5FE-E615EE150B94}"/>
    <cellStyle name="Comma 4 4 2 4 3" xfId="5452" xr:uid="{00000000-0005-0000-0000-0000ED090000}"/>
    <cellStyle name="Comma 4 4 2 4 3 2" xfId="13902" xr:uid="{46B4D951-6970-4065-BCE4-B8F0215A731D}"/>
    <cellStyle name="Comma 4 4 2 4 3 3" xfId="22336" xr:uid="{AA404EB5-CE15-43B0-B2F2-5B41A7E87690}"/>
    <cellStyle name="Comma 4 4 2 4 4" xfId="9684" xr:uid="{CA033B33-6C01-4277-8B7A-B6C9BF3FA823}"/>
    <cellStyle name="Comma 4 4 2 4 5" xfId="18119" xr:uid="{C775183D-654C-42FB-BBAF-0E0532588C98}"/>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263C19E9-CE36-4B0F-81EE-1A0824DFDACD}"/>
    <cellStyle name="Comma 4 4 2 5 2 2 3" xfId="24894" xr:uid="{0FD9DF5D-1E0A-4920-ADEA-E811E845934B}"/>
    <cellStyle name="Comma 4 4 2 5 2 3" xfId="12242" xr:uid="{8355FF88-362D-43E1-936A-E3B5E1EBD86C}"/>
    <cellStyle name="Comma 4 4 2 5 2 4" xfId="20677" xr:uid="{9B806BDF-ECCF-4E59-B45D-F9876CCC209F}"/>
    <cellStyle name="Comma 4 4 2 5 3" xfId="5865" xr:uid="{00000000-0005-0000-0000-0000F1090000}"/>
    <cellStyle name="Comma 4 4 2 5 3 2" xfId="14315" xr:uid="{A1E1AD70-BAEF-47EB-95B7-F5A1E2E68F7E}"/>
    <cellStyle name="Comma 4 4 2 5 3 3" xfId="22749" xr:uid="{90FBB954-CCE2-41D8-8A6B-7133471878A2}"/>
    <cellStyle name="Comma 4 4 2 5 4" xfId="10097" xr:uid="{41B8EF06-15FA-4322-B023-9D327FDDED6D}"/>
    <cellStyle name="Comma 4 4 2 5 5" xfId="18532" xr:uid="{D8C7A38A-AEE7-4BF2-BAA0-BBEA38E1F06F}"/>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0D25A407-2A52-4A7C-9ADB-0D32CDA57264}"/>
    <cellStyle name="Comma 4 4 2 6 2 2 3" xfId="25307" xr:uid="{99DA33F2-A186-46C1-B84B-9201D1D9DAAD}"/>
    <cellStyle name="Comma 4 4 2 6 2 3" xfId="12655" xr:uid="{BE339A3B-D618-49AB-88F2-D6ADF26FFF0D}"/>
    <cellStyle name="Comma 4 4 2 6 2 4" xfId="21090" xr:uid="{67400429-A0D3-42C7-AE5D-28A48CA31577}"/>
    <cellStyle name="Comma 4 4 2 6 3" xfId="6278" xr:uid="{00000000-0005-0000-0000-0000F5090000}"/>
    <cellStyle name="Comma 4 4 2 6 3 2" xfId="14728" xr:uid="{DDBCB856-463A-4029-A2E7-88C911AB4211}"/>
    <cellStyle name="Comma 4 4 2 6 3 3" xfId="23162" xr:uid="{53AA5561-0C61-4C55-BCDC-EF93BF2DB1A8}"/>
    <cellStyle name="Comma 4 4 2 6 4" xfId="10510" xr:uid="{E98D48A1-9EBF-4E00-96F3-660055451437}"/>
    <cellStyle name="Comma 4 4 2 6 5" xfId="18945" xr:uid="{13D1EB20-FB59-4263-979B-CDAC590A77C3}"/>
    <cellStyle name="Comma 4 4 2 7" xfId="2407" xr:uid="{00000000-0005-0000-0000-0000F6090000}"/>
    <cellStyle name="Comma 4 4 2 7 2" xfId="6691" xr:uid="{00000000-0005-0000-0000-0000F7090000}"/>
    <cellStyle name="Comma 4 4 2 7 2 2" xfId="15141" xr:uid="{78799AAF-D8DB-48ED-AD25-88039AF6F790}"/>
    <cellStyle name="Comma 4 4 2 7 2 3" xfId="23575" xr:uid="{B756BCF6-27C7-4367-9CE1-EA2599F0ECED}"/>
    <cellStyle name="Comma 4 4 2 7 3" xfId="10923" xr:uid="{6BA3A940-290A-4BF4-8E3D-678D6CEEFB15}"/>
    <cellStyle name="Comma 4 4 2 7 4" xfId="19358" xr:uid="{7241063A-211C-4342-91CE-4FD85F259B02}"/>
    <cellStyle name="Comma 4 4 2 8" xfId="2703" xr:uid="{00000000-0005-0000-0000-0000F8090000}"/>
    <cellStyle name="Comma 4 4 2 9" xfId="2785" xr:uid="{00000000-0005-0000-0000-0000F9090000}"/>
    <cellStyle name="Comma 4 4 2 9 2" xfId="7008" xr:uid="{00000000-0005-0000-0000-0000FA090000}"/>
    <cellStyle name="Comma 4 4 2 9 2 2" xfId="15458" xr:uid="{16E27468-EA11-472B-A4C7-74DB25012FE5}"/>
    <cellStyle name="Comma 4 4 2 9 2 3" xfId="23892" xr:uid="{BEAB1A49-18AE-4369-9ACB-F21991DA0CBE}"/>
    <cellStyle name="Comma 4 4 2 9 3" xfId="11240" xr:uid="{A3E3E906-BC09-41F7-8D89-E331149B502F}"/>
    <cellStyle name="Comma 4 4 2 9 4" xfId="19675" xr:uid="{E4324E53-319C-4029-8297-2014AF469C78}"/>
    <cellStyle name="Comma 4 4 3" xfId="156" xr:uid="{00000000-0005-0000-0000-0000FB090000}"/>
    <cellStyle name="Comma 4 4 3 10" xfId="8859" xr:uid="{851725DD-C2F7-4F48-9B22-57CB78BDD305}"/>
    <cellStyle name="Comma 4 4 3 11" xfId="17294" xr:uid="{2E152153-F408-434D-B9FA-A973497BF7B7}"/>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1F094397-2D43-4D4B-A046-C18BD1667646}"/>
    <cellStyle name="Comma 4 4 3 2 2 2 3" xfId="24070" xr:uid="{0F8DEE0C-450A-4694-AA67-620341AE2522}"/>
    <cellStyle name="Comma 4 4 3 2 2 3" xfId="11418" xr:uid="{EDC41AB3-C172-409C-958D-1FF5CA81298E}"/>
    <cellStyle name="Comma 4 4 3 2 2 4" xfId="19853" xr:uid="{3DB86E0C-C1D3-4348-B049-A698F656E7BD}"/>
    <cellStyle name="Comma 4 4 3 2 3" xfId="5041" xr:uid="{00000000-0005-0000-0000-0000FF090000}"/>
    <cellStyle name="Comma 4 4 3 2 3 2" xfId="13491" xr:uid="{289847EA-8576-4ABE-B84E-35F67BCBBD1E}"/>
    <cellStyle name="Comma 4 4 3 2 3 3" xfId="21925" xr:uid="{0B3FDE9F-4939-457D-BAC6-EEBE4A408C99}"/>
    <cellStyle name="Comma 4 4 3 2 4" xfId="9273" xr:uid="{699AEE44-12E0-4C4E-A0C6-6EFA72BE8A29}"/>
    <cellStyle name="Comma 4 4 3 2 5" xfId="17708" xr:uid="{53D9DE35-E8F4-4701-B66E-252878993431}"/>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99821233-5BEC-4CB1-B3DA-E22B60DC1E6C}"/>
    <cellStyle name="Comma 4 4 3 3 2 2 3" xfId="24483" xr:uid="{26688857-D64E-4541-9F75-6AFC1C6B40D8}"/>
    <cellStyle name="Comma 4 4 3 3 2 3" xfId="11831" xr:uid="{551A4B6D-1B13-4CCB-8A4D-910A723AAA47}"/>
    <cellStyle name="Comma 4 4 3 3 2 4" xfId="20266" xr:uid="{0E1B6CF5-A421-4F3D-A843-D3F7160F1AAE}"/>
    <cellStyle name="Comma 4 4 3 3 3" xfId="5454" xr:uid="{00000000-0005-0000-0000-0000030A0000}"/>
    <cellStyle name="Comma 4 4 3 3 3 2" xfId="13904" xr:uid="{DFE2F9F8-657A-49A4-865A-A5D17E0FB442}"/>
    <cellStyle name="Comma 4 4 3 3 3 3" xfId="22338" xr:uid="{D67FB159-6779-4021-87E6-2297ACD15AAC}"/>
    <cellStyle name="Comma 4 4 3 3 4" xfId="9686" xr:uid="{10213D63-50D2-4EA7-8397-F53D7F925A67}"/>
    <cellStyle name="Comma 4 4 3 3 5" xfId="18121" xr:uid="{0DBE1F32-3064-479D-B6F3-9A93621619CF}"/>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06553F57-5E71-4307-8AB3-16609DD5C9D0}"/>
    <cellStyle name="Comma 4 4 3 4 2 2 3" xfId="24896" xr:uid="{0B795566-91F4-414E-A232-E96BD08C3406}"/>
    <cellStyle name="Comma 4 4 3 4 2 3" xfId="12244" xr:uid="{77A39F12-D1C1-471F-95A9-E36C36972A15}"/>
    <cellStyle name="Comma 4 4 3 4 2 4" xfId="20679" xr:uid="{0853539D-570F-4EEE-A330-B583404EA840}"/>
    <cellStyle name="Comma 4 4 3 4 3" xfId="5867" xr:uid="{00000000-0005-0000-0000-0000070A0000}"/>
    <cellStyle name="Comma 4 4 3 4 3 2" xfId="14317" xr:uid="{766523E5-91C6-4A04-8463-1449D1A67F2C}"/>
    <cellStyle name="Comma 4 4 3 4 3 3" xfId="22751" xr:uid="{A1C1CA80-FA9A-4FB9-A080-2A254ED83B48}"/>
    <cellStyle name="Comma 4 4 3 4 4" xfId="10099" xr:uid="{91A7F0C0-BF13-4783-A900-4099912E22C6}"/>
    <cellStyle name="Comma 4 4 3 4 5" xfId="18534" xr:uid="{B4326917-86CA-468D-866E-B873F33B6CF7}"/>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028E8854-F5FF-48FD-A105-BC30B8607BD4}"/>
    <cellStyle name="Comma 4 4 3 5 2 2 3" xfId="25309" xr:uid="{434BB241-CFC3-4085-ADDE-4A626283728B}"/>
    <cellStyle name="Comma 4 4 3 5 2 3" xfId="12657" xr:uid="{514338FF-E96A-487C-A27E-F980BA72606B}"/>
    <cellStyle name="Comma 4 4 3 5 2 4" xfId="21092" xr:uid="{5A9FA4ED-40D5-43E6-BB42-26339C486E08}"/>
    <cellStyle name="Comma 4 4 3 5 3" xfId="6280" xr:uid="{00000000-0005-0000-0000-00000B0A0000}"/>
    <cellStyle name="Comma 4 4 3 5 3 2" xfId="14730" xr:uid="{265F3ED6-4697-4198-BCBE-0BC7999CD76A}"/>
    <cellStyle name="Comma 4 4 3 5 3 3" xfId="23164" xr:uid="{F2B16E53-C236-43B8-A1FF-99EC3E6DEC37}"/>
    <cellStyle name="Comma 4 4 3 5 4" xfId="10512" xr:uid="{5F2B4758-A3E3-4541-B5E4-E0281B2717CF}"/>
    <cellStyle name="Comma 4 4 3 5 5" xfId="18947" xr:uid="{B165FA56-4E1F-410B-A9C5-17A0DEF51C5E}"/>
    <cellStyle name="Comma 4 4 3 6" xfId="2409" xr:uid="{00000000-0005-0000-0000-00000C0A0000}"/>
    <cellStyle name="Comma 4 4 3 6 2" xfId="6693" xr:uid="{00000000-0005-0000-0000-00000D0A0000}"/>
    <cellStyle name="Comma 4 4 3 6 2 2" xfId="15143" xr:uid="{40DFE3F4-F36E-4B21-9F05-B0710F4F0D47}"/>
    <cellStyle name="Comma 4 4 3 6 2 3" xfId="23577" xr:uid="{15F2D2D3-DCE6-4A53-8E04-1A044E5BCCB4}"/>
    <cellStyle name="Comma 4 4 3 6 3" xfId="10925" xr:uid="{4BE34CCF-4E7E-440B-9727-D4C1F54970F2}"/>
    <cellStyle name="Comma 4 4 3 6 4" xfId="19360" xr:uid="{2D993007-0A43-44FB-8629-EBBEB5A8DC06}"/>
    <cellStyle name="Comma 4 4 3 7" xfId="2705" xr:uid="{00000000-0005-0000-0000-00000E0A0000}"/>
    <cellStyle name="Comma 4 4 3 8" xfId="2787" xr:uid="{00000000-0005-0000-0000-00000F0A0000}"/>
    <cellStyle name="Comma 4 4 3 8 2" xfId="7010" xr:uid="{00000000-0005-0000-0000-0000100A0000}"/>
    <cellStyle name="Comma 4 4 3 8 2 2" xfId="15460" xr:uid="{7A211DA4-B174-416F-93D0-7DE72C030E72}"/>
    <cellStyle name="Comma 4 4 3 8 2 3" xfId="23894" xr:uid="{0B75CC00-08BC-4576-BE9D-A1C581E3FAC6}"/>
    <cellStyle name="Comma 4 4 3 8 3" xfId="11242" xr:uid="{EB9E7DC2-F7DC-4B77-8863-04B11A768F0C}"/>
    <cellStyle name="Comma 4 4 3 8 4" xfId="19677" xr:uid="{5FE217AA-439F-44CA-9E17-DED93ADEF233}"/>
    <cellStyle name="Comma 4 4 3 9" xfId="4627" xr:uid="{00000000-0005-0000-0000-0000110A0000}"/>
    <cellStyle name="Comma 4 4 3 9 2" xfId="13077" xr:uid="{05D895B2-1D93-45A4-A92A-1329F5E5D860}"/>
    <cellStyle name="Comma 4 4 3 9 3" xfId="21511" xr:uid="{6EA74DFF-E71F-46A0-80B7-352901B6C778}"/>
    <cellStyle name="Comma 4 4 4" xfId="690" xr:uid="{00000000-0005-0000-0000-0000120A0000}"/>
    <cellStyle name="Comma 4 4 4 2" xfId="2961" xr:uid="{00000000-0005-0000-0000-0000130A0000}"/>
    <cellStyle name="Comma 4 4 4 2 2" xfId="7183" xr:uid="{00000000-0005-0000-0000-0000140A0000}"/>
    <cellStyle name="Comma 4 4 4 2 2 2" xfId="15633" xr:uid="{5FBC4B53-A20A-4887-ABEA-6F1BB5C4ECF1}"/>
    <cellStyle name="Comma 4 4 4 2 2 3" xfId="24067" xr:uid="{2B44AECA-F515-4E8B-AB13-3B6DCA87703A}"/>
    <cellStyle name="Comma 4 4 4 2 3" xfId="11415" xr:uid="{C1B14AA7-33D9-4E4D-A2B3-E6BC3C28C5EF}"/>
    <cellStyle name="Comma 4 4 4 2 4" xfId="19850" xr:uid="{E7CF3663-50F1-4364-9AE2-0441917ACC81}"/>
    <cellStyle name="Comma 4 4 4 3" xfId="5038" xr:uid="{00000000-0005-0000-0000-0000150A0000}"/>
    <cellStyle name="Comma 4 4 4 3 2" xfId="13488" xr:uid="{71E4AE26-4F11-4B90-A174-6C1F107B8938}"/>
    <cellStyle name="Comma 4 4 4 3 3" xfId="21922" xr:uid="{8AF396F0-9049-4E18-B4D8-8FA6D4918F4E}"/>
    <cellStyle name="Comma 4 4 4 4" xfId="9270" xr:uid="{02121AF8-A33E-453F-A342-538C83519997}"/>
    <cellStyle name="Comma 4 4 4 5" xfId="17705" xr:uid="{66A08881-7196-487C-8522-53FD434120EC}"/>
    <cellStyle name="Comma 4 4 5" xfId="1143" xr:uid="{00000000-0005-0000-0000-0000160A0000}"/>
    <cellStyle name="Comma 4 4 5 2" xfId="3374" xr:uid="{00000000-0005-0000-0000-0000170A0000}"/>
    <cellStyle name="Comma 4 4 5 2 2" xfId="7596" xr:uid="{00000000-0005-0000-0000-0000180A0000}"/>
    <cellStyle name="Comma 4 4 5 2 2 2" xfId="16046" xr:uid="{109AE479-28E7-4892-856E-4D04C8B7163C}"/>
    <cellStyle name="Comma 4 4 5 2 2 3" xfId="24480" xr:uid="{7A29752A-5477-444C-AE9E-3034325E2DAB}"/>
    <cellStyle name="Comma 4 4 5 2 3" xfId="11828" xr:uid="{A8BA32F5-E0AA-41BD-9FE8-229D013A297A}"/>
    <cellStyle name="Comma 4 4 5 2 4" xfId="20263" xr:uid="{C1226069-A2D4-48CA-91AB-CEFC1B60CEFB}"/>
    <cellStyle name="Comma 4 4 5 3" xfId="5451" xr:uid="{00000000-0005-0000-0000-0000190A0000}"/>
    <cellStyle name="Comma 4 4 5 3 2" xfId="13901" xr:uid="{0BF27035-8F19-452A-B4D1-1840F304E869}"/>
    <cellStyle name="Comma 4 4 5 3 3" xfId="22335" xr:uid="{CDBD1AC0-C227-4254-A7A8-16978ECD0CD3}"/>
    <cellStyle name="Comma 4 4 5 4" xfId="9683" xr:uid="{7181E07F-4323-42F2-A60F-9774644DDCF5}"/>
    <cellStyle name="Comma 4 4 5 5" xfId="18118" xr:uid="{2197BF32-BA2E-4E1D-AA12-038FF8EFDD51}"/>
    <cellStyle name="Comma 4 4 6" xfId="1557" xr:uid="{00000000-0005-0000-0000-00001A0A0000}"/>
    <cellStyle name="Comma 4 4 6 2" xfId="3787" xr:uid="{00000000-0005-0000-0000-00001B0A0000}"/>
    <cellStyle name="Comma 4 4 6 2 2" xfId="8009" xr:uid="{00000000-0005-0000-0000-00001C0A0000}"/>
    <cellStyle name="Comma 4 4 6 2 2 2" xfId="16459" xr:uid="{74B4ACC3-9FEF-4284-82DF-5A2D73449F0F}"/>
    <cellStyle name="Comma 4 4 6 2 2 3" xfId="24893" xr:uid="{ACE9FF7D-A38F-484C-8A19-E74AB7308A2F}"/>
    <cellStyle name="Comma 4 4 6 2 3" xfId="12241" xr:uid="{4E6B85F7-4200-4ADC-84C1-99DDFCB654D4}"/>
    <cellStyle name="Comma 4 4 6 2 4" xfId="20676" xr:uid="{BA449741-AF90-4C4C-836B-FF57F0E1A0C9}"/>
    <cellStyle name="Comma 4 4 6 3" xfId="5864" xr:uid="{00000000-0005-0000-0000-00001D0A0000}"/>
    <cellStyle name="Comma 4 4 6 3 2" xfId="14314" xr:uid="{ED1BEA30-EB82-4CDE-BE9F-868BF341CBCC}"/>
    <cellStyle name="Comma 4 4 6 3 3" xfId="22748" xr:uid="{01F1E151-17C0-4339-BC2B-F95757B131D9}"/>
    <cellStyle name="Comma 4 4 6 4" xfId="10096" xr:uid="{673B5BB7-AC7F-498E-B42E-7064B60238A5}"/>
    <cellStyle name="Comma 4 4 6 5" xfId="18531" xr:uid="{A0A8FFD6-788C-4166-8E57-2808511C1E55}"/>
    <cellStyle name="Comma 4 4 7" xfId="1971" xr:uid="{00000000-0005-0000-0000-00001E0A0000}"/>
    <cellStyle name="Comma 4 4 7 2" xfId="4200" xr:uid="{00000000-0005-0000-0000-00001F0A0000}"/>
    <cellStyle name="Comma 4 4 7 2 2" xfId="8422" xr:uid="{00000000-0005-0000-0000-0000200A0000}"/>
    <cellStyle name="Comma 4 4 7 2 2 2" xfId="16872" xr:uid="{595E7B10-F7A4-4616-A997-3E6EAEAB5AAA}"/>
    <cellStyle name="Comma 4 4 7 2 2 3" xfId="25306" xr:uid="{82B833D1-1795-4AC5-A01A-012A85D2A65A}"/>
    <cellStyle name="Comma 4 4 7 2 3" xfId="12654" xr:uid="{B55211B9-385F-47D2-854D-E35C78C1EE13}"/>
    <cellStyle name="Comma 4 4 7 2 4" xfId="21089" xr:uid="{FC7F466B-79AE-4648-BE27-658E39D4CDDD}"/>
    <cellStyle name="Comma 4 4 7 3" xfId="6277" xr:uid="{00000000-0005-0000-0000-0000210A0000}"/>
    <cellStyle name="Comma 4 4 7 3 2" xfId="14727" xr:uid="{0867CEC7-923A-48E5-B681-7DB98022B621}"/>
    <cellStyle name="Comma 4 4 7 3 3" xfId="23161" xr:uid="{B4110C1C-E95B-4223-8279-B4EB452647F3}"/>
    <cellStyle name="Comma 4 4 7 4" xfId="10509" xr:uid="{70DED2E7-1F8F-4CCE-AA18-1C5098F38419}"/>
    <cellStyle name="Comma 4 4 7 5" xfId="18944" xr:uid="{31E51254-3FFE-4C19-B638-8ED5B0434105}"/>
    <cellStyle name="Comma 4 4 8" xfId="2406" xr:uid="{00000000-0005-0000-0000-0000220A0000}"/>
    <cellStyle name="Comma 4 4 8 2" xfId="6690" xr:uid="{00000000-0005-0000-0000-0000230A0000}"/>
    <cellStyle name="Comma 4 4 8 2 2" xfId="15140" xr:uid="{D82DE41C-4E99-42F8-9F16-A3ED4EB3E803}"/>
    <cellStyle name="Comma 4 4 8 2 3" xfId="23574" xr:uid="{DA4C62D3-F6AB-4857-ADDE-8B76ECCFF26D}"/>
    <cellStyle name="Comma 4 4 8 3" xfId="10922" xr:uid="{134C26FD-25B7-4EC7-95F9-DAE9AC4D26C2}"/>
    <cellStyle name="Comma 4 4 8 4" xfId="19357" xr:uid="{B46E0BCD-E34E-4873-807F-066875621CAC}"/>
    <cellStyle name="Comma 4 4 9" xfId="2702" xr:uid="{00000000-0005-0000-0000-0000240A0000}"/>
    <cellStyle name="Comma 4 5" xfId="157" xr:uid="{00000000-0005-0000-0000-0000250A0000}"/>
    <cellStyle name="Comma 4 5 10" xfId="4628" xr:uid="{00000000-0005-0000-0000-0000260A0000}"/>
    <cellStyle name="Comma 4 5 10 2" xfId="13078" xr:uid="{F5070CFA-E20F-4552-9352-4EA4FE0B12A3}"/>
    <cellStyle name="Comma 4 5 10 3" xfId="21512" xr:uid="{DC8A9132-9C30-422E-936F-418818E1B8C3}"/>
    <cellStyle name="Comma 4 5 11" xfId="8860" xr:uid="{01E54DDF-4789-49D5-B694-C6FFF90637B0}"/>
    <cellStyle name="Comma 4 5 12" xfId="17295" xr:uid="{6BD4DF95-3369-43C2-B0CC-9CF191DA996C}"/>
    <cellStyle name="Comma 4 5 2" xfId="158" xr:uid="{00000000-0005-0000-0000-0000270A0000}"/>
    <cellStyle name="Comma 4 5 2 10" xfId="8861" xr:uid="{7D75695C-4EA4-43A1-86D8-19B28C8F41D3}"/>
    <cellStyle name="Comma 4 5 2 11" xfId="17296" xr:uid="{8CAC0C2D-CAAF-465F-A39E-CBCF8288F801}"/>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F1F35448-F563-484B-A8DE-60E92BED0E47}"/>
    <cellStyle name="Comma 4 5 2 2 2 2 3" xfId="24072" xr:uid="{2600785E-E60A-46DA-88F8-E6BBDE044B3F}"/>
    <cellStyle name="Comma 4 5 2 2 2 3" xfId="11420" xr:uid="{271D5A76-2BEF-4F00-BBB8-B4908D94DF0A}"/>
    <cellStyle name="Comma 4 5 2 2 2 4" xfId="19855" xr:uid="{BB0BD7CE-B9F7-4F9A-8606-2B173C99C9CB}"/>
    <cellStyle name="Comma 4 5 2 2 3" xfId="5043" xr:uid="{00000000-0005-0000-0000-00002B0A0000}"/>
    <cellStyle name="Comma 4 5 2 2 3 2" xfId="13493" xr:uid="{650D27E9-9A84-41B3-9CAE-970AF6F50916}"/>
    <cellStyle name="Comma 4 5 2 2 3 3" xfId="21927" xr:uid="{E20E203B-2A01-4AD1-A229-449A96C073C5}"/>
    <cellStyle name="Comma 4 5 2 2 4" xfId="9275" xr:uid="{BD7E544A-5C91-4CD4-B7A2-6B214F859EC7}"/>
    <cellStyle name="Comma 4 5 2 2 5" xfId="17710" xr:uid="{5173F992-1590-4471-9713-143EA38B16C5}"/>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6EA8AE27-CE3B-438A-A8DA-8A4BFC755052}"/>
    <cellStyle name="Comma 4 5 2 3 2 2 3" xfId="24485" xr:uid="{7FAA6921-0789-4E64-8132-6C9BB6B81A7A}"/>
    <cellStyle name="Comma 4 5 2 3 2 3" xfId="11833" xr:uid="{6E31E6F7-B567-4370-9A8F-EC54A82BA13A}"/>
    <cellStyle name="Comma 4 5 2 3 2 4" xfId="20268" xr:uid="{6B9A5C09-0264-4A98-85FE-3FF876423851}"/>
    <cellStyle name="Comma 4 5 2 3 3" xfId="5456" xr:uid="{00000000-0005-0000-0000-00002F0A0000}"/>
    <cellStyle name="Comma 4 5 2 3 3 2" xfId="13906" xr:uid="{40F92773-7D3E-4DFF-9E23-778243E2CEEE}"/>
    <cellStyle name="Comma 4 5 2 3 3 3" xfId="22340" xr:uid="{3C5335F7-31D7-436A-B843-F29ABFF896EF}"/>
    <cellStyle name="Comma 4 5 2 3 4" xfId="9688" xr:uid="{86831CDC-B78C-47AD-A4A0-70FEB680BD54}"/>
    <cellStyle name="Comma 4 5 2 3 5" xfId="18123" xr:uid="{27199C54-E622-4A09-8D7E-FAD34F5C3F08}"/>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D4454398-8D08-4929-A206-5F49CE435EDF}"/>
    <cellStyle name="Comma 4 5 2 4 2 2 3" xfId="24898" xr:uid="{AAE95081-B6FD-4DE5-96AD-ECA3497F874B}"/>
    <cellStyle name="Comma 4 5 2 4 2 3" xfId="12246" xr:uid="{A5BBF2DF-ACAF-48BD-BE82-A76CE25F93E6}"/>
    <cellStyle name="Comma 4 5 2 4 2 4" xfId="20681" xr:uid="{302315BB-2A7A-438C-AF4B-4F93F81F8EE2}"/>
    <cellStyle name="Comma 4 5 2 4 3" xfId="5869" xr:uid="{00000000-0005-0000-0000-0000330A0000}"/>
    <cellStyle name="Comma 4 5 2 4 3 2" xfId="14319" xr:uid="{185A48B8-0905-428F-A0BF-D918FA8831DD}"/>
    <cellStyle name="Comma 4 5 2 4 3 3" xfId="22753" xr:uid="{F7D91FF7-673E-4ABF-BB42-71E0F0708CFB}"/>
    <cellStyle name="Comma 4 5 2 4 4" xfId="10101" xr:uid="{5DF26032-3207-47C9-9DD3-B30F269A86DB}"/>
    <cellStyle name="Comma 4 5 2 4 5" xfId="18536" xr:uid="{C8B09232-7372-4984-8A0A-1C730187FEC1}"/>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C04F5674-32E4-491A-AF95-D69FC8EA1126}"/>
    <cellStyle name="Comma 4 5 2 5 2 2 3" xfId="25311" xr:uid="{E3B1736F-74E8-49C4-8CFF-B966C3F56011}"/>
    <cellStyle name="Comma 4 5 2 5 2 3" xfId="12659" xr:uid="{5544400C-D8F5-4338-8A92-5AE1E652F311}"/>
    <cellStyle name="Comma 4 5 2 5 2 4" xfId="21094" xr:uid="{E2F663B9-3234-43B7-BBF4-F84E71295C05}"/>
    <cellStyle name="Comma 4 5 2 5 3" xfId="6282" xr:uid="{00000000-0005-0000-0000-0000370A0000}"/>
    <cellStyle name="Comma 4 5 2 5 3 2" xfId="14732" xr:uid="{26CC73D4-DC82-4DCA-BDDD-C1EE368C51B6}"/>
    <cellStyle name="Comma 4 5 2 5 3 3" xfId="23166" xr:uid="{C856F78D-F588-4925-ADCF-79452EC8A8A7}"/>
    <cellStyle name="Comma 4 5 2 5 4" xfId="10514" xr:uid="{19C05164-D2E3-4247-B8F0-F158F0746E46}"/>
    <cellStyle name="Comma 4 5 2 5 5" xfId="18949" xr:uid="{01FB4B3A-ED8E-4378-854B-64D649F0B3EB}"/>
    <cellStyle name="Comma 4 5 2 6" xfId="2411" xr:uid="{00000000-0005-0000-0000-0000380A0000}"/>
    <cellStyle name="Comma 4 5 2 6 2" xfId="6695" xr:uid="{00000000-0005-0000-0000-0000390A0000}"/>
    <cellStyle name="Comma 4 5 2 6 2 2" xfId="15145" xr:uid="{C9041B20-C665-4CC5-A8DA-970F3DC40E8B}"/>
    <cellStyle name="Comma 4 5 2 6 2 3" xfId="23579" xr:uid="{02ECED10-5CCC-432D-8AC4-7536E322A253}"/>
    <cellStyle name="Comma 4 5 2 6 3" xfId="10927" xr:uid="{73BDC10C-1FCF-4659-8031-CC773DC45DF5}"/>
    <cellStyle name="Comma 4 5 2 6 4" xfId="19362" xr:uid="{844D88F5-32F0-4FD1-8798-A68BFF4C46DA}"/>
    <cellStyle name="Comma 4 5 2 7" xfId="2707" xr:uid="{00000000-0005-0000-0000-00003A0A0000}"/>
    <cellStyle name="Comma 4 5 2 8" xfId="2789" xr:uid="{00000000-0005-0000-0000-00003B0A0000}"/>
    <cellStyle name="Comma 4 5 2 8 2" xfId="7012" xr:uid="{00000000-0005-0000-0000-00003C0A0000}"/>
    <cellStyle name="Comma 4 5 2 8 2 2" xfId="15462" xr:uid="{F1D234B4-E4FA-42F1-A031-658D5AA941A4}"/>
    <cellStyle name="Comma 4 5 2 8 2 3" xfId="23896" xr:uid="{BED06ED1-5EDC-4B10-A963-FD34E23F9395}"/>
    <cellStyle name="Comma 4 5 2 8 3" xfId="11244" xr:uid="{F108F512-C521-477E-9BA2-13AD8648D054}"/>
    <cellStyle name="Comma 4 5 2 8 4" xfId="19679" xr:uid="{FABE8ED7-6010-40ED-BEFD-6F63B2C71B6A}"/>
    <cellStyle name="Comma 4 5 2 9" xfId="4629" xr:uid="{00000000-0005-0000-0000-00003D0A0000}"/>
    <cellStyle name="Comma 4 5 2 9 2" xfId="13079" xr:uid="{596BA632-855E-4163-B5D6-4BEBF0A25E29}"/>
    <cellStyle name="Comma 4 5 2 9 3" xfId="21513" xr:uid="{3E006005-76A9-4193-B704-78E2DA9D174B}"/>
    <cellStyle name="Comma 4 5 3" xfId="694" xr:uid="{00000000-0005-0000-0000-00003E0A0000}"/>
    <cellStyle name="Comma 4 5 3 2" xfId="2965" xr:uid="{00000000-0005-0000-0000-00003F0A0000}"/>
    <cellStyle name="Comma 4 5 3 2 2" xfId="7187" xr:uid="{00000000-0005-0000-0000-0000400A0000}"/>
    <cellStyle name="Comma 4 5 3 2 2 2" xfId="15637" xr:uid="{616791B9-2152-4164-A34B-BD2940F50020}"/>
    <cellStyle name="Comma 4 5 3 2 2 3" xfId="24071" xr:uid="{9B70BEE3-C44A-46A2-A580-B2CF26561538}"/>
    <cellStyle name="Comma 4 5 3 2 3" xfId="11419" xr:uid="{5EEF616B-89D3-4430-97B2-80DA49944D4D}"/>
    <cellStyle name="Comma 4 5 3 2 4" xfId="19854" xr:uid="{12EEEBE9-19BA-4BB3-801C-0C56082503EE}"/>
    <cellStyle name="Comma 4 5 3 3" xfId="5042" xr:uid="{00000000-0005-0000-0000-0000410A0000}"/>
    <cellStyle name="Comma 4 5 3 3 2" xfId="13492" xr:uid="{5BCCAF19-2E03-4867-A03C-F255338B807B}"/>
    <cellStyle name="Comma 4 5 3 3 3" xfId="21926" xr:uid="{614E0D14-DF6C-4DA9-9B56-DB6BE8A244DC}"/>
    <cellStyle name="Comma 4 5 3 4" xfId="9274" xr:uid="{6B02A0B7-4DF2-419D-BB98-F9DDBF9880FD}"/>
    <cellStyle name="Comma 4 5 3 5" xfId="17709" xr:uid="{8F1024D6-0634-410D-A80D-4F2440B2EF7B}"/>
    <cellStyle name="Comma 4 5 4" xfId="1147" xr:uid="{00000000-0005-0000-0000-0000420A0000}"/>
    <cellStyle name="Comma 4 5 4 2" xfId="3378" xr:uid="{00000000-0005-0000-0000-0000430A0000}"/>
    <cellStyle name="Comma 4 5 4 2 2" xfId="7600" xr:uid="{00000000-0005-0000-0000-0000440A0000}"/>
    <cellStyle name="Comma 4 5 4 2 2 2" xfId="16050" xr:uid="{3B6BE491-754B-4288-88F7-BE317552DB89}"/>
    <cellStyle name="Comma 4 5 4 2 2 3" xfId="24484" xr:uid="{0DD53D54-A400-4014-A104-7E8190514E90}"/>
    <cellStyle name="Comma 4 5 4 2 3" xfId="11832" xr:uid="{8AA1EBA5-09DC-4390-9E4B-096CA14C72E7}"/>
    <cellStyle name="Comma 4 5 4 2 4" xfId="20267" xr:uid="{1073C4FB-552C-4AB5-8E48-546B85F17EE0}"/>
    <cellStyle name="Comma 4 5 4 3" xfId="5455" xr:uid="{00000000-0005-0000-0000-0000450A0000}"/>
    <cellStyle name="Comma 4 5 4 3 2" xfId="13905" xr:uid="{EE002503-46C2-494D-B12C-466270A17108}"/>
    <cellStyle name="Comma 4 5 4 3 3" xfId="22339" xr:uid="{47FDE62F-656C-4622-A4A6-257BBB3910A1}"/>
    <cellStyle name="Comma 4 5 4 4" xfId="9687" xr:uid="{72D0D9E0-411F-470A-B59A-F89CBE70BE10}"/>
    <cellStyle name="Comma 4 5 4 5" xfId="18122" xr:uid="{9BE08AF8-DCF0-490C-84A4-7A632672EF26}"/>
    <cellStyle name="Comma 4 5 5" xfId="1561" xr:uid="{00000000-0005-0000-0000-0000460A0000}"/>
    <cellStyle name="Comma 4 5 5 2" xfId="3791" xr:uid="{00000000-0005-0000-0000-0000470A0000}"/>
    <cellStyle name="Comma 4 5 5 2 2" xfId="8013" xr:uid="{00000000-0005-0000-0000-0000480A0000}"/>
    <cellStyle name="Comma 4 5 5 2 2 2" xfId="16463" xr:uid="{3921034D-BA8C-47B4-AFF4-F974192CDF3F}"/>
    <cellStyle name="Comma 4 5 5 2 2 3" xfId="24897" xr:uid="{40AEF00A-A21B-4CA0-B8F6-45B3662736D7}"/>
    <cellStyle name="Comma 4 5 5 2 3" xfId="12245" xr:uid="{CC5F935C-AE76-4E8F-AEC8-1CABB3465D38}"/>
    <cellStyle name="Comma 4 5 5 2 4" xfId="20680" xr:uid="{7FD777A9-64D0-4395-9E68-513757BA9F90}"/>
    <cellStyle name="Comma 4 5 5 3" xfId="5868" xr:uid="{00000000-0005-0000-0000-0000490A0000}"/>
    <cellStyle name="Comma 4 5 5 3 2" xfId="14318" xr:uid="{69ECD817-F14E-4809-9992-5C84E8A3B108}"/>
    <cellStyle name="Comma 4 5 5 3 3" xfId="22752" xr:uid="{2604F373-CA08-4054-BDB2-0C83DEB3B4E6}"/>
    <cellStyle name="Comma 4 5 5 4" xfId="10100" xr:uid="{27735DDC-1217-4BC1-BD9D-4B50768D4620}"/>
    <cellStyle name="Comma 4 5 5 5" xfId="18535" xr:uid="{728CA49D-A7F2-401B-9D03-EA468BB839F5}"/>
    <cellStyle name="Comma 4 5 6" xfId="1975" xr:uid="{00000000-0005-0000-0000-00004A0A0000}"/>
    <cellStyle name="Comma 4 5 6 2" xfId="4204" xr:uid="{00000000-0005-0000-0000-00004B0A0000}"/>
    <cellStyle name="Comma 4 5 6 2 2" xfId="8426" xr:uid="{00000000-0005-0000-0000-00004C0A0000}"/>
    <cellStyle name="Comma 4 5 6 2 2 2" xfId="16876" xr:uid="{A56BE38F-FBF7-45B0-AF56-839A1548E591}"/>
    <cellStyle name="Comma 4 5 6 2 2 3" xfId="25310" xr:uid="{77BD163B-A054-429F-9AA6-9DBBE93CC80D}"/>
    <cellStyle name="Comma 4 5 6 2 3" xfId="12658" xr:uid="{CF04EA95-E8AA-41E2-9107-0FBAC3BC613C}"/>
    <cellStyle name="Comma 4 5 6 2 4" xfId="21093" xr:uid="{1AE7B8D0-0E20-4DFB-974B-DE6E7B34D6D3}"/>
    <cellStyle name="Comma 4 5 6 3" xfId="6281" xr:uid="{00000000-0005-0000-0000-00004D0A0000}"/>
    <cellStyle name="Comma 4 5 6 3 2" xfId="14731" xr:uid="{F16B44C3-A4FC-40D8-B775-F5CE29F3C6F7}"/>
    <cellStyle name="Comma 4 5 6 3 3" xfId="23165" xr:uid="{E0CCEAE2-2B23-4A0B-B4A8-D4EF03C977B6}"/>
    <cellStyle name="Comma 4 5 6 4" xfId="10513" xr:uid="{1910E6F1-2665-4F68-9BAC-BFB2299C11F5}"/>
    <cellStyle name="Comma 4 5 6 5" xfId="18948" xr:uid="{91CAAA99-1E48-47A9-910C-882AC4E9161B}"/>
    <cellStyle name="Comma 4 5 7" xfId="2410" xr:uid="{00000000-0005-0000-0000-00004E0A0000}"/>
    <cellStyle name="Comma 4 5 7 2" xfId="6694" xr:uid="{00000000-0005-0000-0000-00004F0A0000}"/>
    <cellStyle name="Comma 4 5 7 2 2" xfId="15144" xr:uid="{55BDFF06-6EFA-4B33-AE05-5B6BBACF91B0}"/>
    <cellStyle name="Comma 4 5 7 2 3" xfId="23578" xr:uid="{059940D7-DC92-4A33-A8BF-138C4A8F065C}"/>
    <cellStyle name="Comma 4 5 7 3" xfId="10926" xr:uid="{67212B95-9B80-4EA7-9302-FC152102AE7A}"/>
    <cellStyle name="Comma 4 5 7 4" xfId="19361" xr:uid="{B5AB98C6-22F1-43FA-8D19-50A8563C8798}"/>
    <cellStyle name="Comma 4 5 8" xfId="2706" xr:uid="{00000000-0005-0000-0000-0000500A0000}"/>
    <cellStyle name="Comma 4 5 9" xfId="2788" xr:uid="{00000000-0005-0000-0000-0000510A0000}"/>
    <cellStyle name="Comma 4 5 9 2" xfId="7011" xr:uid="{00000000-0005-0000-0000-0000520A0000}"/>
    <cellStyle name="Comma 4 5 9 2 2" xfId="15461" xr:uid="{446828E2-24A1-43E0-AE62-D55481048418}"/>
    <cellStyle name="Comma 4 5 9 2 3" xfId="23895" xr:uid="{DC415BF3-8BAE-4B94-A423-51D57D11A4BC}"/>
    <cellStyle name="Comma 4 5 9 3" xfId="11243" xr:uid="{8C522E8A-2F4C-4C37-83EE-D86639B87B67}"/>
    <cellStyle name="Comma 4 5 9 4" xfId="19678" xr:uid="{F048F67B-5A2D-49A8-B135-7AF587A24A6A}"/>
    <cellStyle name="Comma 4 6" xfId="159" xr:uid="{00000000-0005-0000-0000-0000530A0000}"/>
    <cellStyle name="Comma 4 6 10" xfId="8862" xr:uid="{987D03FF-DBEA-40C0-B7B6-43FB96D76EDA}"/>
    <cellStyle name="Comma 4 6 11" xfId="17297" xr:uid="{AF1E208E-CE6F-45A4-81E2-2F7FC0CD511A}"/>
    <cellStyle name="Comma 4 6 2" xfId="696" xr:uid="{00000000-0005-0000-0000-0000540A0000}"/>
    <cellStyle name="Comma 4 6 2 2" xfId="2967" xr:uid="{00000000-0005-0000-0000-0000550A0000}"/>
    <cellStyle name="Comma 4 6 2 2 2" xfId="7189" xr:uid="{00000000-0005-0000-0000-0000560A0000}"/>
    <cellStyle name="Comma 4 6 2 2 2 2" xfId="15639" xr:uid="{9D310CFB-87CF-42D0-BA09-A05763985B9D}"/>
    <cellStyle name="Comma 4 6 2 2 2 3" xfId="24073" xr:uid="{38889B24-E0AF-40A8-8D38-E7943AC7AAB9}"/>
    <cellStyle name="Comma 4 6 2 2 3" xfId="11421" xr:uid="{3B3F2EA4-B634-4397-B5F2-BE824672B9BE}"/>
    <cellStyle name="Comma 4 6 2 2 4" xfId="19856" xr:uid="{D6D2732C-3D39-4288-8A1A-F4B39393F42E}"/>
    <cellStyle name="Comma 4 6 2 3" xfId="5044" xr:uid="{00000000-0005-0000-0000-0000570A0000}"/>
    <cellStyle name="Comma 4 6 2 3 2" xfId="13494" xr:uid="{ACB5367C-0F73-49EF-BE4B-C049B7760BB3}"/>
    <cellStyle name="Comma 4 6 2 3 3" xfId="21928" xr:uid="{16A86478-DD5E-4D17-BD51-5C74E53532BA}"/>
    <cellStyle name="Comma 4 6 2 4" xfId="9276" xr:uid="{80924209-29DE-4189-8B3E-86BE7E7F77BE}"/>
    <cellStyle name="Comma 4 6 2 5" xfId="17711" xr:uid="{DB791DE4-42DC-4192-95AB-F191B86FE574}"/>
    <cellStyle name="Comma 4 6 3" xfId="1149" xr:uid="{00000000-0005-0000-0000-0000580A0000}"/>
    <cellStyle name="Comma 4 6 3 2" xfId="3380" xr:uid="{00000000-0005-0000-0000-0000590A0000}"/>
    <cellStyle name="Comma 4 6 3 2 2" xfId="7602" xr:uid="{00000000-0005-0000-0000-00005A0A0000}"/>
    <cellStyle name="Comma 4 6 3 2 2 2" xfId="16052" xr:uid="{66814DF6-E515-4F64-89B8-F185B63D12FB}"/>
    <cellStyle name="Comma 4 6 3 2 2 3" xfId="24486" xr:uid="{00C39AE8-2802-4C24-B275-CD288E0310D7}"/>
    <cellStyle name="Comma 4 6 3 2 3" xfId="11834" xr:uid="{D01F35EE-E7BC-4F80-9002-1EC38B0B152C}"/>
    <cellStyle name="Comma 4 6 3 2 4" xfId="20269" xr:uid="{07EA0CBD-667A-4D96-88CA-A6B0B7BC8463}"/>
    <cellStyle name="Comma 4 6 3 3" xfId="5457" xr:uid="{00000000-0005-0000-0000-00005B0A0000}"/>
    <cellStyle name="Comma 4 6 3 3 2" xfId="13907" xr:uid="{CBAD46C8-9745-4BFB-85F4-004A295CEAE0}"/>
    <cellStyle name="Comma 4 6 3 3 3" xfId="22341" xr:uid="{E382C030-C617-438F-9420-16311B98B56D}"/>
    <cellStyle name="Comma 4 6 3 4" xfId="9689" xr:uid="{01EC9502-797F-4C5A-9844-09A0D687A009}"/>
    <cellStyle name="Comma 4 6 3 5" xfId="18124" xr:uid="{EB621240-C072-4A49-932D-932E9045C97A}"/>
    <cellStyle name="Comma 4 6 4" xfId="1563" xr:uid="{00000000-0005-0000-0000-00005C0A0000}"/>
    <cellStyle name="Comma 4 6 4 2" xfId="3793" xr:uid="{00000000-0005-0000-0000-00005D0A0000}"/>
    <cellStyle name="Comma 4 6 4 2 2" xfId="8015" xr:uid="{00000000-0005-0000-0000-00005E0A0000}"/>
    <cellStyle name="Comma 4 6 4 2 2 2" xfId="16465" xr:uid="{E4CC7E6A-F95C-4EBB-BFE6-AE3669DE4CEF}"/>
    <cellStyle name="Comma 4 6 4 2 2 3" xfId="24899" xr:uid="{E132FF0C-445A-49EF-ACD2-6A48EE0E6E72}"/>
    <cellStyle name="Comma 4 6 4 2 3" xfId="12247" xr:uid="{864E09A7-1A4D-4F67-9C61-09D2275C3F9F}"/>
    <cellStyle name="Comma 4 6 4 2 4" xfId="20682" xr:uid="{64F3ACA1-CB84-4816-9C1C-C31DC4A2258E}"/>
    <cellStyle name="Comma 4 6 4 3" xfId="5870" xr:uid="{00000000-0005-0000-0000-00005F0A0000}"/>
    <cellStyle name="Comma 4 6 4 3 2" xfId="14320" xr:uid="{8D8AF365-677C-44F7-872B-5E02391FB430}"/>
    <cellStyle name="Comma 4 6 4 3 3" xfId="22754" xr:uid="{A483801C-4155-41A9-AE8B-5D9638B9D6BB}"/>
    <cellStyle name="Comma 4 6 4 4" xfId="10102" xr:uid="{49F96A6D-2EDC-48B9-A77F-2FD5DDA611AB}"/>
    <cellStyle name="Comma 4 6 4 5" xfId="18537" xr:uid="{1120880A-D128-4190-9B0B-BCE621D9CB49}"/>
    <cellStyle name="Comma 4 6 5" xfId="1977" xr:uid="{00000000-0005-0000-0000-0000600A0000}"/>
    <cellStyle name="Comma 4 6 5 2" xfId="4206" xr:uid="{00000000-0005-0000-0000-0000610A0000}"/>
    <cellStyle name="Comma 4 6 5 2 2" xfId="8428" xr:uid="{00000000-0005-0000-0000-0000620A0000}"/>
    <cellStyle name="Comma 4 6 5 2 2 2" xfId="16878" xr:uid="{AFAB59A1-540A-443B-A03B-1CCDD7839218}"/>
    <cellStyle name="Comma 4 6 5 2 2 3" xfId="25312" xr:uid="{D3FF7E14-3039-4072-BC36-5515A2C537BC}"/>
    <cellStyle name="Comma 4 6 5 2 3" xfId="12660" xr:uid="{BA19A205-718A-490C-BF7A-71487E08B550}"/>
    <cellStyle name="Comma 4 6 5 2 4" xfId="21095" xr:uid="{B6C1CCBA-1C99-4F7F-8E72-1B926C06F9DD}"/>
    <cellStyle name="Comma 4 6 5 3" xfId="6283" xr:uid="{00000000-0005-0000-0000-0000630A0000}"/>
    <cellStyle name="Comma 4 6 5 3 2" xfId="14733" xr:uid="{C70C1A2B-506A-4C4A-B5D1-2E7E4432836E}"/>
    <cellStyle name="Comma 4 6 5 3 3" xfId="23167" xr:uid="{AEFD36B0-74DF-47E8-91DD-4505A9F986B8}"/>
    <cellStyle name="Comma 4 6 5 4" xfId="10515" xr:uid="{7B115B37-E7EF-4288-9210-807FBA471589}"/>
    <cellStyle name="Comma 4 6 5 5" xfId="18950" xr:uid="{31D2415C-9217-42CF-82F7-40439CFB97F8}"/>
    <cellStyle name="Comma 4 6 6" xfId="2412" xr:uid="{00000000-0005-0000-0000-0000640A0000}"/>
    <cellStyle name="Comma 4 6 6 2" xfId="6696" xr:uid="{00000000-0005-0000-0000-0000650A0000}"/>
    <cellStyle name="Comma 4 6 6 2 2" xfId="15146" xr:uid="{AA40F537-3CA8-45CF-8633-E281EB8E7786}"/>
    <cellStyle name="Comma 4 6 6 2 3" xfId="23580" xr:uid="{349137BD-C4DD-483E-A5C0-1A994613A4C5}"/>
    <cellStyle name="Comma 4 6 6 3" xfId="10928" xr:uid="{3976659C-915D-4C6E-8DDF-FD6FA9DD07FC}"/>
    <cellStyle name="Comma 4 6 6 4" xfId="19363" xr:uid="{C2F1C67F-A1D5-461F-ABFA-6F928B9B7C9E}"/>
    <cellStyle name="Comma 4 6 7" xfId="2708" xr:uid="{00000000-0005-0000-0000-0000660A0000}"/>
    <cellStyle name="Comma 4 6 8" xfId="2790" xr:uid="{00000000-0005-0000-0000-0000670A0000}"/>
    <cellStyle name="Comma 4 6 8 2" xfId="7013" xr:uid="{00000000-0005-0000-0000-0000680A0000}"/>
    <cellStyle name="Comma 4 6 8 2 2" xfId="15463" xr:uid="{2068169A-D198-412E-B51B-2773A7014D76}"/>
    <cellStyle name="Comma 4 6 8 2 3" xfId="23897" xr:uid="{DB88C196-C661-436E-964C-3F7A4C2D968E}"/>
    <cellStyle name="Comma 4 6 8 3" xfId="11245" xr:uid="{014AEA47-DB7D-4588-AA9F-F26B7461417C}"/>
    <cellStyle name="Comma 4 6 8 4" xfId="19680" xr:uid="{7902DAD4-FA76-4A5E-831C-0E28EFE096E0}"/>
    <cellStyle name="Comma 4 6 9" xfId="4630" xr:uid="{00000000-0005-0000-0000-0000690A0000}"/>
    <cellStyle name="Comma 4 6 9 2" xfId="13080" xr:uid="{62F35186-A758-4F59-986C-F72BD29438FB}"/>
    <cellStyle name="Comma 4 6 9 3" xfId="21514" xr:uid="{EF3208FE-49E8-4FE2-A4C8-181ECA6EEF3C}"/>
    <cellStyle name="Comma 4 7" xfId="160" xr:uid="{00000000-0005-0000-0000-00006A0A0000}"/>
    <cellStyle name="Comma 4 7 10" xfId="8863" xr:uid="{EB6EA481-48EC-41FD-8CA8-37FD03B1C24C}"/>
    <cellStyle name="Comma 4 7 11" xfId="17298" xr:uid="{EF5ED75F-EBD1-410A-8E17-968C441376F0}"/>
    <cellStyle name="Comma 4 7 2" xfId="697" xr:uid="{00000000-0005-0000-0000-00006B0A0000}"/>
    <cellStyle name="Comma 4 7 2 2" xfId="2968" xr:uid="{00000000-0005-0000-0000-00006C0A0000}"/>
    <cellStyle name="Comma 4 7 2 2 2" xfId="7190" xr:uid="{00000000-0005-0000-0000-00006D0A0000}"/>
    <cellStyle name="Comma 4 7 2 2 2 2" xfId="15640" xr:uid="{5AEBE936-DD98-436B-A23F-F919B465F69E}"/>
    <cellStyle name="Comma 4 7 2 2 2 3" xfId="24074" xr:uid="{20F71E99-F69B-453D-8D0B-A248B98F28A9}"/>
    <cellStyle name="Comma 4 7 2 2 3" xfId="11422" xr:uid="{027CAA20-03D5-4236-A6CD-264E9AA755E0}"/>
    <cellStyle name="Comma 4 7 2 2 4" xfId="19857" xr:uid="{8D2C9AC7-408F-4E62-9702-F80E53EC6651}"/>
    <cellStyle name="Comma 4 7 2 3" xfId="5045" xr:uid="{00000000-0005-0000-0000-00006E0A0000}"/>
    <cellStyle name="Comma 4 7 2 3 2" xfId="13495" xr:uid="{931ABB75-FF48-4125-91CA-72DBD6838F74}"/>
    <cellStyle name="Comma 4 7 2 3 3" xfId="21929" xr:uid="{81D9A574-BF15-4244-92BF-674D813647A6}"/>
    <cellStyle name="Comma 4 7 2 4" xfId="9277" xr:uid="{1F740A06-B1C6-4FAC-8D0C-5C3A632D0188}"/>
    <cellStyle name="Comma 4 7 2 5" xfId="17712" xr:uid="{09454803-7949-487B-9278-D15A98B0696A}"/>
    <cellStyle name="Comma 4 7 3" xfId="1150" xr:uid="{00000000-0005-0000-0000-00006F0A0000}"/>
    <cellStyle name="Comma 4 7 3 2" xfId="3381" xr:uid="{00000000-0005-0000-0000-0000700A0000}"/>
    <cellStyle name="Comma 4 7 3 2 2" xfId="7603" xr:uid="{00000000-0005-0000-0000-0000710A0000}"/>
    <cellStyle name="Comma 4 7 3 2 2 2" xfId="16053" xr:uid="{F1AC9356-57DA-4DCC-BE8B-4C46372C6703}"/>
    <cellStyle name="Comma 4 7 3 2 2 3" xfId="24487" xr:uid="{63310C30-CA9A-4896-A1EE-1A89CB0CE98A}"/>
    <cellStyle name="Comma 4 7 3 2 3" xfId="11835" xr:uid="{861B8386-D927-4D1C-9E3E-CF99413EE060}"/>
    <cellStyle name="Comma 4 7 3 2 4" xfId="20270" xr:uid="{85A6118D-0D47-41B0-ACB2-41B01C4EF7FB}"/>
    <cellStyle name="Comma 4 7 3 3" xfId="5458" xr:uid="{00000000-0005-0000-0000-0000720A0000}"/>
    <cellStyle name="Comma 4 7 3 3 2" xfId="13908" xr:uid="{2CF03729-D8B4-4B12-99FF-D42694137AAB}"/>
    <cellStyle name="Comma 4 7 3 3 3" xfId="22342" xr:uid="{98AE9225-752A-46D6-9CD1-5D8CAF6A4464}"/>
    <cellStyle name="Comma 4 7 3 4" xfId="9690" xr:uid="{3FA14FDA-6265-46C7-BC46-A11EED0A9223}"/>
    <cellStyle name="Comma 4 7 3 5" xfId="18125" xr:uid="{9CD05A18-A8E2-47DF-B18D-BB35E8974DF9}"/>
    <cellStyle name="Comma 4 7 4" xfId="1564" xr:uid="{00000000-0005-0000-0000-0000730A0000}"/>
    <cellStyle name="Comma 4 7 4 2" xfId="3794" xr:uid="{00000000-0005-0000-0000-0000740A0000}"/>
    <cellStyle name="Comma 4 7 4 2 2" xfId="8016" xr:uid="{00000000-0005-0000-0000-0000750A0000}"/>
    <cellStyle name="Comma 4 7 4 2 2 2" xfId="16466" xr:uid="{7D8C3BDA-3E45-4583-94E6-97A82CF5F937}"/>
    <cellStyle name="Comma 4 7 4 2 2 3" xfId="24900" xr:uid="{E4E527EE-EA09-4A08-9E41-0D7A708CC3A3}"/>
    <cellStyle name="Comma 4 7 4 2 3" xfId="12248" xr:uid="{694F2DA5-696E-4F29-AB49-24D460E5761D}"/>
    <cellStyle name="Comma 4 7 4 2 4" xfId="20683" xr:uid="{31991FF5-9BC8-422A-8DE6-73B740F2D0BD}"/>
    <cellStyle name="Comma 4 7 4 3" xfId="5871" xr:uid="{00000000-0005-0000-0000-0000760A0000}"/>
    <cellStyle name="Comma 4 7 4 3 2" xfId="14321" xr:uid="{2F9F83ED-0170-40DB-8A36-AD3D53BF86E6}"/>
    <cellStyle name="Comma 4 7 4 3 3" xfId="22755" xr:uid="{B49CEE9D-5581-4A4E-8952-6DA419C96CC2}"/>
    <cellStyle name="Comma 4 7 4 4" xfId="10103" xr:uid="{8C917B55-23A8-432C-8D74-7406BB5ECEFD}"/>
    <cellStyle name="Comma 4 7 4 5" xfId="18538" xr:uid="{C1D43541-0CF0-4297-9FEE-C636809CBA2C}"/>
    <cellStyle name="Comma 4 7 5" xfId="1978" xr:uid="{00000000-0005-0000-0000-0000770A0000}"/>
    <cellStyle name="Comma 4 7 5 2" xfId="4207" xr:uid="{00000000-0005-0000-0000-0000780A0000}"/>
    <cellStyle name="Comma 4 7 5 2 2" xfId="8429" xr:uid="{00000000-0005-0000-0000-0000790A0000}"/>
    <cellStyle name="Comma 4 7 5 2 2 2" xfId="16879" xr:uid="{2301A5D9-0A74-4445-81E2-2CD33EE1625A}"/>
    <cellStyle name="Comma 4 7 5 2 2 3" xfId="25313" xr:uid="{2DF3B9D8-B790-4870-BD50-0044D73B4869}"/>
    <cellStyle name="Comma 4 7 5 2 3" xfId="12661" xr:uid="{A8AD0FA0-1F34-43D2-8536-F7615546CD4D}"/>
    <cellStyle name="Comma 4 7 5 2 4" xfId="21096" xr:uid="{4ADD2268-6E2F-47B4-8E9E-158F5B783B62}"/>
    <cellStyle name="Comma 4 7 5 3" xfId="6284" xr:uid="{00000000-0005-0000-0000-00007A0A0000}"/>
    <cellStyle name="Comma 4 7 5 3 2" xfId="14734" xr:uid="{7878A96C-DF1D-478E-B27A-54E57BB67F9D}"/>
    <cellStyle name="Comma 4 7 5 3 3" xfId="23168" xr:uid="{ACB65483-4629-486F-9513-2134F774AC42}"/>
    <cellStyle name="Comma 4 7 5 4" xfId="10516" xr:uid="{3FF0E145-BFBA-4BED-810D-1FF0B6CA630A}"/>
    <cellStyle name="Comma 4 7 5 5" xfId="18951" xr:uid="{D3494A46-1B62-4F89-8C6B-34EDB9EE7349}"/>
    <cellStyle name="Comma 4 7 6" xfId="2413" xr:uid="{00000000-0005-0000-0000-00007B0A0000}"/>
    <cellStyle name="Comma 4 7 6 2" xfId="6697" xr:uid="{00000000-0005-0000-0000-00007C0A0000}"/>
    <cellStyle name="Comma 4 7 6 2 2" xfId="15147" xr:uid="{1729B7AE-53C0-4D21-A3FA-5C251BFA3E4D}"/>
    <cellStyle name="Comma 4 7 6 2 3" xfId="23581" xr:uid="{27F15AC1-3970-43E3-B73F-C4BD6128A007}"/>
    <cellStyle name="Comma 4 7 6 3" xfId="10929" xr:uid="{6B461049-1A8C-42B8-8166-1EF81C8C2192}"/>
    <cellStyle name="Comma 4 7 6 4" xfId="19364" xr:uid="{2945E26F-5F13-47D0-B6C9-DA95172665CA}"/>
    <cellStyle name="Comma 4 7 7" xfId="2709" xr:uid="{00000000-0005-0000-0000-00007D0A0000}"/>
    <cellStyle name="Comma 4 7 8" xfId="2791" xr:uid="{00000000-0005-0000-0000-00007E0A0000}"/>
    <cellStyle name="Comma 4 7 8 2" xfId="7014" xr:uid="{00000000-0005-0000-0000-00007F0A0000}"/>
    <cellStyle name="Comma 4 7 8 2 2" xfId="15464" xr:uid="{33CA75C1-5F30-47D4-BE7D-B9801143183E}"/>
    <cellStyle name="Comma 4 7 8 2 3" xfId="23898" xr:uid="{A87C8197-9780-44C1-B62C-C6F5D3B8E7DD}"/>
    <cellStyle name="Comma 4 7 8 3" xfId="11246" xr:uid="{2EEB43D8-85E9-4820-93C9-6839EEF42A5D}"/>
    <cellStyle name="Comma 4 7 8 4" xfId="19681" xr:uid="{A666A31F-DF09-4F0E-A111-883363C6C21B}"/>
    <cellStyle name="Comma 4 7 9" xfId="4631" xr:uid="{00000000-0005-0000-0000-0000800A0000}"/>
    <cellStyle name="Comma 4 7 9 2" xfId="13081" xr:uid="{02E088DE-0E2B-451A-8389-AE0230097E75}"/>
    <cellStyle name="Comma 4 7 9 3" xfId="21515" xr:uid="{28CB4D52-49A2-43BE-B917-247C88B27D7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82ABE087-EA3E-4D4D-88F7-D12164BB1E8C}"/>
    <cellStyle name="Comma 7 3" xfId="21383" xr:uid="{260DA3A6-5A23-4F20-801A-C33C8F8033D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779AD64A-ADB0-4B3B-8E93-ED2D2C0AAEA9}"/>
    <cellStyle name="Currency 14 2 3" xfId="25600" xr:uid="{76639FDA-9C57-4486-AE4C-8B72A184C29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3" xfId="17169" xr:uid="{7B403522-0BA1-4769-A335-05E19B27F21E}"/>
    <cellStyle name="Currency 14 3 4" xfId="25603" xr:uid="{42F0E1D4-AC04-4650-A3BF-47F8C916EC74}"/>
    <cellStyle name="Currency 14 4" xfId="12952" xr:uid="{5B9ACABE-9010-426F-9222-1D8CD9CB3153}"/>
    <cellStyle name="Currency 14 5" xfId="21386" xr:uid="{103F17BF-7E51-410B-B667-BAE393B0CC3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B7CE2B47-FD15-403C-ADF8-1153B94D8C18}"/>
    <cellStyle name="Currency 3 2 2 10 2 3" xfId="23899" xr:uid="{288B7775-F169-42FF-ADDA-376CC2D39B3A}"/>
    <cellStyle name="Currency 3 2 2 10 3" xfId="11247" xr:uid="{BEB4C80F-5174-4040-9999-8E17C500DD8D}"/>
    <cellStyle name="Currency 3 2 2 10 4" xfId="19682" xr:uid="{8A80899F-6172-4EFC-9DD2-E8B4740AC246}"/>
    <cellStyle name="Currency 3 2 2 11" xfId="4632" xr:uid="{00000000-0005-0000-0000-0000A50A0000}"/>
    <cellStyle name="Currency 3 2 2 11 2" xfId="13082" xr:uid="{8B5ADC41-AE34-45E8-9BB9-542B7F55514D}"/>
    <cellStyle name="Currency 3 2 2 11 3" xfId="21516" xr:uid="{4A843543-F036-458D-9F0E-39BABBCD3AB9}"/>
    <cellStyle name="Currency 3 2 2 12" xfId="8864" xr:uid="{EF6B4A3A-ACEE-4145-9011-D47B1B79845D}"/>
    <cellStyle name="Currency 3 2 2 13" xfId="17299" xr:uid="{607FEB2A-B768-4C63-AE57-80BC38648EA8}"/>
    <cellStyle name="Currency 3 2 2 2" xfId="179" xr:uid="{00000000-0005-0000-0000-0000A60A0000}"/>
    <cellStyle name="Currency 3 2 2 2 10" xfId="4633" xr:uid="{00000000-0005-0000-0000-0000A70A0000}"/>
    <cellStyle name="Currency 3 2 2 2 10 2" xfId="13083" xr:uid="{9B977064-C97D-49D1-AFAA-E35E1135E93B}"/>
    <cellStyle name="Currency 3 2 2 2 10 3" xfId="21517" xr:uid="{A9D46543-AE8A-4A34-93C6-48620F6D41BA}"/>
    <cellStyle name="Currency 3 2 2 2 11" xfId="8865" xr:uid="{9FABE9B1-6561-4B7D-846E-DE3B88A448C7}"/>
    <cellStyle name="Currency 3 2 2 2 12" xfId="17300" xr:uid="{4C7F579F-0E3D-46FA-A6E5-AB99C2A40C7C}"/>
    <cellStyle name="Currency 3 2 2 2 2" xfId="180" xr:uid="{00000000-0005-0000-0000-0000A80A0000}"/>
    <cellStyle name="Currency 3 2 2 2 2 10" xfId="8866" xr:uid="{5674AAC2-1CB9-464A-8D7C-842C60D1DFCB}"/>
    <cellStyle name="Currency 3 2 2 2 2 11" xfId="17301" xr:uid="{49EFD618-BA11-4BDE-8E30-F0444141716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8B898246-E347-4659-9011-09F6F44F8C48}"/>
    <cellStyle name="Currency 3 2 2 2 2 2 2 2 3" xfId="24077" xr:uid="{E1F0A181-3E82-428A-8BE6-7B6EFFF75621}"/>
    <cellStyle name="Currency 3 2 2 2 2 2 2 3" xfId="11425" xr:uid="{CEA65EE3-7FA0-4114-84E6-D8ADCD34B740}"/>
    <cellStyle name="Currency 3 2 2 2 2 2 2 4" xfId="19860" xr:uid="{FBB32121-CB17-4E90-996D-67FADED98DB5}"/>
    <cellStyle name="Currency 3 2 2 2 2 2 3" xfId="5048" xr:uid="{00000000-0005-0000-0000-0000AC0A0000}"/>
    <cellStyle name="Currency 3 2 2 2 2 2 3 2" xfId="13498" xr:uid="{873A3723-C2F2-4514-A857-9A145263A3F3}"/>
    <cellStyle name="Currency 3 2 2 2 2 2 3 3" xfId="21932" xr:uid="{F38B8D2D-FF96-4D1D-A477-C1099C812EBB}"/>
    <cellStyle name="Currency 3 2 2 2 2 2 4" xfId="9280" xr:uid="{0DC5B4B2-C10C-4171-959C-B199B43FF7BF}"/>
    <cellStyle name="Currency 3 2 2 2 2 2 5" xfId="17715" xr:uid="{931D2091-5379-4B48-A263-6294764DFB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DD943063-85C1-4A05-83F5-0FAE8E5A5A8E}"/>
    <cellStyle name="Currency 3 2 2 2 2 3 2 2 3" xfId="24490" xr:uid="{B26957FD-E68A-4921-A71D-614209DBD4ED}"/>
    <cellStyle name="Currency 3 2 2 2 2 3 2 3" xfId="11838" xr:uid="{7D5C7AF5-0DFC-400F-80F5-6B1A884C78F6}"/>
    <cellStyle name="Currency 3 2 2 2 2 3 2 4" xfId="20273" xr:uid="{A0BD9D6B-2E71-4144-AEBA-1DB3AE6D9254}"/>
    <cellStyle name="Currency 3 2 2 2 2 3 3" xfId="5461" xr:uid="{00000000-0005-0000-0000-0000B00A0000}"/>
    <cellStyle name="Currency 3 2 2 2 2 3 3 2" xfId="13911" xr:uid="{3D550A56-AC4A-4A51-8543-3714DEE90869}"/>
    <cellStyle name="Currency 3 2 2 2 2 3 3 3" xfId="22345" xr:uid="{2D0869FA-B46B-408D-A2EC-8332EDC5AE71}"/>
    <cellStyle name="Currency 3 2 2 2 2 3 4" xfId="9693" xr:uid="{13CF48E1-F7CE-4E46-99E0-F30145D601D7}"/>
    <cellStyle name="Currency 3 2 2 2 2 3 5" xfId="18128" xr:uid="{82F27053-0379-4FE5-A6D4-1EA88D33BC39}"/>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6098B198-4430-4210-B2DF-BE66ABEAE292}"/>
    <cellStyle name="Currency 3 2 2 2 2 4 2 2 3" xfId="24903" xr:uid="{91B0EDB9-B160-4204-A82A-9925DA563CAB}"/>
    <cellStyle name="Currency 3 2 2 2 2 4 2 3" xfId="12251" xr:uid="{A2D7DB0D-C6BB-4704-AC5A-5B62CF4B435B}"/>
    <cellStyle name="Currency 3 2 2 2 2 4 2 4" xfId="20686" xr:uid="{30E99E9E-F93A-4995-B8A9-F0D8835D414E}"/>
    <cellStyle name="Currency 3 2 2 2 2 4 3" xfId="5874" xr:uid="{00000000-0005-0000-0000-0000B40A0000}"/>
    <cellStyle name="Currency 3 2 2 2 2 4 3 2" xfId="14324" xr:uid="{0243AF00-771D-4AB5-BC82-D1B63266538C}"/>
    <cellStyle name="Currency 3 2 2 2 2 4 3 3" xfId="22758" xr:uid="{578F77A9-E0D0-4663-A2A3-3E4E839B2067}"/>
    <cellStyle name="Currency 3 2 2 2 2 4 4" xfId="10106" xr:uid="{43B4D865-4C93-44E4-832B-A79B4AD5E56B}"/>
    <cellStyle name="Currency 3 2 2 2 2 4 5" xfId="18541" xr:uid="{5A75A86E-D4E5-4CF5-B111-C4614089AEB5}"/>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6AF2ABA8-999C-497D-AAF9-12FD956385CE}"/>
    <cellStyle name="Currency 3 2 2 2 2 5 2 2 3" xfId="25316" xr:uid="{7B72D7EB-91D2-48DA-9031-2A512DB854EA}"/>
    <cellStyle name="Currency 3 2 2 2 2 5 2 3" xfId="12664" xr:uid="{8F557274-6256-4A50-9D2D-ADC114A00D34}"/>
    <cellStyle name="Currency 3 2 2 2 2 5 2 4" xfId="21099" xr:uid="{198B716C-2EE2-4B15-9A10-CB7378F5A31B}"/>
    <cellStyle name="Currency 3 2 2 2 2 5 3" xfId="6287" xr:uid="{00000000-0005-0000-0000-0000B80A0000}"/>
    <cellStyle name="Currency 3 2 2 2 2 5 3 2" xfId="14737" xr:uid="{DF34B11E-34B8-4E00-8722-E8594635EB24}"/>
    <cellStyle name="Currency 3 2 2 2 2 5 3 3" xfId="23171" xr:uid="{2BD318EB-E31A-4962-ADE2-E8CA396937DD}"/>
    <cellStyle name="Currency 3 2 2 2 2 5 4" xfId="10519" xr:uid="{76D00D24-DE6C-44FA-83A2-7BB6DC14870E}"/>
    <cellStyle name="Currency 3 2 2 2 2 5 5" xfId="18954" xr:uid="{DEB3E7C1-F17C-4047-8900-00FC92F5FC41}"/>
    <cellStyle name="Currency 3 2 2 2 2 6" xfId="2416" xr:uid="{00000000-0005-0000-0000-0000B90A0000}"/>
    <cellStyle name="Currency 3 2 2 2 2 6 2" xfId="6700" xr:uid="{00000000-0005-0000-0000-0000BA0A0000}"/>
    <cellStyle name="Currency 3 2 2 2 2 6 2 2" xfId="15150" xr:uid="{BD2B34CD-DC98-47F2-8398-1BB6F87037EE}"/>
    <cellStyle name="Currency 3 2 2 2 2 6 2 3" xfId="23584" xr:uid="{8B80A791-E362-44EC-AB81-96E6CB0D3371}"/>
    <cellStyle name="Currency 3 2 2 2 2 6 3" xfId="10932" xr:uid="{732A97C7-CB75-46F7-B3EF-3E95F136B9C0}"/>
    <cellStyle name="Currency 3 2 2 2 2 6 4" xfId="19367" xr:uid="{6B4D6339-DBF2-4D2D-B65B-9E6ACE539929}"/>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5C113ED7-744D-408B-8B74-E80F790E6509}"/>
    <cellStyle name="Currency 3 2 2 2 2 8 2 3" xfId="23901" xr:uid="{43F685F4-088E-4CB5-8122-5A7E28DC135B}"/>
    <cellStyle name="Currency 3 2 2 2 2 8 3" xfId="11249" xr:uid="{E61451E8-2C28-4EB5-A867-8C64612EDCF1}"/>
    <cellStyle name="Currency 3 2 2 2 2 8 4" xfId="19684" xr:uid="{320F9FC0-29D7-478B-906C-975F304ACA6F}"/>
    <cellStyle name="Currency 3 2 2 2 2 9" xfId="4634" xr:uid="{00000000-0005-0000-0000-0000BE0A0000}"/>
    <cellStyle name="Currency 3 2 2 2 2 9 2" xfId="13084" xr:uid="{D50745B0-CFE5-4FBB-BF80-E627078C3F38}"/>
    <cellStyle name="Currency 3 2 2 2 2 9 3" xfId="21518" xr:uid="{F0091396-312E-4BA7-B1C5-12662409B03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573B20C7-558A-4E3D-882C-ACFEE6007DE6}"/>
    <cellStyle name="Currency 3 2 2 2 3 2 2 3" xfId="24076" xr:uid="{151C7D7A-BE2F-4902-B69B-014ED2D649B0}"/>
    <cellStyle name="Currency 3 2 2 2 3 2 3" xfId="11424" xr:uid="{4F66A571-D764-456C-8830-C646F2B760CE}"/>
    <cellStyle name="Currency 3 2 2 2 3 2 4" xfId="19859" xr:uid="{A3517AA1-B47D-4360-83EF-E9E20CBAF2CD}"/>
    <cellStyle name="Currency 3 2 2 2 3 3" xfId="5047" xr:uid="{00000000-0005-0000-0000-0000C20A0000}"/>
    <cellStyle name="Currency 3 2 2 2 3 3 2" xfId="13497" xr:uid="{416EAAE5-FC62-4612-8C64-46610CF37B76}"/>
    <cellStyle name="Currency 3 2 2 2 3 3 3" xfId="21931" xr:uid="{BA0B2168-9B0B-4080-91DC-A7C518CE895A}"/>
    <cellStyle name="Currency 3 2 2 2 3 4" xfId="9279" xr:uid="{2725DEF0-F70D-40FC-B3AA-9A1A8F3E4868}"/>
    <cellStyle name="Currency 3 2 2 2 3 5" xfId="17714" xr:uid="{000E8F04-3219-445A-8230-CF8ED1C03B5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6F03529B-2DC2-43D9-8097-55E2AAD59027}"/>
    <cellStyle name="Currency 3 2 2 2 4 2 2 3" xfId="24489" xr:uid="{CF3D2BF5-B17F-4DB2-900A-737ECE5909F0}"/>
    <cellStyle name="Currency 3 2 2 2 4 2 3" xfId="11837" xr:uid="{C80553DD-7E84-4AE8-BC7F-AE4561874D68}"/>
    <cellStyle name="Currency 3 2 2 2 4 2 4" xfId="20272" xr:uid="{1E2CF29E-FC8E-4D91-A440-A780FAEA17EA}"/>
    <cellStyle name="Currency 3 2 2 2 4 3" xfId="5460" xr:uid="{00000000-0005-0000-0000-0000C60A0000}"/>
    <cellStyle name="Currency 3 2 2 2 4 3 2" xfId="13910" xr:uid="{28F6AA21-9905-45BB-A318-581BAF9E6142}"/>
    <cellStyle name="Currency 3 2 2 2 4 3 3" xfId="22344" xr:uid="{E59D5B86-75FD-4955-A0E7-7CBF62BFE039}"/>
    <cellStyle name="Currency 3 2 2 2 4 4" xfId="9692" xr:uid="{89960D4D-3BC9-4918-88AE-35C93DB12EF0}"/>
    <cellStyle name="Currency 3 2 2 2 4 5" xfId="18127" xr:uid="{F2E3E216-30B0-4FEF-B245-57BF3291AE32}"/>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6B584869-B772-4E1E-9159-184C6DE55D27}"/>
    <cellStyle name="Currency 3 2 2 2 5 2 2 3" xfId="24902" xr:uid="{A4AE9BBE-ACC3-42D7-BEB7-B698751A4930}"/>
    <cellStyle name="Currency 3 2 2 2 5 2 3" xfId="12250" xr:uid="{70792F87-4BB3-41B8-B888-8DC25514E0C9}"/>
    <cellStyle name="Currency 3 2 2 2 5 2 4" xfId="20685" xr:uid="{4C849595-1446-48D4-9162-9DAA78F40EAD}"/>
    <cellStyle name="Currency 3 2 2 2 5 3" xfId="5873" xr:uid="{00000000-0005-0000-0000-0000CA0A0000}"/>
    <cellStyle name="Currency 3 2 2 2 5 3 2" xfId="14323" xr:uid="{3FB1FE4A-74D9-47C4-BD9F-4FC8F1534614}"/>
    <cellStyle name="Currency 3 2 2 2 5 3 3" xfId="22757" xr:uid="{D3623206-3F01-4F20-8968-08BC5405A423}"/>
    <cellStyle name="Currency 3 2 2 2 5 4" xfId="10105" xr:uid="{BEDD8958-4013-49E4-BDB4-FA31DA474878}"/>
    <cellStyle name="Currency 3 2 2 2 5 5" xfId="18540" xr:uid="{4F9D4B1C-487C-4A5D-9A66-4591DAA56094}"/>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25B7D36F-54BE-4FAC-B7ED-4124D5106B65}"/>
    <cellStyle name="Currency 3 2 2 2 6 2 2 3" xfId="25315" xr:uid="{81053790-76EE-4B44-BD9A-ED9950CA0869}"/>
    <cellStyle name="Currency 3 2 2 2 6 2 3" xfId="12663" xr:uid="{F07B7862-18C0-4BDE-ADCD-DD89AF8E568F}"/>
    <cellStyle name="Currency 3 2 2 2 6 2 4" xfId="21098" xr:uid="{4054EC96-7619-432B-B837-C0D9CB972E7C}"/>
    <cellStyle name="Currency 3 2 2 2 6 3" xfId="6286" xr:uid="{00000000-0005-0000-0000-0000CE0A0000}"/>
    <cellStyle name="Currency 3 2 2 2 6 3 2" xfId="14736" xr:uid="{E3666309-129A-49DE-B464-027FA9F77A5C}"/>
    <cellStyle name="Currency 3 2 2 2 6 3 3" xfId="23170" xr:uid="{9490F2E2-3C29-4CBA-8FE5-BF08683EBB40}"/>
    <cellStyle name="Currency 3 2 2 2 6 4" xfId="10518" xr:uid="{C2C7DE6F-9C9C-4AEE-9154-28F9982DB512}"/>
    <cellStyle name="Currency 3 2 2 2 6 5" xfId="18953" xr:uid="{837ECFA3-95F8-4877-BDAB-F662791371AC}"/>
    <cellStyle name="Currency 3 2 2 2 7" xfId="2415" xr:uid="{00000000-0005-0000-0000-0000CF0A0000}"/>
    <cellStyle name="Currency 3 2 2 2 7 2" xfId="6699" xr:uid="{00000000-0005-0000-0000-0000D00A0000}"/>
    <cellStyle name="Currency 3 2 2 2 7 2 2" xfId="15149" xr:uid="{97998DC0-3429-4992-8BAD-1DE3606EBDC4}"/>
    <cellStyle name="Currency 3 2 2 2 7 2 3" xfId="23583" xr:uid="{B76C1907-9E5B-45C0-94DF-D05D9EBBE867}"/>
    <cellStyle name="Currency 3 2 2 2 7 3" xfId="10931" xr:uid="{AF834C96-7BA3-41F6-9AD1-7B5B678B472E}"/>
    <cellStyle name="Currency 3 2 2 2 7 4" xfId="19366" xr:uid="{E2C44C92-B8D2-46BC-9BC3-7FE01A33863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7E345233-75B6-4A86-859F-9089DD87AEDB}"/>
    <cellStyle name="Currency 3 2 2 2 9 2 3" xfId="23900" xr:uid="{F08BF788-CA23-482E-B93C-29DE4DAF68EA}"/>
    <cellStyle name="Currency 3 2 2 2 9 3" xfId="11248" xr:uid="{72F64031-B621-4805-99A8-0AA0659E679E}"/>
    <cellStyle name="Currency 3 2 2 2 9 4" xfId="19683" xr:uid="{D0259C42-C0DC-48D6-9657-EAFFAF38F89E}"/>
    <cellStyle name="Currency 3 2 2 3" xfId="181" xr:uid="{00000000-0005-0000-0000-0000D40A0000}"/>
    <cellStyle name="Currency 3 2 2 3 10" xfId="8867" xr:uid="{C362F273-91C2-4031-BABD-FE159C323AF8}"/>
    <cellStyle name="Currency 3 2 2 3 11" xfId="17302" xr:uid="{6882B369-7C38-4557-95F2-6BE6F6294E54}"/>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1FACBBA3-992E-4F3C-A08C-E0C19A128045}"/>
    <cellStyle name="Currency 3 2 2 3 2 2 2 3" xfId="24078" xr:uid="{2AAEAFC2-D6BD-48FF-964A-906054096F92}"/>
    <cellStyle name="Currency 3 2 2 3 2 2 3" xfId="11426" xr:uid="{5C426C64-EF96-4EE7-B09B-D33452C1C93D}"/>
    <cellStyle name="Currency 3 2 2 3 2 2 4" xfId="19861" xr:uid="{391AD092-034C-4EF7-BBDE-61F1F8065907}"/>
    <cellStyle name="Currency 3 2 2 3 2 3" xfId="5049" xr:uid="{00000000-0005-0000-0000-0000D80A0000}"/>
    <cellStyle name="Currency 3 2 2 3 2 3 2" xfId="13499" xr:uid="{7CAA17C2-CB61-4972-9C62-BE2BD1E44601}"/>
    <cellStyle name="Currency 3 2 2 3 2 3 3" xfId="21933" xr:uid="{2C6E9795-D688-4A26-BD2F-0EB574E9F01D}"/>
    <cellStyle name="Currency 3 2 2 3 2 4" xfId="9281" xr:uid="{C69CFB93-ABF9-4B24-B03C-006B5E08DAE8}"/>
    <cellStyle name="Currency 3 2 2 3 2 5" xfId="17716" xr:uid="{D2E92C72-A37A-482C-B7A3-20391B83D2A6}"/>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8A8CD616-A970-4BD3-A7B4-B79803C7CB6D}"/>
    <cellStyle name="Currency 3 2 2 3 3 2 2 3" xfId="24491" xr:uid="{5E00FF94-B751-4ED4-8F84-032C64D43C1B}"/>
    <cellStyle name="Currency 3 2 2 3 3 2 3" xfId="11839" xr:uid="{A1076402-A5A7-4DA3-AD64-C8D23B24951C}"/>
    <cellStyle name="Currency 3 2 2 3 3 2 4" xfId="20274" xr:uid="{408C50B6-6D1A-47F2-8CBC-74BFC3126ECD}"/>
    <cellStyle name="Currency 3 2 2 3 3 3" xfId="5462" xr:uid="{00000000-0005-0000-0000-0000DC0A0000}"/>
    <cellStyle name="Currency 3 2 2 3 3 3 2" xfId="13912" xr:uid="{0A42EC5F-A5BD-46CC-A5C6-86100DE50A96}"/>
    <cellStyle name="Currency 3 2 2 3 3 3 3" xfId="22346" xr:uid="{3A2F0CF2-6A1F-400B-8D9D-A99CB7CB4AF2}"/>
    <cellStyle name="Currency 3 2 2 3 3 4" xfId="9694" xr:uid="{1677D7D5-53FE-4049-B2AF-240AE898443D}"/>
    <cellStyle name="Currency 3 2 2 3 3 5" xfId="18129" xr:uid="{2B497073-FEF9-4137-BE4D-0457C7854AEB}"/>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CB142809-77F4-4C95-9F60-10E79B72B731}"/>
    <cellStyle name="Currency 3 2 2 3 4 2 2 3" xfId="24904" xr:uid="{0DD107D3-E7B7-43E9-9C1D-5F9B43861E38}"/>
    <cellStyle name="Currency 3 2 2 3 4 2 3" xfId="12252" xr:uid="{C309D9C3-CB13-429E-9F64-9B0E9FC225F2}"/>
    <cellStyle name="Currency 3 2 2 3 4 2 4" xfId="20687" xr:uid="{44FA2E8E-4F9B-4811-A51D-A92DC85B728F}"/>
    <cellStyle name="Currency 3 2 2 3 4 3" xfId="5875" xr:uid="{00000000-0005-0000-0000-0000E00A0000}"/>
    <cellStyle name="Currency 3 2 2 3 4 3 2" xfId="14325" xr:uid="{13F006A2-196F-4817-9173-EACF4B2407EC}"/>
    <cellStyle name="Currency 3 2 2 3 4 3 3" xfId="22759" xr:uid="{CCF3B6C7-A911-484F-9C5E-55C1A931C1C8}"/>
    <cellStyle name="Currency 3 2 2 3 4 4" xfId="10107" xr:uid="{C107820F-7ECA-463C-AF27-A5C67F1C88BB}"/>
    <cellStyle name="Currency 3 2 2 3 4 5" xfId="18542" xr:uid="{84D05FD5-DEB5-4CF3-9813-AA0D6D2EA6A6}"/>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5603DF9D-C65C-4364-A387-85154158FFCC}"/>
    <cellStyle name="Currency 3 2 2 3 5 2 2 3" xfId="25317" xr:uid="{0B7302CD-E2C4-434F-9AFE-F02666788EAC}"/>
    <cellStyle name="Currency 3 2 2 3 5 2 3" xfId="12665" xr:uid="{10FCF43F-7779-4B70-A82E-021FA11826F8}"/>
    <cellStyle name="Currency 3 2 2 3 5 2 4" xfId="21100" xr:uid="{F421D188-71FA-4654-B829-DD6750C82916}"/>
    <cellStyle name="Currency 3 2 2 3 5 3" xfId="6288" xr:uid="{00000000-0005-0000-0000-0000E40A0000}"/>
    <cellStyle name="Currency 3 2 2 3 5 3 2" xfId="14738" xr:uid="{B9C1F146-FD46-4F7E-BB31-9763696066B1}"/>
    <cellStyle name="Currency 3 2 2 3 5 3 3" xfId="23172" xr:uid="{BD7F8602-3606-4DAE-A4FA-F0F03795B77A}"/>
    <cellStyle name="Currency 3 2 2 3 5 4" xfId="10520" xr:uid="{E52AE6E2-7DE6-4056-BE3F-8C1655F514E5}"/>
    <cellStyle name="Currency 3 2 2 3 5 5" xfId="18955" xr:uid="{1BD6EF9F-EBFC-47AF-A9B9-2D3E36B082FC}"/>
    <cellStyle name="Currency 3 2 2 3 6" xfId="2417" xr:uid="{00000000-0005-0000-0000-0000E50A0000}"/>
    <cellStyle name="Currency 3 2 2 3 6 2" xfId="6701" xr:uid="{00000000-0005-0000-0000-0000E60A0000}"/>
    <cellStyle name="Currency 3 2 2 3 6 2 2" xfId="15151" xr:uid="{20CE65A4-1132-4A8B-A787-1A92A0B96579}"/>
    <cellStyle name="Currency 3 2 2 3 6 2 3" xfId="23585" xr:uid="{6D5F4BBB-4929-498E-95A0-F1714889C73B}"/>
    <cellStyle name="Currency 3 2 2 3 6 3" xfId="10933" xr:uid="{8EA2E65A-E585-4467-8507-EDFA1CFD38C6}"/>
    <cellStyle name="Currency 3 2 2 3 6 4" xfId="19368" xr:uid="{12148C24-FD3F-4E18-9207-C1E8D1454617}"/>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887D7668-D2F7-4CBB-8335-14008C27229E}"/>
    <cellStyle name="Currency 3 2 2 3 8 2 3" xfId="23902" xr:uid="{FBBDA5EA-A4AA-4434-9C3E-28BC42D20151}"/>
    <cellStyle name="Currency 3 2 2 3 8 3" xfId="11250" xr:uid="{3F5AF115-98F7-4A7F-914D-6A275CC7ADDC}"/>
    <cellStyle name="Currency 3 2 2 3 8 4" xfId="19685" xr:uid="{36A81B04-A22A-46D4-8FA9-ECCA61749DB9}"/>
    <cellStyle name="Currency 3 2 2 3 9" xfId="4635" xr:uid="{00000000-0005-0000-0000-0000EA0A0000}"/>
    <cellStyle name="Currency 3 2 2 3 9 2" xfId="13085" xr:uid="{C1309897-69CC-4EDF-9B54-640AD00FDF22}"/>
    <cellStyle name="Currency 3 2 2 3 9 3" xfId="21519" xr:uid="{FD6D2DD7-25FD-4FDF-80D2-360DA272AFE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5A919DBD-6238-4852-9CD1-9B686E6043F3}"/>
    <cellStyle name="Currency 3 2 2 4 2 2 3" xfId="24075" xr:uid="{DDE7CF27-C0EE-4999-B4F2-566572C23E69}"/>
    <cellStyle name="Currency 3 2 2 4 2 3" xfId="11423" xr:uid="{38C392A6-0228-4407-830F-6C06DA552A2D}"/>
    <cellStyle name="Currency 3 2 2 4 2 4" xfId="19858" xr:uid="{A5A593DA-4AEC-408E-BF40-BB84DEFDB28C}"/>
    <cellStyle name="Currency 3 2 2 4 3" xfId="5046" xr:uid="{00000000-0005-0000-0000-0000EE0A0000}"/>
    <cellStyle name="Currency 3 2 2 4 3 2" xfId="13496" xr:uid="{1DC9E5F5-E778-4E7F-ADE1-7165D51C517D}"/>
    <cellStyle name="Currency 3 2 2 4 3 3" xfId="21930" xr:uid="{ED5D48FC-5F99-46CE-9F3E-5E61073509E4}"/>
    <cellStyle name="Currency 3 2 2 4 4" xfId="9278" xr:uid="{4A02F1F7-49A9-48D4-8117-A360F8374237}"/>
    <cellStyle name="Currency 3 2 2 4 5" xfId="17713" xr:uid="{DCCDD468-2F86-4634-9EDA-9109C62927A4}"/>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F5252BBD-01C0-4714-B24E-4C0B44C4D565}"/>
    <cellStyle name="Currency 3 2 2 5 2 2 3" xfId="24488" xr:uid="{94E8125A-ECBC-4613-A72B-049830C05D89}"/>
    <cellStyle name="Currency 3 2 2 5 2 3" xfId="11836" xr:uid="{B5587618-90E1-4AD5-9201-9C32A38425A7}"/>
    <cellStyle name="Currency 3 2 2 5 2 4" xfId="20271" xr:uid="{A382723C-1448-4E89-A214-C15DD4A986BD}"/>
    <cellStyle name="Currency 3 2 2 5 3" xfId="5459" xr:uid="{00000000-0005-0000-0000-0000F20A0000}"/>
    <cellStyle name="Currency 3 2 2 5 3 2" xfId="13909" xr:uid="{3F22AF0B-22C6-4E90-B86C-CA100FAE4F11}"/>
    <cellStyle name="Currency 3 2 2 5 3 3" xfId="22343" xr:uid="{83314D59-C7E2-44B4-A665-1A642293AAF2}"/>
    <cellStyle name="Currency 3 2 2 5 4" xfId="9691" xr:uid="{1D5F0542-CF5B-4F4F-8BEE-50B59D55E8B1}"/>
    <cellStyle name="Currency 3 2 2 5 5" xfId="18126" xr:uid="{BB0AC048-F03D-4166-BCD3-B0D288F03439}"/>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0CA224E5-AD69-45B0-A9D6-3CF33211BE96}"/>
    <cellStyle name="Currency 3 2 2 6 2 2 3" xfId="24901" xr:uid="{9B364176-3E08-4CCC-A7A7-225A6C6AE718}"/>
    <cellStyle name="Currency 3 2 2 6 2 3" xfId="12249" xr:uid="{678B831D-91FA-4991-939C-AEE1C918A9A5}"/>
    <cellStyle name="Currency 3 2 2 6 2 4" xfId="20684" xr:uid="{D0A1DDB0-C13D-410A-A64F-A34944D3AFA1}"/>
    <cellStyle name="Currency 3 2 2 6 3" xfId="5872" xr:uid="{00000000-0005-0000-0000-0000F60A0000}"/>
    <cellStyle name="Currency 3 2 2 6 3 2" xfId="14322" xr:uid="{05AA7B02-61AF-46DE-BA79-833A1B63F984}"/>
    <cellStyle name="Currency 3 2 2 6 3 3" xfId="22756" xr:uid="{9F93CAFD-46EF-441D-B3A1-89150D1CAD7B}"/>
    <cellStyle name="Currency 3 2 2 6 4" xfId="10104" xr:uid="{88893B1D-013E-426B-8BF8-199C03C7AA86}"/>
    <cellStyle name="Currency 3 2 2 6 5" xfId="18539" xr:uid="{9231AEB4-BE66-4497-B356-07E289737D46}"/>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37C4D10C-2FBB-408A-98F1-1D154E136A9F}"/>
    <cellStyle name="Currency 3 2 2 7 2 2 3" xfId="25314" xr:uid="{C0906359-F01C-4EB0-91A6-0890A90E010F}"/>
    <cellStyle name="Currency 3 2 2 7 2 3" xfId="12662" xr:uid="{CAB320CF-681D-43CC-8F49-BEEAE2D953EC}"/>
    <cellStyle name="Currency 3 2 2 7 2 4" xfId="21097" xr:uid="{5BF9A69E-3CB5-4454-A63A-50D1F3DA7FC8}"/>
    <cellStyle name="Currency 3 2 2 7 3" xfId="6285" xr:uid="{00000000-0005-0000-0000-0000FA0A0000}"/>
    <cellStyle name="Currency 3 2 2 7 3 2" xfId="14735" xr:uid="{FF637592-46B6-4AEF-8462-2DB649F3054F}"/>
    <cellStyle name="Currency 3 2 2 7 3 3" xfId="23169" xr:uid="{8016B3D1-E366-42A9-AAD4-84641F1D4C5D}"/>
    <cellStyle name="Currency 3 2 2 7 4" xfId="10517" xr:uid="{FB59910B-BB28-407D-ABF2-967FDAD00F22}"/>
    <cellStyle name="Currency 3 2 2 7 5" xfId="18952" xr:uid="{CC6E0B9E-3EF0-47B7-B6F7-C1025A4806BB}"/>
    <cellStyle name="Currency 3 2 2 8" xfId="2414" xr:uid="{00000000-0005-0000-0000-0000FB0A0000}"/>
    <cellStyle name="Currency 3 2 2 8 2" xfId="6698" xr:uid="{00000000-0005-0000-0000-0000FC0A0000}"/>
    <cellStyle name="Currency 3 2 2 8 2 2" xfId="15148" xr:uid="{401CECAE-C106-4A8A-BF3C-66AF1A65ED86}"/>
    <cellStyle name="Currency 3 2 2 8 2 3" xfId="23582" xr:uid="{D3151F49-EDCE-448F-8883-761CBBC73B8E}"/>
    <cellStyle name="Currency 3 2 2 8 3" xfId="10930" xr:uid="{E765AEAC-9B18-465B-8944-741293715361}"/>
    <cellStyle name="Currency 3 2 2 8 4" xfId="19365" xr:uid="{C62B8ADE-8FED-4ADD-97F5-6E783804C5E3}"/>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15970248-6FC8-4313-A5B0-3C53D65CAB95}"/>
    <cellStyle name="Currency 3 2 3 10 3" xfId="21520" xr:uid="{3645E404-359F-44A4-B061-FB22719EAD9C}"/>
    <cellStyle name="Currency 3 2 3 11" xfId="8868" xr:uid="{988D55A6-475B-4979-9255-49D2A8AB3279}"/>
    <cellStyle name="Currency 3 2 3 12" xfId="17303" xr:uid="{993B70B3-85BE-4AC4-BB23-FA289C618128}"/>
    <cellStyle name="Currency 3 2 3 2" xfId="183" xr:uid="{00000000-0005-0000-0000-0000000B0000}"/>
    <cellStyle name="Currency 3 2 3 2 10" xfId="8869" xr:uid="{6A94888A-6E32-4486-B4D2-F06DA8ABA2AD}"/>
    <cellStyle name="Currency 3 2 3 2 11" xfId="17304" xr:uid="{593FAFB6-4636-46F7-AF70-5B7745CBF57A}"/>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B6E33E40-1A16-4CB4-A1FE-B400DA2424E6}"/>
    <cellStyle name="Currency 3 2 3 2 2 2 2 3" xfId="24080" xr:uid="{C618657E-E3BC-44DD-8CD6-1360F12CE60B}"/>
    <cellStyle name="Currency 3 2 3 2 2 2 3" xfId="11428" xr:uid="{4CB48DEA-8098-4BA0-BCB8-0E5350DBC143}"/>
    <cellStyle name="Currency 3 2 3 2 2 2 4" xfId="19863" xr:uid="{15958D20-D269-41DF-857B-AD1A7DC0DE67}"/>
    <cellStyle name="Currency 3 2 3 2 2 3" xfId="5051" xr:uid="{00000000-0005-0000-0000-0000040B0000}"/>
    <cellStyle name="Currency 3 2 3 2 2 3 2" xfId="13501" xr:uid="{A7BA0DC7-CDE9-4E90-8947-3CBA320183AE}"/>
    <cellStyle name="Currency 3 2 3 2 2 3 3" xfId="21935" xr:uid="{6FA8120C-7F43-450D-9051-EC7A02A0022A}"/>
    <cellStyle name="Currency 3 2 3 2 2 4" xfId="9283" xr:uid="{E7CFEFD4-1EF1-4106-9F8B-4D2E50520B95}"/>
    <cellStyle name="Currency 3 2 3 2 2 5" xfId="17718" xr:uid="{23D38D59-C796-433A-8CFE-3AB753086FE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27FF79E5-039B-4C0B-BC17-946A08D7FF62}"/>
    <cellStyle name="Currency 3 2 3 2 3 2 2 3" xfId="24493" xr:uid="{1CD5B2A6-CA38-444A-8E15-865D647BE311}"/>
    <cellStyle name="Currency 3 2 3 2 3 2 3" xfId="11841" xr:uid="{2F229359-EBE3-4FB7-9B34-0B1624CD0E92}"/>
    <cellStyle name="Currency 3 2 3 2 3 2 4" xfId="20276" xr:uid="{80D8C04E-1E26-4C48-8003-147E9729F9EB}"/>
    <cellStyle name="Currency 3 2 3 2 3 3" xfId="5464" xr:uid="{00000000-0005-0000-0000-0000080B0000}"/>
    <cellStyle name="Currency 3 2 3 2 3 3 2" xfId="13914" xr:uid="{98473204-FAC4-491A-B587-2F3DE885D6F2}"/>
    <cellStyle name="Currency 3 2 3 2 3 3 3" xfId="22348" xr:uid="{4CF7D6F9-964B-4CB8-A12C-13F6B7920EC9}"/>
    <cellStyle name="Currency 3 2 3 2 3 4" xfId="9696" xr:uid="{05F40D7A-80D5-41FC-AF01-38690EC4C503}"/>
    <cellStyle name="Currency 3 2 3 2 3 5" xfId="18131" xr:uid="{9386632C-3F78-465C-893F-1403FB40B838}"/>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5CBE5568-B916-46DC-98D1-DABFFC33ABE0}"/>
    <cellStyle name="Currency 3 2 3 2 4 2 2 3" xfId="24906" xr:uid="{05506304-5908-45FB-A409-E27B463292A2}"/>
    <cellStyle name="Currency 3 2 3 2 4 2 3" xfId="12254" xr:uid="{6C3912E6-D93E-447A-8448-A1424984BF79}"/>
    <cellStyle name="Currency 3 2 3 2 4 2 4" xfId="20689" xr:uid="{1D909FC6-DD1C-4EF6-946F-5DA35113A13C}"/>
    <cellStyle name="Currency 3 2 3 2 4 3" xfId="5877" xr:uid="{00000000-0005-0000-0000-00000C0B0000}"/>
    <cellStyle name="Currency 3 2 3 2 4 3 2" xfId="14327" xr:uid="{2C0D3B62-EA28-4A84-B7C6-DB9F8CF2707D}"/>
    <cellStyle name="Currency 3 2 3 2 4 3 3" xfId="22761" xr:uid="{54806A45-3BC2-4DA1-86AA-D79425540DDD}"/>
    <cellStyle name="Currency 3 2 3 2 4 4" xfId="10109" xr:uid="{13BF9A85-29D4-4F2A-B93F-B55AD61D89A3}"/>
    <cellStyle name="Currency 3 2 3 2 4 5" xfId="18544" xr:uid="{24D90660-A9D9-4E01-96CE-FC664BC9823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746F949E-9A1B-4BBA-A537-D23816CE5232}"/>
    <cellStyle name="Currency 3 2 3 2 5 2 2 3" xfId="25319" xr:uid="{1BAA5117-625A-4482-9468-E4AEA1B58C46}"/>
    <cellStyle name="Currency 3 2 3 2 5 2 3" xfId="12667" xr:uid="{AF6ECE36-AC57-4C12-8A38-3F85732FC156}"/>
    <cellStyle name="Currency 3 2 3 2 5 2 4" xfId="21102" xr:uid="{E760ACCE-4B3B-48A7-A3E3-0C48B2D8B3D8}"/>
    <cellStyle name="Currency 3 2 3 2 5 3" xfId="6290" xr:uid="{00000000-0005-0000-0000-0000100B0000}"/>
    <cellStyle name="Currency 3 2 3 2 5 3 2" xfId="14740" xr:uid="{9560DDEF-C9D5-48AE-BE9C-790A32046580}"/>
    <cellStyle name="Currency 3 2 3 2 5 3 3" xfId="23174" xr:uid="{ABEC978E-3A58-48EF-B00D-EFE8E59BDB86}"/>
    <cellStyle name="Currency 3 2 3 2 5 4" xfId="10522" xr:uid="{D5AF9D51-F0E0-4113-A8E9-64385508AA05}"/>
    <cellStyle name="Currency 3 2 3 2 5 5" xfId="18957" xr:uid="{889A9BBF-D4C4-4E45-867C-1D2716C2248D}"/>
    <cellStyle name="Currency 3 2 3 2 6" xfId="2419" xr:uid="{00000000-0005-0000-0000-0000110B0000}"/>
    <cellStyle name="Currency 3 2 3 2 6 2" xfId="6703" xr:uid="{00000000-0005-0000-0000-0000120B0000}"/>
    <cellStyle name="Currency 3 2 3 2 6 2 2" xfId="15153" xr:uid="{84C6045A-31C1-4847-BC32-11CC866F9148}"/>
    <cellStyle name="Currency 3 2 3 2 6 2 3" xfId="23587" xr:uid="{E72ACDAD-B8AB-4661-BC49-C87F49098F82}"/>
    <cellStyle name="Currency 3 2 3 2 6 3" xfId="10935" xr:uid="{2ECBCCCE-EA22-4C15-88AB-B954A784EE08}"/>
    <cellStyle name="Currency 3 2 3 2 6 4" xfId="19370" xr:uid="{CCC2B55A-D706-46B7-992B-922DFB640A1F}"/>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69A2F9C8-175D-43AC-B747-EB437AD70020}"/>
    <cellStyle name="Currency 3 2 3 2 8 2 3" xfId="23904" xr:uid="{9B048026-0863-47AB-AECA-2A9F08B2751D}"/>
    <cellStyle name="Currency 3 2 3 2 8 3" xfId="11252" xr:uid="{051BB04A-3E2F-4A72-8F35-1179AF722577}"/>
    <cellStyle name="Currency 3 2 3 2 8 4" xfId="19687" xr:uid="{889DB559-C873-483C-8D11-B4A3ADCCE740}"/>
    <cellStyle name="Currency 3 2 3 2 9" xfId="4637" xr:uid="{00000000-0005-0000-0000-0000160B0000}"/>
    <cellStyle name="Currency 3 2 3 2 9 2" xfId="13087" xr:uid="{D8638579-1B81-4E8B-9586-A4E74B13D442}"/>
    <cellStyle name="Currency 3 2 3 2 9 3" xfId="21521" xr:uid="{1D8A7A32-0152-4656-9A8A-6BCC799184AE}"/>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CF575D46-9F74-44E4-85BA-410CE21B2FAC}"/>
    <cellStyle name="Currency 3 2 3 3 2 2 3" xfId="24079" xr:uid="{109599CE-C652-4675-8513-F958D3818DB1}"/>
    <cellStyle name="Currency 3 2 3 3 2 3" xfId="11427" xr:uid="{8D950C58-2CA0-435F-8251-14D985C2806C}"/>
    <cellStyle name="Currency 3 2 3 3 2 4" xfId="19862" xr:uid="{82F80C37-20A6-4C12-A195-D201195DFA66}"/>
    <cellStyle name="Currency 3 2 3 3 3" xfId="5050" xr:uid="{00000000-0005-0000-0000-00001A0B0000}"/>
    <cellStyle name="Currency 3 2 3 3 3 2" xfId="13500" xr:uid="{3AEFF7A3-F774-4FEF-9791-1628D73663E5}"/>
    <cellStyle name="Currency 3 2 3 3 3 3" xfId="21934" xr:uid="{FBB4BCEB-FBE9-43FE-A717-37C96E81810D}"/>
    <cellStyle name="Currency 3 2 3 3 4" xfId="9282" xr:uid="{9B074EC5-1311-454F-B55C-5D185EF52D45}"/>
    <cellStyle name="Currency 3 2 3 3 5" xfId="17717" xr:uid="{5D15DB26-4F96-41A5-8D11-C15AA4226563}"/>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49E65D2C-94A0-4681-98E3-19A8B88880F9}"/>
    <cellStyle name="Currency 3 2 3 4 2 2 3" xfId="24492" xr:uid="{5845B6A8-513A-46BF-91D8-8B141BB094CB}"/>
    <cellStyle name="Currency 3 2 3 4 2 3" xfId="11840" xr:uid="{62CA7F2A-371D-4657-8925-82D01B3BDE4A}"/>
    <cellStyle name="Currency 3 2 3 4 2 4" xfId="20275" xr:uid="{C7DE11A9-FFBC-451C-9EEA-046E61C2BCF1}"/>
    <cellStyle name="Currency 3 2 3 4 3" xfId="5463" xr:uid="{00000000-0005-0000-0000-00001E0B0000}"/>
    <cellStyle name="Currency 3 2 3 4 3 2" xfId="13913" xr:uid="{B03948DC-D504-45C8-BDC9-77CC6689D6DE}"/>
    <cellStyle name="Currency 3 2 3 4 3 3" xfId="22347" xr:uid="{1EAF2E76-B87D-402E-8AA9-ECBDBDBD4751}"/>
    <cellStyle name="Currency 3 2 3 4 4" xfId="9695" xr:uid="{C47741CE-60E5-498E-A1DF-FE5023D9C2C6}"/>
    <cellStyle name="Currency 3 2 3 4 5" xfId="18130" xr:uid="{A5FF9D75-B2F1-4CF1-B614-EA1936A5C7BE}"/>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14208753-782B-4F46-8BDE-E3608732B5CE}"/>
    <cellStyle name="Currency 3 2 3 5 2 2 3" xfId="24905" xr:uid="{79BD918A-C7C7-4B67-AD4C-A53BCEDAB004}"/>
    <cellStyle name="Currency 3 2 3 5 2 3" xfId="12253" xr:uid="{E9A1F90F-00A3-446B-8141-A1B59883A24D}"/>
    <cellStyle name="Currency 3 2 3 5 2 4" xfId="20688" xr:uid="{41C3DBBE-73E5-4974-923D-FDC34CC71AF2}"/>
    <cellStyle name="Currency 3 2 3 5 3" xfId="5876" xr:uid="{00000000-0005-0000-0000-0000220B0000}"/>
    <cellStyle name="Currency 3 2 3 5 3 2" xfId="14326" xr:uid="{9E1740A1-AA88-4485-BE52-9FEFD56FF550}"/>
    <cellStyle name="Currency 3 2 3 5 3 3" xfId="22760" xr:uid="{3695F988-0D36-49B0-9F94-1AE1648FD5A2}"/>
    <cellStyle name="Currency 3 2 3 5 4" xfId="10108" xr:uid="{82E887DB-BB72-45DE-AAE8-4B0894357372}"/>
    <cellStyle name="Currency 3 2 3 5 5" xfId="18543" xr:uid="{11B6E1C4-A4A0-4F4B-8082-8144638E019D}"/>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26854F23-4F46-479C-A816-2EA267A8D8F6}"/>
    <cellStyle name="Currency 3 2 3 6 2 2 3" xfId="25318" xr:uid="{3645AC01-72D0-4D6E-9F8E-E41F409010AE}"/>
    <cellStyle name="Currency 3 2 3 6 2 3" xfId="12666" xr:uid="{F353A640-9408-4A42-9135-BCA27D4DBCFF}"/>
    <cellStyle name="Currency 3 2 3 6 2 4" xfId="21101" xr:uid="{4803C935-56EB-4D0E-A2B4-0A8732452AEC}"/>
    <cellStyle name="Currency 3 2 3 6 3" xfId="6289" xr:uid="{00000000-0005-0000-0000-0000260B0000}"/>
    <cellStyle name="Currency 3 2 3 6 3 2" xfId="14739" xr:uid="{527BA93F-8D8A-43EF-A67F-B7C8B18F740E}"/>
    <cellStyle name="Currency 3 2 3 6 3 3" xfId="23173" xr:uid="{0AC2601F-3A4B-473F-957E-1EBB841D8441}"/>
    <cellStyle name="Currency 3 2 3 6 4" xfId="10521" xr:uid="{DE66ABBB-D606-4946-9FEB-88B4F2ED425D}"/>
    <cellStyle name="Currency 3 2 3 6 5" xfId="18956" xr:uid="{0CA708B5-0B1B-4107-AD29-8FEE8A054FFB}"/>
    <cellStyle name="Currency 3 2 3 7" xfId="2418" xr:uid="{00000000-0005-0000-0000-0000270B0000}"/>
    <cellStyle name="Currency 3 2 3 7 2" xfId="6702" xr:uid="{00000000-0005-0000-0000-0000280B0000}"/>
    <cellStyle name="Currency 3 2 3 7 2 2" xfId="15152" xr:uid="{0FED06F7-3634-494F-89F1-C287BDDCB7B9}"/>
    <cellStyle name="Currency 3 2 3 7 2 3" xfId="23586" xr:uid="{BA39FCB3-1936-4EA2-A33A-6DAB648DBBBC}"/>
    <cellStyle name="Currency 3 2 3 7 3" xfId="10934" xr:uid="{2CBA0D7A-035D-4ACF-906C-E7DBC0C0A9DE}"/>
    <cellStyle name="Currency 3 2 3 7 4" xfId="19369" xr:uid="{0DFBC9E6-4A2A-4A76-8B27-7FE2411A9DFC}"/>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E1BE323A-DAD3-46B6-899E-9EA63E27C0DD}"/>
    <cellStyle name="Currency 3 2 3 9 2 3" xfId="23903" xr:uid="{8C912C57-0C6F-465A-AAE5-1F293263310C}"/>
    <cellStyle name="Currency 3 2 3 9 3" xfId="11251" xr:uid="{89AD9154-A663-4BBE-A435-6093429D1C21}"/>
    <cellStyle name="Currency 3 2 3 9 4" xfId="19686" xr:uid="{CD09F177-ED81-4830-ACE6-2CC9E03BBBC3}"/>
    <cellStyle name="Currency 3 2 4" xfId="184" xr:uid="{00000000-0005-0000-0000-00002C0B0000}"/>
    <cellStyle name="Currency 3 2 4 10" xfId="8870" xr:uid="{E4D2EA04-667F-4636-AB79-D6C4CB66D82F}"/>
    <cellStyle name="Currency 3 2 4 11" xfId="17305" xr:uid="{23BD3273-6082-4833-82E4-5F7A35F2523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95395291-0A6C-4ABB-9ED2-746BA986D99B}"/>
    <cellStyle name="Currency 3 2 4 2 2 2 3" xfId="24081" xr:uid="{69CF0C1D-8AB8-4DEE-8FD5-9B24C123DA24}"/>
    <cellStyle name="Currency 3 2 4 2 2 3" xfId="11429" xr:uid="{9A631E77-2B7E-411B-98DE-677B7A0B35EC}"/>
    <cellStyle name="Currency 3 2 4 2 2 4" xfId="19864" xr:uid="{3E9ACBBE-16E9-47F5-A92E-E4F186CF174A}"/>
    <cellStyle name="Currency 3 2 4 2 3" xfId="5052" xr:uid="{00000000-0005-0000-0000-0000300B0000}"/>
    <cellStyle name="Currency 3 2 4 2 3 2" xfId="13502" xr:uid="{18ED638A-1D1F-47F1-A49C-B2353138ED36}"/>
    <cellStyle name="Currency 3 2 4 2 3 3" xfId="21936" xr:uid="{4487F7EC-FAB9-4BAC-A5AE-9CC1E759571F}"/>
    <cellStyle name="Currency 3 2 4 2 4" xfId="9284" xr:uid="{36D9475F-72FA-4CAB-BF36-4F05189D9909}"/>
    <cellStyle name="Currency 3 2 4 2 5" xfId="17719" xr:uid="{1164EF5D-4CFF-437A-992E-EB37AB8B67F3}"/>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1338552B-32FD-4A1D-8F72-B7213D36F673}"/>
    <cellStyle name="Currency 3 2 4 3 2 2 3" xfId="24494" xr:uid="{E1657B47-0928-43A2-B707-1B190F16913D}"/>
    <cellStyle name="Currency 3 2 4 3 2 3" xfId="11842" xr:uid="{22EB177D-2B14-4546-A68E-497E1BC48AF4}"/>
    <cellStyle name="Currency 3 2 4 3 2 4" xfId="20277" xr:uid="{1D00A87F-F3A0-4EF1-B7DD-5C3AD6A95A4F}"/>
    <cellStyle name="Currency 3 2 4 3 3" xfId="5465" xr:uid="{00000000-0005-0000-0000-0000340B0000}"/>
    <cellStyle name="Currency 3 2 4 3 3 2" xfId="13915" xr:uid="{F62D6F48-AEE9-4D8A-A60F-0E696B8D50E3}"/>
    <cellStyle name="Currency 3 2 4 3 3 3" xfId="22349" xr:uid="{630B399E-0182-425B-8250-567A4E5F925D}"/>
    <cellStyle name="Currency 3 2 4 3 4" xfId="9697" xr:uid="{5930C0E6-8CE4-4C35-B519-2E156B8BF218}"/>
    <cellStyle name="Currency 3 2 4 3 5" xfId="18132" xr:uid="{1327CB03-315D-46A9-9D00-BE57B903C0CD}"/>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03C801F2-6BEE-4DFC-A8E1-6C114542926A}"/>
    <cellStyle name="Currency 3 2 4 4 2 2 3" xfId="24907" xr:uid="{FA844719-1534-4765-9AE7-360CFD2B7A1A}"/>
    <cellStyle name="Currency 3 2 4 4 2 3" xfId="12255" xr:uid="{A6AD5FB2-49F3-42A3-9157-D8E635CAC576}"/>
    <cellStyle name="Currency 3 2 4 4 2 4" xfId="20690" xr:uid="{0ECCE98C-8ED9-4A32-8030-20D357F535D8}"/>
    <cellStyle name="Currency 3 2 4 4 3" xfId="5878" xr:uid="{00000000-0005-0000-0000-0000380B0000}"/>
    <cellStyle name="Currency 3 2 4 4 3 2" xfId="14328" xr:uid="{5002DEC4-91D2-469E-9038-4D62C9FAD8E6}"/>
    <cellStyle name="Currency 3 2 4 4 3 3" xfId="22762" xr:uid="{75B2D4CE-0C8F-4C20-9FB3-EE0D6D904CFF}"/>
    <cellStyle name="Currency 3 2 4 4 4" xfId="10110" xr:uid="{046B91B2-6CCE-4A32-9ED5-B25C3003164A}"/>
    <cellStyle name="Currency 3 2 4 4 5" xfId="18545" xr:uid="{1AA9DC75-0F1D-486D-BDD3-60575FFEEB3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D1B66BE4-3995-421D-BE04-5DA9B8E4BC67}"/>
    <cellStyle name="Currency 3 2 4 5 2 2 3" xfId="25320" xr:uid="{992F08A8-1C5B-4EE3-9A50-5120BB54CE46}"/>
    <cellStyle name="Currency 3 2 4 5 2 3" xfId="12668" xr:uid="{4F91399B-672D-4233-929F-3B440EFC79CE}"/>
    <cellStyle name="Currency 3 2 4 5 2 4" xfId="21103" xr:uid="{518A1BF9-AF0F-4FE5-B488-58979A0F19A3}"/>
    <cellStyle name="Currency 3 2 4 5 3" xfId="6291" xr:uid="{00000000-0005-0000-0000-00003C0B0000}"/>
    <cellStyle name="Currency 3 2 4 5 3 2" xfId="14741" xr:uid="{4D4C92EF-4107-404B-A068-E59C59DF6A79}"/>
    <cellStyle name="Currency 3 2 4 5 3 3" xfId="23175" xr:uid="{56B78276-0271-43E3-A26E-55EB6E9D0BF5}"/>
    <cellStyle name="Currency 3 2 4 5 4" xfId="10523" xr:uid="{6366555E-8F77-4820-AFF5-7CA48B942256}"/>
    <cellStyle name="Currency 3 2 4 5 5" xfId="18958" xr:uid="{426A2AE2-D6C6-4A0B-8868-C20159F5DFF0}"/>
    <cellStyle name="Currency 3 2 4 6" xfId="2420" xr:uid="{00000000-0005-0000-0000-00003D0B0000}"/>
    <cellStyle name="Currency 3 2 4 6 2" xfId="6704" xr:uid="{00000000-0005-0000-0000-00003E0B0000}"/>
    <cellStyle name="Currency 3 2 4 6 2 2" xfId="15154" xr:uid="{8C57C574-98C0-4861-9EB2-DDB531AA56C2}"/>
    <cellStyle name="Currency 3 2 4 6 2 3" xfId="23588" xr:uid="{FAB94772-6973-4477-B12C-AA4E7C09BF32}"/>
    <cellStyle name="Currency 3 2 4 6 3" xfId="10936" xr:uid="{5C1C4EF8-3046-4BF2-9DE4-14E6568C795A}"/>
    <cellStyle name="Currency 3 2 4 6 4" xfId="19371" xr:uid="{122ED79F-F95F-4F3F-85DC-4D6F9C7E401C}"/>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8344A417-5D73-4354-ADC5-B6C9C35AACC4}"/>
    <cellStyle name="Currency 3 2 4 8 2 3" xfId="23905" xr:uid="{3E5C0C78-3624-413F-A5FE-ED65B651BAFC}"/>
    <cellStyle name="Currency 3 2 4 8 3" xfId="11253" xr:uid="{AE94D9DF-779E-4313-AC88-15B14A51E5FD}"/>
    <cellStyle name="Currency 3 2 4 8 4" xfId="19688" xr:uid="{FBAFC853-7505-48E3-937D-53D2DFE8A345}"/>
    <cellStyle name="Currency 3 2 4 9" xfId="4638" xr:uid="{00000000-0005-0000-0000-0000420B0000}"/>
    <cellStyle name="Currency 3 2 4 9 2" xfId="13088" xr:uid="{5F881885-2433-4BCB-B326-DD92079E5718}"/>
    <cellStyle name="Currency 3 2 4 9 3" xfId="21522" xr:uid="{2E551ACA-D334-4D81-8F4D-A1DC1FDC9F8D}"/>
    <cellStyle name="Currency 3 2 5" xfId="185" xr:uid="{00000000-0005-0000-0000-0000430B0000}"/>
    <cellStyle name="Currency 3 2 5 10" xfId="8871" xr:uid="{A5386EBF-1CC3-4261-9FDE-A6756106CA16}"/>
    <cellStyle name="Currency 3 2 5 11" xfId="17306" xr:uid="{DAE06B6B-DB5E-4E3F-91F7-73CCC4265EC0}"/>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1C3997B6-D2A0-4956-80E0-73B313565FFA}"/>
    <cellStyle name="Currency 3 2 5 2 2 2 3" xfId="24082" xr:uid="{E3230F2A-B439-448A-B9C7-C1916DECC30D}"/>
    <cellStyle name="Currency 3 2 5 2 2 3" xfId="11430" xr:uid="{D9D46F4A-30FC-472A-AFAC-EFC20A51CB3C}"/>
    <cellStyle name="Currency 3 2 5 2 2 4" xfId="19865" xr:uid="{52A9A723-6EAB-488A-BDF9-03B9B806AD33}"/>
    <cellStyle name="Currency 3 2 5 2 3" xfId="5053" xr:uid="{00000000-0005-0000-0000-0000470B0000}"/>
    <cellStyle name="Currency 3 2 5 2 3 2" xfId="13503" xr:uid="{E20B0600-6675-4EEA-A116-49425827FDE0}"/>
    <cellStyle name="Currency 3 2 5 2 3 3" xfId="21937" xr:uid="{4EEFB3E8-3C9A-410F-8D5B-578B39B94F3C}"/>
    <cellStyle name="Currency 3 2 5 2 4" xfId="9285" xr:uid="{D62D55C1-4F2C-4022-88FB-92F89BAD14FF}"/>
    <cellStyle name="Currency 3 2 5 2 5" xfId="17720" xr:uid="{767EC05F-A3FA-4534-B6D1-67D3ADBE3366}"/>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3B06F070-2DD0-4208-AE12-96C62F44175E}"/>
    <cellStyle name="Currency 3 2 5 3 2 2 3" xfId="24495" xr:uid="{E0B09E3D-7E16-41CE-BD6D-8FFC938618FD}"/>
    <cellStyle name="Currency 3 2 5 3 2 3" xfId="11843" xr:uid="{00ADA74F-C8D1-4698-9EAE-FD10FF4501A1}"/>
    <cellStyle name="Currency 3 2 5 3 2 4" xfId="20278" xr:uid="{0EA39834-5B2D-401C-8209-A6F1639CA4A7}"/>
    <cellStyle name="Currency 3 2 5 3 3" xfId="5466" xr:uid="{00000000-0005-0000-0000-00004B0B0000}"/>
    <cellStyle name="Currency 3 2 5 3 3 2" xfId="13916" xr:uid="{D1C865CC-0053-48F4-B2B5-184F9780DF75}"/>
    <cellStyle name="Currency 3 2 5 3 3 3" xfId="22350" xr:uid="{CAE704F0-CC5D-48B2-B57A-0930555AE806}"/>
    <cellStyle name="Currency 3 2 5 3 4" xfId="9698" xr:uid="{E93F3EF4-F68C-4796-8EEA-8F93E4E12273}"/>
    <cellStyle name="Currency 3 2 5 3 5" xfId="18133" xr:uid="{23C310AF-1279-4138-954C-88FA67A931F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801BB02E-641E-4375-B8A1-FC5631ACE34A}"/>
    <cellStyle name="Currency 3 2 5 4 2 2 3" xfId="24908" xr:uid="{FFA137A1-4C27-4415-BD31-B17F39C9A489}"/>
    <cellStyle name="Currency 3 2 5 4 2 3" xfId="12256" xr:uid="{73F484EC-DA83-4253-BE3D-296950B70C24}"/>
    <cellStyle name="Currency 3 2 5 4 2 4" xfId="20691" xr:uid="{AC3211B6-8174-4737-96BF-DCF24359E9CF}"/>
    <cellStyle name="Currency 3 2 5 4 3" xfId="5879" xr:uid="{00000000-0005-0000-0000-00004F0B0000}"/>
    <cellStyle name="Currency 3 2 5 4 3 2" xfId="14329" xr:uid="{32B5045A-D449-44EF-9F8E-457FE9C4A696}"/>
    <cellStyle name="Currency 3 2 5 4 3 3" xfId="22763" xr:uid="{E043F6EA-C3C3-47DE-B26E-01B71BCAE5E5}"/>
    <cellStyle name="Currency 3 2 5 4 4" xfId="10111" xr:uid="{A9A1D2D8-0BAE-4484-92A1-172CB4BC8AD0}"/>
    <cellStyle name="Currency 3 2 5 4 5" xfId="18546" xr:uid="{0A3F3FBC-EF56-4CA9-82A0-E4F8E8B5993E}"/>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0255B702-3188-44B2-9BE7-B9AE7737618E}"/>
    <cellStyle name="Currency 3 2 5 5 2 2 3" xfId="25321" xr:uid="{99291652-FF55-46CC-9476-D0E205F3FAA6}"/>
    <cellStyle name="Currency 3 2 5 5 2 3" xfId="12669" xr:uid="{3A2A4326-B5A2-494E-B01A-768448CA1A5E}"/>
    <cellStyle name="Currency 3 2 5 5 2 4" xfId="21104" xr:uid="{A0AE69EB-0702-4A39-9E5E-B18F9ABFA893}"/>
    <cellStyle name="Currency 3 2 5 5 3" xfId="6292" xr:uid="{00000000-0005-0000-0000-0000530B0000}"/>
    <cellStyle name="Currency 3 2 5 5 3 2" xfId="14742" xr:uid="{E17FEAF4-4ACD-43CD-9D19-20C9BB37CD44}"/>
    <cellStyle name="Currency 3 2 5 5 3 3" xfId="23176" xr:uid="{E6BA9656-B23B-40A2-994D-0A4ABDD185FB}"/>
    <cellStyle name="Currency 3 2 5 5 4" xfId="10524" xr:uid="{F0866C30-05FD-412A-9E78-B5D0D95A4618}"/>
    <cellStyle name="Currency 3 2 5 5 5" xfId="18959" xr:uid="{3B11B25C-0E1A-42E8-B696-DE4CAA569EBB}"/>
    <cellStyle name="Currency 3 2 5 6" xfId="2421" xr:uid="{00000000-0005-0000-0000-0000540B0000}"/>
    <cellStyle name="Currency 3 2 5 6 2" xfId="6705" xr:uid="{00000000-0005-0000-0000-0000550B0000}"/>
    <cellStyle name="Currency 3 2 5 6 2 2" xfId="15155" xr:uid="{BE40E177-D624-42BB-9ACD-43AB437C458E}"/>
    <cellStyle name="Currency 3 2 5 6 2 3" xfId="23589" xr:uid="{98C4AD13-9ADD-45DA-A443-98115B1B4280}"/>
    <cellStyle name="Currency 3 2 5 6 3" xfId="10937" xr:uid="{3D1D70B1-C7F9-484A-895B-EF6A56629EFC}"/>
    <cellStyle name="Currency 3 2 5 6 4" xfId="19372" xr:uid="{AD6BFFD3-53E9-4F67-BA46-1F9602C85621}"/>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087538B5-1946-46BD-8904-CE062AEABD8E}"/>
    <cellStyle name="Currency 3 2 5 8 2 3" xfId="23906" xr:uid="{9D3C7380-CCAA-4A89-BB7E-E09D36254FF3}"/>
    <cellStyle name="Currency 3 2 5 8 3" xfId="11254" xr:uid="{8DC513EE-FCDF-4AAB-A9AC-FBFA65902F01}"/>
    <cellStyle name="Currency 3 2 5 8 4" xfId="19689" xr:uid="{08B0F049-8764-4517-B2B7-8B34B9F012C7}"/>
    <cellStyle name="Currency 3 2 5 9" xfId="4639" xr:uid="{00000000-0005-0000-0000-0000590B0000}"/>
    <cellStyle name="Currency 3 2 5 9 2" xfId="13089" xr:uid="{9B4DDE7E-7D37-422B-9BCB-E550FDAD6A51}"/>
    <cellStyle name="Currency 3 2 5 9 3" xfId="21523" xr:uid="{127E776D-17C2-45E8-BBA3-56F5D18DED7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57FAFFD7-6BBF-4DD1-8169-798DCFBADED9}"/>
    <cellStyle name="Currency 5 2 2 2 10 2 3" xfId="23907" xr:uid="{E66C68F2-CBE7-4436-8DB8-E7A61CA1E460}"/>
    <cellStyle name="Currency 5 2 2 2 10 3" xfId="11255" xr:uid="{18405FC6-C528-49B1-A30F-ACFD869E6436}"/>
    <cellStyle name="Currency 5 2 2 2 10 4" xfId="19690" xr:uid="{44B5AFD9-451D-42B9-8B0A-D7D56E937673}"/>
    <cellStyle name="Currency 5 2 2 2 11" xfId="4640" xr:uid="{00000000-0005-0000-0000-00006C0B0000}"/>
    <cellStyle name="Currency 5 2 2 2 11 2" xfId="13090" xr:uid="{D63486F3-9DFC-4CF6-92E7-D82909C3E612}"/>
    <cellStyle name="Currency 5 2 2 2 11 3" xfId="21524" xr:uid="{02E98E2E-2463-4E81-BCCB-041A1E861F11}"/>
    <cellStyle name="Currency 5 2 2 2 12" xfId="8872" xr:uid="{F77192EA-8F19-4D30-8B5C-CEB5E72E2B94}"/>
    <cellStyle name="Currency 5 2 2 2 13" xfId="17307" xr:uid="{F8786B47-4769-41B2-985B-CCD528986909}"/>
    <cellStyle name="Currency 5 2 2 2 2" xfId="197" xr:uid="{00000000-0005-0000-0000-00006D0B0000}"/>
    <cellStyle name="Currency 5 2 2 2 2 10" xfId="4641" xr:uid="{00000000-0005-0000-0000-00006E0B0000}"/>
    <cellStyle name="Currency 5 2 2 2 2 10 2" xfId="13091" xr:uid="{6F353380-8EED-4BE1-B094-8F066CEAF569}"/>
    <cellStyle name="Currency 5 2 2 2 2 10 3" xfId="21525" xr:uid="{59FF9E5E-5EBB-483C-826A-7254ACAB3A4F}"/>
    <cellStyle name="Currency 5 2 2 2 2 11" xfId="8873" xr:uid="{2C0375A6-BAA6-40A1-A652-F11122B46362}"/>
    <cellStyle name="Currency 5 2 2 2 2 12" xfId="17308" xr:uid="{F394E7FB-FEA6-4D64-B0AA-8BC23F0D44E8}"/>
    <cellStyle name="Currency 5 2 2 2 2 2" xfId="198" xr:uid="{00000000-0005-0000-0000-00006F0B0000}"/>
    <cellStyle name="Currency 5 2 2 2 2 2 10" xfId="8874" xr:uid="{EF2ACA57-1231-458B-95EF-4532C3F0D207}"/>
    <cellStyle name="Currency 5 2 2 2 2 2 11" xfId="17309" xr:uid="{73AD65F1-0E08-487F-8CCC-663F92B1AFB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74382BC7-3B28-4AB0-9D84-2B464AA856AC}"/>
    <cellStyle name="Currency 5 2 2 2 2 2 2 2 2 3" xfId="24085" xr:uid="{036A778A-072A-4391-90A3-6F164D6FFABF}"/>
    <cellStyle name="Currency 5 2 2 2 2 2 2 2 3" xfId="11433" xr:uid="{D7740AB8-2556-41BC-9A6F-B1E31EF0B3D7}"/>
    <cellStyle name="Currency 5 2 2 2 2 2 2 2 4" xfId="19868" xr:uid="{556E6D4E-2188-4016-80A0-1BF133F24347}"/>
    <cellStyle name="Currency 5 2 2 2 2 2 2 3" xfId="5056" xr:uid="{00000000-0005-0000-0000-0000730B0000}"/>
    <cellStyle name="Currency 5 2 2 2 2 2 2 3 2" xfId="13506" xr:uid="{B8D33A68-7344-4DBD-BEDC-40C66EA74054}"/>
    <cellStyle name="Currency 5 2 2 2 2 2 2 3 3" xfId="21940" xr:uid="{AF5FC190-47C9-436C-99B0-9C015D6C3CC2}"/>
    <cellStyle name="Currency 5 2 2 2 2 2 2 4" xfId="9288" xr:uid="{157D3538-DFC6-4E6E-81B0-E03D3318A878}"/>
    <cellStyle name="Currency 5 2 2 2 2 2 2 5" xfId="17723" xr:uid="{5DB2006C-D63F-4F4B-BF6A-86379CE3FBB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59C720BD-462E-4D66-BA76-93D1982B63C7}"/>
    <cellStyle name="Currency 5 2 2 2 2 2 3 2 2 3" xfId="24498" xr:uid="{A9F43415-5993-41BF-9C84-9BAB36F02B68}"/>
    <cellStyle name="Currency 5 2 2 2 2 2 3 2 3" xfId="11846" xr:uid="{6237162C-86CD-4F91-998E-DB2AD12826AF}"/>
    <cellStyle name="Currency 5 2 2 2 2 2 3 2 4" xfId="20281" xr:uid="{77D88F24-364E-4E86-BB47-0D2CC6C1A0D7}"/>
    <cellStyle name="Currency 5 2 2 2 2 2 3 3" xfId="5469" xr:uid="{00000000-0005-0000-0000-0000770B0000}"/>
    <cellStyle name="Currency 5 2 2 2 2 2 3 3 2" xfId="13919" xr:uid="{D2C30866-A4C3-4C84-99AD-4C864C49A6F6}"/>
    <cellStyle name="Currency 5 2 2 2 2 2 3 3 3" xfId="22353" xr:uid="{A0B023E1-2335-4956-BC3E-60EA8CF2AE3C}"/>
    <cellStyle name="Currency 5 2 2 2 2 2 3 4" xfId="9701" xr:uid="{9C77CDD8-39B8-4DC4-BD9E-7AAA053C78F1}"/>
    <cellStyle name="Currency 5 2 2 2 2 2 3 5" xfId="18136" xr:uid="{FFA28080-E31A-4A53-9997-2FAC6B566B8A}"/>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1FF3B106-4FE5-48A7-AE3E-63A3149147D1}"/>
    <cellStyle name="Currency 5 2 2 2 2 2 4 2 2 3" xfId="24911" xr:uid="{1D34622D-ACA5-4982-BB7F-DFF3003D4424}"/>
    <cellStyle name="Currency 5 2 2 2 2 2 4 2 3" xfId="12259" xr:uid="{58AC9DBB-22F5-4E72-830A-39AE55DCD454}"/>
    <cellStyle name="Currency 5 2 2 2 2 2 4 2 4" xfId="20694" xr:uid="{4EB4F211-8A33-46E4-9423-AE1750C88627}"/>
    <cellStyle name="Currency 5 2 2 2 2 2 4 3" xfId="5882" xr:uid="{00000000-0005-0000-0000-00007B0B0000}"/>
    <cellStyle name="Currency 5 2 2 2 2 2 4 3 2" xfId="14332" xr:uid="{B16CA876-9E26-41A0-A75D-B2934A03B5E6}"/>
    <cellStyle name="Currency 5 2 2 2 2 2 4 3 3" xfId="22766" xr:uid="{52F259CA-22A2-46FD-B398-C761466800C1}"/>
    <cellStyle name="Currency 5 2 2 2 2 2 4 4" xfId="10114" xr:uid="{8C7E1E99-7E1D-491C-B57F-9A07207663B8}"/>
    <cellStyle name="Currency 5 2 2 2 2 2 4 5" xfId="18549" xr:uid="{E68B1EAC-DF87-4EEE-A5E5-6F07D7E15BF3}"/>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BF5AEBA3-E7AF-434E-B119-2D00D27543FF}"/>
    <cellStyle name="Currency 5 2 2 2 2 2 5 2 2 3" xfId="25324" xr:uid="{2326958D-78FF-43A4-956B-3A9BF972AEE8}"/>
    <cellStyle name="Currency 5 2 2 2 2 2 5 2 3" xfId="12672" xr:uid="{ECF5AAA3-94DA-4773-AC8C-E746079859A7}"/>
    <cellStyle name="Currency 5 2 2 2 2 2 5 2 4" xfId="21107" xr:uid="{CBE5287F-9EA5-426B-A540-1C1D6BDDBDB7}"/>
    <cellStyle name="Currency 5 2 2 2 2 2 5 3" xfId="6295" xr:uid="{00000000-0005-0000-0000-00007F0B0000}"/>
    <cellStyle name="Currency 5 2 2 2 2 2 5 3 2" xfId="14745" xr:uid="{8E7A16B9-2E19-425C-88D5-14941FF7AC68}"/>
    <cellStyle name="Currency 5 2 2 2 2 2 5 3 3" xfId="23179" xr:uid="{82196834-5B3F-44C9-844E-E485965748EA}"/>
    <cellStyle name="Currency 5 2 2 2 2 2 5 4" xfId="10527" xr:uid="{112B9BFE-E801-4C95-93B2-F50F84FC313F}"/>
    <cellStyle name="Currency 5 2 2 2 2 2 5 5" xfId="18962" xr:uid="{8A1880CA-8E26-40F8-B00C-FD08FD560F86}"/>
    <cellStyle name="Currency 5 2 2 2 2 2 6" xfId="2424" xr:uid="{00000000-0005-0000-0000-0000800B0000}"/>
    <cellStyle name="Currency 5 2 2 2 2 2 6 2" xfId="6708" xr:uid="{00000000-0005-0000-0000-0000810B0000}"/>
    <cellStyle name="Currency 5 2 2 2 2 2 6 2 2" xfId="15158" xr:uid="{B10573C1-2019-4A52-9FFB-1C3668078099}"/>
    <cellStyle name="Currency 5 2 2 2 2 2 6 2 3" xfId="23592" xr:uid="{D33A7E17-55F7-422E-B58B-E0C535085F2A}"/>
    <cellStyle name="Currency 5 2 2 2 2 2 6 3" xfId="10940" xr:uid="{32328C18-CA9B-421A-AFA7-AE02335CDD48}"/>
    <cellStyle name="Currency 5 2 2 2 2 2 6 4" xfId="19375" xr:uid="{F1E09866-AFDB-4812-9C8C-635BC099BB6F}"/>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CCBF9B71-ABA6-4C72-8D32-679A3A525313}"/>
    <cellStyle name="Currency 5 2 2 2 2 2 8 2 3" xfId="23909" xr:uid="{EFBB7AED-0161-4CBD-BA54-0C038F39CF81}"/>
    <cellStyle name="Currency 5 2 2 2 2 2 8 3" xfId="11257" xr:uid="{41433D09-52AA-46DD-808B-6606C898845B}"/>
    <cellStyle name="Currency 5 2 2 2 2 2 8 4" xfId="19692" xr:uid="{4F8E90A2-9E5D-4B96-A424-66D4E915B986}"/>
    <cellStyle name="Currency 5 2 2 2 2 2 9" xfId="4642" xr:uid="{00000000-0005-0000-0000-0000850B0000}"/>
    <cellStyle name="Currency 5 2 2 2 2 2 9 2" xfId="13092" xr:uid="{1924C994-78FC-4E6F-82AA-5D76ED1DCDB7}"/>
    <cellStyle name="Currency 5 2 2 2 2 2 9 3" xfId="21526" xr:uid="{6D7D27AE-2C6D-4CD7-A724-F563EE13505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E756AE84-C58A-4203-B625-FB6D53C842B9}"/>
    <cellStyle name="Currency 5 2 2 2 2 3 2 2 3" xfId="24084" xr:uid="{39E4AD5F-A90A-4929-81F3-0464748A6C7C}"/>
    <cellStyle name="Currency 5 2 2 2 2 3 2 3" xfId="11432" xr:uid="{7C7BB51A-4CB3-4BF7-988F-9C7E029690F7}"/>
    <cellStyle name="Currency 5 2 2 2 2 3 2 4" xfId="19867" xr:uid="{829A602E-AF00-46AE-8269-CC4E2510044F}"/>
    <cellStyle name="Currency 5 2 2 2 2 3 3" xfId="5055" xr:uid="{00000000-0005-0000-0000-0000890B0000}"/>
    <cellStyle name="Currency 5 2 2 2 2 3 3 2" xfId="13505" xr:uid="{5246000E-2912-45F3-BFF1-104E1B87B61A}"/>
    <cellStyle name="Currency 5 2 2 2 2 3 3 3" xfId="21939" xr:uid="{29881696-6297-479C-A47D-AF0219702186}"/>
    <cellStyle name="Currency 5 2 2 2 2 3 4" xfId="9287" xr:uid="{FD62F5E9-12AD-4433-B1BE-811660070D42}"/>
    <cellStyle name="Currency 5 2 2 2 2 3 5" xfId="17722" xr:uid="{9CC5E4D6-E471-479A-8CCD-9476963F9F9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0D75BC95-15B0-4882-9DA7-839003CC548D}"/>
    <cellStyle name="Currency 5 2 2 2 2 4 2 2 3" xfId="24497" xr:uid="{3AE2DB57-1DC4-44B6-8F1A-5AA95CEB5D54}"/>
    <cellStyle name="Currency 5 2 2 2 2 4 2 3" xfId="11845" xr:uid="{F8C11FD9-7332-4486-B566-C371FCB75BD6}"/>
    <cellStyle name="Currency 5 2 2 2 2 4 2 4" xfId="20280" xr:uid="{EB21CA40-EA09-4081-B21C-AD443084066F}"/>
    <cellStyle name="Currency 5 2 2 2 2 4 3" xfId="5468" xr:uid="{00000000-0005-0000-0000-00008D0B0000}"/>
    <cellStyle name="Currency 5 2 2 2 2 4 3 2" xfId="13918" xr:uid="{D700E32B-155F-4887-A610-008599465BCB}"/>
    <cellStyle name="Currency 5 2 2 2 2 4 3 3" xfId="22352" xr:uid="{DAD26AEC-60F5-414E-8DE9-66204FBBFB65}"/>
    <cellStyle name="Currency 5 2 2 2 2 4 4" xfId="9700" xr:uid="{D2D8FBDF-B671-4A8A-AB5C-00E8C73F21CE}"/>
    <cellStyle name="Currency 5 2 2 2 2 4 5" xfId="18135" xr:uid="{60E79BB7-885A-4B13-8729-C353C7CDAD5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B86D9C88-24B5-4794-9061-B4DEBDD0CD07}"/>
    <cellStyle name="Currency 5 2 2 2 2 5 2 2 3" xfId="24910" xr:uid="{5A19F95A-4EDB-4B6D-AF7A-527BF49126D7}"/>
    <cellStyle name="Currency 5 2 2 2 2 5 2 3" xfId="12258" xr:uid="{DF3CDC31-AD95-44FF-B111-1802BD207FEA}"/>
    <cellStyle name="Currency 5 2 2 2 2 5 2 4" xfId="20693" xr:uid="{DB8CE065-3D74-41CE-8FA4-9E4E2DAC6961}"/>
    <cellStyle name="Currency 5 2 2 2 2 5 3" xfId="5881" xr:uid="{00000000-0005-0000-0000-0000910B0000}"/>
    <cellStyle name="Currency 5 2 2 2 2 5 3 2" xfId="14331" xr:uid="{63C55FDE-23AD-4223-91DE-B12AB259C372}"/>
    <cellStyle name="Currency 5 2 2 2 2 5 3 3" xfId="22765" xr:uid="{17F3BD5D-CAFD-44D9-A9D1-5B9BB2100890}"/>
    <cellStyle name="Currency 5 2 2 2 2 5 4" xfId="10113" xr:uid="{46C4DC4B-BB23-4EF8-9A0C-DA18C6112B9F}"/>
    <cellStyle name="Currency 5 2 2 2 2 5 5" xfId="18548" xr:uid="{F2F55806-5A28-49BC-8D81-7CD3ACB91791}"/>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72A03D49-FB86-4DCB-9ADB-676205DDD4FD}"/>
    <cellStyle name="Currency 5 2 2 2 2 6 2 2 3" xfId="25323" xr:uid="{0A6DA942-D4C4-454F-BF10-EEFC9D24E884}"/>
    <cellStyle name="Currency 5 2 2 2 2 6 2 3" xfId="12671" xr:uid="{7BE5AD51-95A5-43BC-AB32-361B478970CD}"/>
    <cellStyle name="Currency 5 2 2 2 2 6 2 4" xfId="21106" xr:uid="{4C1ED81C-6AB0-450E-AFC3-F6D45F790030}"/>
    <cellStyle name="Currency 5 2 2 2 2 6 3" xfId="6294" xr:uid="{00000000-0005-0000-0000-0000950B0000}"/>
    <cellStyle name="Currency 5 2 2 2 2 6 3 2" xfId="14744" xr:uid="{7CD556CE-6FEF-47E7-8958-43AA452CC3C5}"/>
    <cellStyle name="Currency 5 2 2 2 2 6 3 3" xfId="23178" xr:uid="{F980B6C6-6155-4E1A-B705-3CC6A6CECC95}"/>
    <cellStyle name="Currency 5 2 2 2 2 6 4" xfId="10526" xr:uid="{139AAFB6-3D18-4A47-854A-F5451457ADFB}"/>
    <cellStyle name="Currency 5 2 2 2 2 6 5" xfId="18961" xr:uid="{24B99301-7E78-4573-835C-A638EACD750C}"/>
    <cellStyle name="Currency 5 2 2 2 2 7" xfId="2423" xr:uid="{00000000-0005-0000-0000-0000960B0000}"/>
    <cellStyle name="Currency 5 2 2 2 2 7 2" xfId="6707" xr:uid="{00000000-0005-0000-0000-0000970B0000}"/>
    <cellStyle name="Currency 5 2 2 2 2 7 2 2" xfId="15157" xr:uid="{48B31008-8FAD-4E90-9483-F074DC482607}"/>
    <cellStyle name="Currency 5 2 2 2 2 7 2 3" xfId="23591" xr:uid="{241F9C8C-F8C1-4658-8C6E-CA3F6558ECD2}"/>
    <cellStyle name="Currency 5 2 2 2 2 7 3" xfId="10939" xr:uid="{6EF3CBFA-2B96-438E-AD16-5CAECC1182DE}"/>
    <cellStyle name="Currency 5 2 2 2 2 7 4" xfId="19374" xr:uid="{392DC4D0-9217-4AFE-A609-7CB99FF09CA3}"/>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4459E97A-CCBE-4C94-8863-94172F801F2B}"/>
    <cellStyle name="Currency 5 2 2 2 2 9 2 3" xfId="23908" xr:uid="{AE248690-B525-4B72-8B2E-EE4BDCC8877F}"/>
    <cellStyle name="Currency 5 2 2 2 2 9 3" xfId="11256" xr:uid="{FCAAA5AB-B0F7-4240-8004-240E0858D74E}"/>
    <cellStyle name="Currency 5 2 2 2 2 9 4" xfId="19691" xr:uid="{0F2A4D47-EDFF-4A4A-B3D5-8BD46B275E29}"/>
    <cellStyle name="Currency 5 2 2 2 3" xfId="199" xr:uid="{00000000-0005-0000-0000-00009B0B0000}"/>
    <cellStyle name="Currency 5 2 2 2 3 10" xfId="8875" xr:uid="{D7BB0AC6-0005-400F-98E3-EABD35C04B8F}"/>
    <cellStyle name="Currency 5 2 2 2 3 11" xfId="17310" xr:uid="{3F64229D-5B99-44B0-8AA5-15DE8E0C78A3}"/>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41DC928D-9AF3-47B6-91EC-16C46C70A69C}"/>
    <cellStyle name="Currency 5 2 2 2 3 2 2 2 3" xfId="24086" xr:uid="{79F60987-991F-4493-988D-94BF2A2189E4}"/>
    <cellStyle name="Currency 5 2 2 2 3 2 2 3" xfId="11434" xr:uid="{FF8EA980-9454-45C2-AD45-65B0147274F2}"/>
    <cellStyle name="Currency 5 2 2 2 3 2 2 4" xfId="19869" xr:uid="{0717BD33-3676-40BC-AEA7-F6480920D6BC}"/>
    <cellStyle name="Currency 5 2 2 2 3 2 3" xfId="5057" xr:uid="{00000000-0005-0000-0000-00009F0B0000}"/>
    <cellStyle name="Currency 5 2 2 2 3 2 3 2" xfId="13507" xr:uid="{7D19DC5A-99D5-4CFD-9E91-DCD1033253C8}"/>
    <cellStyle name="Currency 5 2 2 2 3 2 3 3" xfId="21941" xr:uid="{E79A4C59-7282-416C-86C5-F898236D7CD0}"/>
    <cellStyle name="Currency 5 2 2 2 3 2 4" xfId="9289" xr:uid="{CE6F7DE4-E9F9-4540-ADFE-99FA6744C75D}"/>
    <cellStyle name="Currency 5 2 2 2 3 2 5" xfId="17724" xr:uid="{0440CC41-0CDD-4824-87BB-BD13D3EC7CE2}"/>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F9B82802-0D8A-47D9-B139-9522C3F6E591}"/>
    <cellStyle name="Currency 5 2 2 2 3 3 2 2 3" xfId="24499" xr:uid="{F41DF0B6-54C4-486C-9E4E-8B9EA185F7EC}"/>
    <cellStyle name="Currency 5 2 2 2 3 3 2 3" xfId="11847" xr:uid="{F45D3309-F46D-436A-960A-35C8D76DD9CE}"/>
    <cellStyle name="Currency 5 2 2 2 3 3 2 4" xfId="20282" xr:uid="{A32FB18F-4F44-461A-B48D-4AA6070A5573}"/>
    <cellStyle name="Currency 5 2 2 2 3 3 3" xfId="5470" xr:uid="{00000000-0005-0000-0000-0000A30B0000}"/>
    <cellStyle name="Currency 5 2 2 2 3 3 3 2" xfId="13920" xr:uid="{6B212C51-17E1-475E-8C89-823D232960AB}"/>
    <cellStyle name="Currency 5 2 2 2 3 3 3 3" xfId="22354" xr:uid="{DB40BF19-E288-45A1-B691-3D7B45A54E5D}"/>
    <cellStyle name="Currency 5 2 2 2 3 3 4" xfId="9702" xr:uid="{00ABED06-33AD-495F-8849-C4216BD22D97}"/>
    <cellStyle name="Currency 5 2 2 2 3 3 5" xfId="18137" xr:uid="{5B230FDE-704B-42CE-98D7-3959E237C09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5B2C2556-59F5-4236-A3B3-0BB2280B2944}"/>
    <cellStyle name="Currency 5 2 2 2 3 4 2 2 3" xfId="24912" xr:uid="{2A9A415C-2779-4D2E-8EE2-A66958F1970D}"/>
    <cellStyle name="Currency 5 2 2 2 3 4 2 3" xfId="12260" xr:uid="{826871E4-E45A-4D5F-87C1-5DA8C9FBCC1F}"/>
    <cellStyle name="Currency 5 2 2 2 3 4 2 4" xfId="20695" xr:uid="{8A8B9DE4-B77D-4937-96A9-6D2FA5CE3C0D}"/>
    <cellStyle name="Currency 5 2 2 2 3 4 3" xfId="5883" xr:uid="{00000000-0005-0000-0000-0000A70B0000}"/>
    <cellStyle name="Currency 5 2 2 2 3 4 3 2" xfId="14333" xr:uid="{1130D3F8-CBBB-4264-9FB5-DFC45BAA95B9}"/>
    <cellStyle name="Currency 5 2 2 2 3 4 3 3" xfId="22767" xr:uid="{BE4A48DE-7618-4521-912C-1617B206B812}"/>
    <cellStyle name="Currency 5 2 2 2 3 4 4" xfId="10115" xr:uid="{89273699-85F6-427B-ACC1-AB4E1F5DCF01}"/>
    <cellStyle name="Currency 5 2 2 2 3 4 5" xfId="18550" xr:uid="{1144812B-49E4-46BD-9F73-FDE90A72FDFF}"/>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B446FF43-DEE2-4F70-865E-2F2E3B33476E}"/>
    <cellStyle name="Currency 5 2 2 2 3 5 2 2 3" xfId="25325" xr:uid="{94C3DC74-8800-4EFA-86DF-577E41284C0C}"/>
    <cellStyle name="Currency 5 2 2 2 3 5 2 3" xfId="12673" xr:uid="{818E7735-9978-46A2-B0C7-095B677BF48F}"/>
    <cellStyle name="Currency 5 2 2 2 3 5 2 4" xfId="21108" xr:uid="{A8737349-2DDB-48B7-8D68-FC607E8A029D}"/>
    <cellStyle name="Currency 5 2 2 2 3 5 3" xfId="6296" xr:uid="{00000000-0005-0000-0000-0000AB0B0000}"/>
    <cellStyle name="Currency 5 2 2 2 3 5 3 2" xfId="14746" xr:uid="{224F6EBF-0056-4138-8577-1BFA23D2A6E4}"/>
    <cellStyle name="Currency 5 2 2 2 3 5 3 3" xfId="23180" xr:uid="{311CF681-5A16-4587-8CD7-2FC3CBB1BBDE}"/>
    <cellStyle name="Currency 5 2 2 2 3 5 4" xfId="10528" xr:uid="{2B5CFBC3-BA6E-4473-A99D-67141C4177D4}"/>
    <cellStyle name="Currency 5 2 2 2 3 5 5" xfId="18963" xr:uid="{4453087A-AB2D-497C-BBA1-26854AC9CEB9}"/>
    <cellStyle name="Currency 5 2 2 2 3 6" xfId="2425" xr:uid="{00000000-0005-0000-0000-0000AC0B0000}"/>
    <cellStyle name="Currency 5 2 2 2 3 6 2" xfId="6709" xr:uid="{00000000-0005-0000-0000-0000AD0B0000}"/>
    <cellStyle name="Currency 5 2 2 2 3 6 2 2" xfId="15159" xr:uid="{009770DD-51C3-47D1-9A44-A52559927089}"/>
    <cellStyle name="Currency 5 2 2 2 3 6 2 3" xfId="23593" xr:uid="{7C6C8DC9-69E2-42C5-9821-6089F6E248BB}"/>
    <cellStyle name="Currency 5 2 2 2 3 6 3" xfId="10941" xr:uid="{1F649327-B3C5-4E1A-B8FB-A7C439C65B32}"/>
    <cellStyle name="Currency 5 2 2 2 3 6 4" xfId="19376" xr:uid="{51B2EE73-1958-48B4-A7C8-D9DC19A8B3E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8DA03F65-4C9D-461F-8359-32434E543E90}"/>
    <cellStyle name="Currency 5 2 2 2 3 8 2 3" xfId="23910" xr:uid="{2B882F22-6FB6-475B-B09F-D82410AD9C35}"/>
    <cellStyle name="Currency 5 2 2 2 3 8 3" xfId="11258" xr:uid="{208BA76B-36DE-4BF4-B52D-19309BE2F19B}"/>
    <cellStyle name="Currency 5 2 2 2 3 8 4" xfId="19693" xr:uid="{4298631D-0E75-47FE-85EC-2BFF7CAB7079}"/>
    <cellStyle name="Currency 5 2 2 2 3 9" xfId="4643" xr:uid="{00000000-0005-0000-0000-0000B10B0000}"/>
    <cellStyle name="Currency 5 2 2 2 3 9 2" xfId="13093" xr:uid="{9F210239-4D08-44B8-B16B-E055063A65A2}"/>
    <cellStyle name="Currency 5 2 2 2 3 9 3" xfId="21527" xr:uid="{83900B76-97BF-4CEF-998E-828A5CDE287F}"/>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582408CE-E9FA-47EA-B61B-50EF5020A3AF}"/>
    <cellStyle name="Currency 5 2 2 2 4 2 2 3" xfId="24083" xr:uid="{CBD5D041-F3A5-4A0D-8775-C8E142030D26}"/>
    <cellStyle name="Currency 5 2 2 2 4 2 3" xfId="11431" xr:uid="{0B24F241-8034-46C0-BB1A-D8CFFA2BF406}"/>
    <cellStyle name="Currency 5 2 2 2 4 2 4" xfId="19866" xr:uid="{14FE74EC-0E86-4D2F-90AF-C2CB0D04675E}"/>
    <cellStyle name="Currency 5 2 2 2 4 3" xfId="5054" xr:uid="{00000000-0005-0000-0000-0000B50B0000}"/>
    <cellStyle name="Currency 5 2 2 2 4 3 2" xfId="13504" xr:uid="{F1E0BB18-0FC5-4F5B-AE0F-6525FC55DD94}"/>
    <cellStyle name="Currency 5 2 2 2 4 3 3" xfId="21938" xr:uid="{ECD11399-00B9-4527-8A74-F61F1F7AE473}"/>
    <cellStyle name="Currency 5 2 2 2 4 4" xfId="9286" xr:uid="{F1BB2505-C637-4BBD-9C67-5ED00100C912}"/>
    <cellStyle name="Currency 5 2 2 2 4 5" xfId="17721" xr:uid="{09D1437B-300B-46F9-BF92-7CA50FA2D27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B3306B34-C44B-414F-9B0A-263E1143143E}"/>
    <cellStyle name="Currency 5 2 2 2 5 2 2 3" xfId="24496" xr:uid="{CD0077EC-5DB9-4C6A-9C5B-99A2CD340D94}"/>
    <cellStyle name="Currency 5 2 2 2 5 2 3" xfId="11844" xr:uid="{69599330-EAD8-4362-A9EF-E098D6CC50F7}"/>
    <cellStyle name="Currency 5 2 2 2 5 2 4" xfId="20279" xr:uid="{C5148418-A2E4-43EB-AF7A-603013098128}"/>
    <cellStyle name="Currency 5 2 2 2 5 3" xfId="5467" xr:uid="{00000000-0005-0000-0000-0000B90B0000}"/>
    <cellStyle name="Currency 5 2 2 2 5 3 2" xfId="13917" xr:uid="{BFE50A51-C87A-4A11-ADC2-CD5315455750}"/>
    <cellStyle name="Currency 5 2 2 2 5 3 3" xfId="22351" xr:uid="{CA3B613D-A4F3-4091-A928-F116614CC9B5}"/>
    <cellStyle name="Currency 5 2 2 2 5 4" xfId="9699" xr:uid="{A9E2E09D-9490-46A6-877C-A8452FAAAFDE}"/>
    <cellStyle name="Currency 5 2 2 2 5 5" xfId="18134" xr:uid="{17960703-9091-4F40-9E19-F60CE1ED6695}"/>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E9E5FEC9-6692-467C-A0A0-5B2F8E64CD45}"/>
    <cellStyle name="Currency 5 2 2 2 6 2 2 3" xfId="24909" xr:uid="{044ED744-E05B-413F-93DF-6D5EE713AAFB}"/>
    <cellStyle name="Currency 5 2 2 2 6 2 3" xfId="12257" xr:uid="{ABB8FFC9-B634-40EA-98CE-F87231B7D1E7}"/>
    <cellStyle name="Currency 5 2 2 2 6 2 4" xfId="20692" xr:uid="{201918AF-1727-42DA-8A0A-ADADAD6459E8}"/>
    <cellStyle name="Currency 5 2 2 2 6 3" xfId="5880" xr:uid="{00000000-0005-0000-0000-0000BD0B0000}"/>
    <cellStyle name="Currency 5 2 2 2 6 3 2" xfId="14330" xr:uid="{EB7D6DA9-3DC4-46F8-BC1D-B9F873C7924D}"/>
    <cellStyle name="Currency 5 2 2 2 6 3 3" xfId="22764" xr:uid="{A7992169-3733-4B84-93CB-144B6007D940}"/>
    <cellStyle name="Currency 5 2 2 2 6 4" xfId="10112" xr:uid="{7DB7B83B-C60E-42BC-A4C9-558723116571}"/>
    <cellStyle name="Currency 5 2 2 2 6 5" xfId="18547" xr:uid="{23CE53C3-4624-4182-BD2E-54F66924EE3A}"/>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F3C6C2BC-2759-4332-9110-C82544F91B27}"/>
    <cellStyle name="Currency 5 2 2 2 7 2 2 3" xfId="25322" xr:uid="{46DCB5D3-56C2-4C86-A094-C82A0EB0C410}"/>
    <cellStyle name="Currency 5 2 2 2 7 2 3" xfId="12670" xr:uid="{AB8DD531-65EE-494E-BDDB-AFBFDA3FEB24}"/>
    <cellStyle name="Currency 5 2 2 2 7 2 4" xfId="21105" xr:uid="{4168CB2C-79D5-4D9E-A04A-93650270E157}"/>
    <cellStyle name="Currency 5 2 2 2 7 3" xfId="6293" xr:uid="{00000000-0005-0000-0000-0000C10B0000}"/>
    <cellStyle name="Currency 5 2 2 2 7 3 2" xfId="14743" xr:uid="{FDC8EB49-8E77-4688-8967-5381CEDB4975}"/>
    <cellStyle name="Currency 5 2 2 2 7 3 3" xfId="23177" xr:uid="{0BB5CEB0-DA13-4830-959E-3FBEFDFF0FE1}"/>
    <cellStyle name="Currency 5 2 2 2 7 4" xfId="10525" xr:uid="{9762B726-6677-4F00-B8A5-9B701FAF4484}"/>
    <cellStyle name="Currency 5 2 2 2 7 5" xfId="18960" xr:uid="{06EAFD11-827B-4DB1-BE92-D6A9AA991D49}"/>
    <cellStyle name="Currency 5 2 2 2 8" xfId="2422" xr:uid="{00000000-0005-0000-0000-0000C20B0000}"/>
    <cellStyle name="Currency 5 2 2 2 8 2" xfId="6706" xr:uid="{00000000-0005-0000-0000-0000C30B0000}"/>
    <cellStyle name="Currency 5 2 2 2 8 2 2" xfId="15156" xr:uid="{A231D3F1-B22C-43B9-B3D6-C81416E3A4D0}"/>
    <cellStyle name="Currency 5 2 2 2 8 2 3" xfId="23590" xr:uid="{EA187002-8216-4726-99BB-141CC5AAD5BA}"/>
    <cellStyle name="Currency 5 2 2 2 8 3" xfId="10938" xr:uid="{8C5EE286-7516-48E5-8BF0-959FA28AD748}"/>
    <cellStyle name="Currency 5 2 2 2 8 4" xfId="19373" xr:uid="{9AEAC29B-5FF8-4AE9-86EE-08CD801C89A2}"/>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0FD80401-A9F5-4BF3-94E1-10FB1BF1011B}"/>
    <cellStyle name="Currency 5 2 2 3 10 3" xfId="21528" xr:uid="{F1FDA153-BD34-4B89-BEF9-5414B8221A0A}"/>
    <cellStyle name="Currency 5 2 2 3 11" xfId="8876" xr:uid="{DAC1A3A2-8CFD-4947-8A73-70C383EAE8E3}"/>
    <cellStyle name="Currency 5 2 2 3 12" xfId="17311" xr:uid="{58E1519E-3713-4468-AEF0-32C1CBA478D0}"/>
    <cellStyle name="Currency 5 2 2 3 2" xfId="201" xr:uid="{00000000-0005-0000-0000-0000C70B0000}"/>
    <cellStyle name="Currency 5 2 2 3 2 10" xfId="8877" xr:uid="{25CAE4ED-B80D-4335-A4E6-A925F7C74EDE}"/>
    <cellStyle name="Currency 5 2 2 3 2 11" xfId="17312" xr:uid="{A96EA28E-173C-4249-8FFF-545C8F0653E4}"/>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DA0CADF7-0037-4C8F-87C0-2755A884ED75}"/>
    <cellStyle name="Currency 5 2 2 3 2 2 2 2 3" xfId="24088" xr:uid="{80E5B87F-4F70-4646-BC1E-22CC93538386}"/>
    <cellStyle name="Currency 5 2 2 3 2 2 2 3" xfId="11436" xr:uid="{A5176AF9-EEBA-453C-9373-9C18CFDA0508}"/>
    <cellStyle name="Currency 5 2 2 3 2 2 2 4" xfId="19871" xr:uid="{E056DF85-C3B5-4AB0-8A6B-9257B823B8DA}"/>
    <cellStyle name="Currency 5 2 2 3 2 2 3" xfId="5059" xr:uid="{00000000-0005-0000-0000-0000CB0B0000}"/>
    <cellStyle name="Currency 5 2 2 3 2 2 3 2" xfId="13509" xr:uid="{463DF584-019D-4129-8F0F-1A9E32323E6F}"/>
    <cellStyle name="Currency 5 2 2 3 2 2 3 3" xfId="21943" xr:uid="{169850AC-100F-4018-9D76-402F5A345E38}"/>
    <cellStyle name="Currency 5 2 2 3 2 2 4" xfId="9291" xr:uid="{9FC7E201-2847-4CA5-A243-83F7C31422F3}"/>
    <cellStyle name="Currency 5 2 2 3 2 2 5" xfId="17726" xr:uid="{F7ACB73D-7A3A-4AF9-A7A0-197F490DC33B}"/>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25C4D213-1C55-43D8-BB3A-5E091932FE83}"/>
    <cellStyle name="Currency 5 2 2 3 2 3 2 2 3" xfId="24501" xr:uid="{75DEDD1A-4F53-4294-9456-417D0568B95E}"/>
    <cellStyle name="Currency 5 2 2 3 2 3 2 3" xfId="11849" xr:uid="{47018A01-38A6-4FF7-A9C3-F4DD37E0CE92}"/>
    <cellStyle name="Currency 5 2 2 3 2 3 2 4" xfId="20284" xr:uid="{73C97F62-37E6-49B8-8963-4F397EF54DAE}"/>
    <cellStyle name="Currency 5 2 2 3 2 3 3" xfId="5472" xr:uid="{00000000-0005-0000-0000-0000CF0B0000}"/>
    <cellStyle name="Currency 5 2 2 3 2 3 3 2" xfId="13922" xr:uid="{81645948-3DE5-442D-87F5-7D896259D398}"/>
    <cellStyle name="Currency 5 2 2 3 2 3 3 3" xfId="22356" xr:uid="{8C2E2E64-B031-4EEF-8CCA-C704DB471F26}"/>
    <cellStyle name="Currency 5 2 2 3 2 3 4" xfId="9704" xr:uid="{CD75389B-FD24-44BC-8F65-E77C36F65666}"/>
    <cellStyle name="Currency 5 2 2 3 2 3 5" xfId="18139" xr:uid="{C8B0F2B8-B9F7-4CF4-9151-DAEB62140C2B}"/>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9059B952-6147-4433-9765-F1CE9D8BCBBB}"/>
    <cellStyle name="Currency 5 2 2 3 2 4 2 2 3" xfId="24914" xr:uid="{112E6DC1-953F-4DD0-AF56-011097B98B96}"/>
    <cellStyle name="Currency 5 2 2 3 2 4 2 3" xfId="12262" xr:uid="{95EA40F7-3248-4F1D-BF53-A1F21C5809AE}"/>
    <cellStyle name="Currency 5 2 2 3 2 4 2 4" xfId="20697" xr:uid="{7D6B03E0-92B6-4008-8DAA-26E082543D47}"/>
    <cellStyle name="Currency 5 2 2 3 2 4 3" xfId="5885" xr:uid="{00000000-0005-0000-0000-0000D30B0000}"/>
    <cellStyle name="Currency 5 2 2 3 2 4 3 2" xfId="14335" xr:uid="{6740C6DE-5BDF-404F-BCBC-8B1E42A230FE}"/>
    <cellStyle name="Currency 5 2 2 3 2 4 3 3" xfId="22769" xr:uid="{BED5A196-DBBB-449C-B36B-60B0B8BB16EC}"/>
    <cellStyle name="Currency 5 2 2 3 2 4 4" xfId="10117" xr:uid="{E91AD709-C347-4AB7-8DDD-F81FB04B02FE}"/>
    <cellStyle name="Currency 5 2 2 3 2 4 5" xfId="18552" xr:uid="{C6213652-6268-488B-AA42-98A1DF3943E3}"/>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902DBA2C-1973-4814-A919-1B6D6C9FC178}"/>
    <cellStyle name="Currency 5 2 2 3 2 5 2 2 3" xfId="25327" xr:uid="{C17C4676-A7B3-4934-A36A-A3CB5A32530C}"/>
    <cellStyle name="Currency 5 2 2 3 2 5 2 3" xfId="12675" xr:uid="{27B86F7E-3455-42C4-978E-48241B60226C}"/>
    <cellStyle name="Currency 5 2 2 3 2 5 2 4" xfId="21110" xr:uid="{44D43C05-DBD4-4BDD-BB6E-67BC27700349}"/>
    <cellStyle name="Currency 5 2 2 3 2 5 3" xfId="6298" xr:uid="{00000000-0005-0000-0000-0000D70B0000}"/>
    <cellStyle name="Currency 5 2 2 3 2 5 3 2" xfId="14748" xr:uid="{BBB49022-0C4A-45B4-96BA-5162A487A91E}"/>
    <cellStyle name="Currency 5 2 2 3 2 5 3 3" xfId="23182" xr:uid="{4C3E948E-A98B-42F1-8CB8-3CA1B576087E}"/>
    <cellStyle name="Currency 5 2 2 3 2 5 4" xfId="10530" xr:uid="{CF8FB035-BF9C-4841-8212-F28B5046B6D4}"/>
    <cellStyle name="Currency 5 2 2 3 2 5 5" xfId="18965" xr:uid="{2542D984-95C4-42EA-9B7A-FD470CFEAFD2}"/>
    <cellStyle name="Currency 5 2 2 3 2 6" xfId="2427" xr:uid="{00000000-0005-0000-0000-0000D80B0000}"/>
    <cellStyle name="Currency 5 2 2 3 2 6 2" xfId="6711" xr:uid="{00000000-0005-0000-0000-0000D90B0000}"/>
    <cellStyle name="Currency 5 2 2 3 2 6 2 2" xfId="15161" xr:uid="{979C7BD5-D4EE-4A80-8936-C58CB68A1E4C}"/>
    <cellStyle name="Currency 5 2 2 3 2 6 2 3" xfId="23595" xr:uid="{DDB1EAB6-9603-434A-88FC-4C78F248AB70}"/>
    <cellStyle name="Currency 5 2 2 3 2 6 3" xfId="10943" xr:uid="{253490FA-D7D9-4A05-8321-7395AC3FB02D}"/>
    <cellStyle name="Currency 5 2 2 3 2 6 4" xfId="19378" xr:uid="{9805A29D-2925-4EF4-AD82-84614D46919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9A6AC027-528A-4B55-9E09-2F35685A2672}"/>
    <cellStyle name="Currency 5 2 2 3 2 8 2 3" xfId="23912" xr:uid="{7308C1D4-1F89-4A64-AE05-8E87FED2F27C}"/>
    <cellStyle name="Currency 5 2 2 3 2 8 3" xfId="11260" xr:uid="{62374A4D-6E0F-40C5-B823-8406260428E5}"/>
    <cellStyle name="Currency 5 2 2 3 2 8 4" xfId="19695" xr:uid="{33E93901-9461-4BA1-BA86-C571FC605D00}"/>
    <cellStyle name="Currency 5 2 2 3 2 9" xfId="4645" xr:uid="{00000000-0005-0000-0000-0000DD0B0000}"/>
    <cellStyle name="Currency 5 2 2 3 2 9 2" xfId="13095" xr:uid="{FE7A4C84-39EF-450D-ADA6-97188192AD5F}"/>
    <cellStyle name="Currency 5 2 2 3 2 9 3" xfId="21529" xr:uid="{5FBC9EBD-5B64-4D04-858F-2096E212CC87}"/>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309E9765-0119-4AA6-A23B-926C2477EC60}"/>
    <cellStyle name="Currency 5 2 2 3 3 2 2 3" xfId="24087" xr:uid="{B9A5D1A6-F931-49A7-80B8-C355BC5C22BC}"/>
    <cellStyle name="Currency 5 2 2 3 3 2 3" xfId="11435" xr:uid="{E95A7847-5122-4A0E-9180-61B03E4756CB}"/>
    <cellStyle name="Currency 5 2 2 3 3 2 4" xfId="19870" xr:uid="{4866443F-4389-4828-94E1-3999A8E8E52D}"/>
    <cellStyle name="Currency 5 2 2 3 3 3" xfId="5058" xr:uid="{00000000-0005-0000-0000-0000E10B0000}"/>
    <cellStyle name="Currency 5 2 2 3 3 3 2" xfId="13508" xr:uid="{0D3DE312-33CA-4626-9BE0-453AA7F9FC06}"/>
    <cellStyle name="Currency 5 2 2 3 3 3 3" xfId="21942" xr:uid="{FB72C03C-70CA-4859-82AC-4FC35D960D0A}"/>
    <cellStyle name="Currency 5 2 2 3 3 4" xfId="9290" xr:uid="{5E5EC3C3-26EB-4E9F-A0F3-C804A0C15BE4}"/>
    <cellStyle name="Currency 5 2 2 3 3 5" xfId="17725" xr:uid="{A0360961-78C0-4E9C-889E-B712A60F6717}"/>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0730411F-CEFF-4BA3-93B5-154F4206A226}"/>
    <cellStyle name="Currency 5 2 2 3 4 2 2 3" xfId="24500" xr:uid="{13521DA4-C84E-4E40-8539-3659F1641185}"/>
    <cellStyle name="Currency 5 2 2 3 4 2 3" xfId="11848" xr:uid="{2D1FDE49-9CCB-4D20-AF2F-6F6A8F960B8C}"/>
    <cellStyle name="Currency 5 2 2 3 4 2 4" xfId="20283" xr:uid="{E8468563-1D61-4A56-ABFF-1B4F7E2CEB5B}"/>
    <cellStyle name="Currency 5 2 2 3 4 3" xfId="5471" xr:uid="{00000000-0005-0000-0000-0000E50B0000}"/>
    <cellStyle name="Currency 5 2 2 3 4 3 2" xfId="13921" xr:uid="{8DEEA9A4-CFE8-4A6D-97C2-6B5C9933F55F}"/>
    <cellStyle name="Currency 5 2 2 3 4 3 3" xfId="22355" xr:uid="{B403B659-2A69-4BF1-BD3B-74D511DF0561}"/>
    <cellStyle name="Currency 5 2 2 3 4 4" xfId="9703" xr:uid="{F177D4D5-8ACE-4E17-B8E2-2D4567D6244D}"/>
    <cellStyle name="Currency 5 2 2 3 4 5" xfId="18138" xr:uid="{730A0372-BBAB-4883-934D-B2E8C5887A8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0409A4D1-ECA1-49A8-849B-4E9CA99FFC77}"/>
    <cellStyle name="Currency 5 2 2 3 5 2 2 3" xfId="24913" xr:uid="{63C425B1-D22F-4945-9A2E-E2AD9CAB48FC}"/>
    <cellStyle name="Currency 5 2 2 3 5 2 3" xfId="12261" xr:uid="{1DA54851-49D2-4207-98D3-D5C1D8C0ED99}"/>
    <cellStyle name="Currency 5 2 2 3 5 2 4" xfId="20696" xr:uid="{0054C1CF-15B7-4110-8E76-CBC2A39AB4FE}"/>
    <cellStyle name="Currency 5 2 2 3 5 3" xfId="5884" xr:uid="{00000000-0005-0000-0000-0000E90B0000}"/>
    <cellStyle name="Currency 5 2 2 3 5 3 2" xfId="14334" xr:uid="{1E588564-F77A-476E-A0F6-3657ECA489AB}"/>
    <cellStyle name="Currency 5 2 2 3 5 3 3" xfId="22768" xr:uid="{7EC85F43-4FE8-4901-8536-9EF503F02EF2}"/>
    <cellStyle name="Currency 5 2 2 3 5 4" xfId="10116" xr:uid="{E8C28AF3-E541-4E95-9CC9-AFFAA21DD084}"/>
    <cellStyle name="Currency 5 2 2 3 5 5" xfId="18551" xr:uid="{E466FC08-58A9-4370-83D5-90627431633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5AAC8BDA-1910-4E2C-A0AF-5D9F68334A1A}"/>
    <cellStyle name="Currency 5 2 2 3 6 2 2 3" xfId="25326" xr:uid="{9EF5D7F2-01C4-4054-A5AD-4FA59932A093}"/>
    <cellStyle name="Currency 5 2 2 3 6 2 3" xfId="12674" xr:uid="{90F64E1E-142A-48DD-8ABF-B9D178C5B352}"/>
    <cellStyle name="Currency 5 2 2 3 6 2 4" xfId="21109" xr:uid="{08F97EE9-F7CB-4E02-ADA0-6CBCB1E792F5}"/>
    <cellStyle name="Currency 5 2 2 3 6 3" xfId="6297" xr:uid="{00000000-0005-0000-0000-0000ED0B0000}"/>
    <cellStyle name="Currency 5 2 2 3 6 3 2" xfId="14747" xr:uid="{CAB57C4D-8FFA-4059-B4D9-381E3F7763B6}"/>
    <cellStyle name="Currency 5 2 2 3 6 3 3" xfId="23181" xr:uid="{B4FEC8A0-47EB-477C-98B9-935B7523E36B}"/>
    <cellStyle name="Currency 5 2 2 3 6 4" xfId="10529" xr:uid="{A875F40B-71A4-4D46-B2D6-03FBEDEE7C29}"/>
    <cellStyle name="Currency 5 2 2 3 6 5" xfId="18964" xr:uid="{F82D00E8-D4EF-401D-95AA-8B8E24415F0B}"/>
    <cellStyle name="Currency 5 2 2 3 7" xfId="2426" xr:uid="{00000000-0005-0000-0000-0000EE0B0000}"/>
    <cellStyle name="Currency 5 2 2 3 7 2" xfId="6710" xr:uid="{00000000-0005-0000-0000-0000EF0B0000}"/>
    <cellStyle name="Currency 5 2 2 3 7 2 2" xfId="15160" xr:uid="{243669E9-F9AA-40DD-9CA0-ACA073ADD19D}"/>
    <cellStyle name="Currency 5 2 2 3 7 2 3" xfId="23594" xr:uid="{F71B7A21-468A-447E-B9E4-8511822AB73D}"/>
    <cellStyle name="Currency 5 2 2 3 7 3" xfId="10942" xr:uid="{F924960E-9A96-4284-82AF-2AAEA948AAB9}"/>
    <cellStyle name="Currency 5 2 2 3 7 4" xfId="19377" xr:uid="{6D0CF98F-9611-4C85-9763-1ABED692BD36}"/>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DFCE4164-164A-4173-87CB-5B237A528B0C}"/>
    <cellStyle name="Currency 5 2 2 3 9 2 3" xfId="23911" xr:uid="{A36EDFC4-16D0-4F94-B44F-736EBB8570F3}"/>
    <cellStyle name="Currency 5 2 2 3 9 3" xfId="11259" xr:uid="{590A9A5A-3709-4CF3-B433-60177D934B2D}"/>
    <cellStyle name="Currency 5 2 2 3 9 4" xfId="19694" xr:uid="{60A49A9B-9547-4F1B-A9F8-D374F3C08EB7}"/>
    <cellStyle name="Currency 5 2 2 4" xfId="202" xr:uid="{00000000-0005-0000-0000-0000F30B0000}"/>
    <cellStyle name="Currency 5 2 2 4 10" xfId="8878" xr:uid="{82C72804-7B74-473E-A24C-30D2073867C0}"/>
    <cellStyle name="Currency 5 2 2 4 11" xfId="17313" xr:uid="{659DE6A9-D2AA-41D7-BA19-A2EC7668ECED}"/>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9964A9A2-AE09-4A8B-AB61-AE2D9B0E495B}"/>
    <cellStyle name="Currency 5 2 2 4 2 2 2 3" xfId="24089" xr:uid="{D229E8BF-2BBB-4624-884D-95711D3B221D}"/>
    <cellStyle name="Currency 5 2 2 4 2 2 3" xfId="11437" xr:uid="{36D1C8D6-FBFD-4C13-BF3A-B1E5FF54718F}"/>
    <cellStyle name="Currency 5 2 2 4 2 2 4" xfId="19872" xr:uid="{BD0CA625-B641-4370-9D55-98F735274694}"/>
    <cellStyle name="Currency 5 2 2 4 2 3" xfId="5060" xr:uid="{00000000-0005-0000-0000-0000F70B0000}"/>
    <cellStyle name="Currency 5 2 2 4 2 3 2" xfId="13510" xr:uid="{195C5D05-DA67-4D88-8F0A-B0C0E2F3D56A}"/>
    <cellStyle name="Currency 5 2 2 4 2 3 3" xfId="21944" xr:uid="{9B5A9FC0-ABD9-44A9-AECF-4FD6EACEEDB7}"/>
    <cellStyle name="Currency 5 2 2 4 2 4" xfId="9292" xr:uid="{5A8434E1-F10F-4C0E-A3DA-FC19B84998FA}"/>
    <cellStyle name="Currency 5 2 2 4 2 5" xfId="17727" xr:uid="{8EA391F9-29D0-4A52-9D58-69F0CDB3A721}"/>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A302A31D-823F-4BEA-84F8-149C49C9D474}"/>
    <cellStyle name="Currency 5 2 2 4 3 2 2 3" xfId="24502" xr:uid="{3B30F5FF-3FA2-4A3F-82F0-2D70DB819D96}"/>
    <cellStyle name="Currency 5 2 2 4 3 2 3" xfId="11850" xr:uid="{6BD75F55-CC30-4E59-914E-D0171302355C}"/>
    <cellStyle name="Currency 5 2 2 4 3 2 4" xfId="20285" xr:uid="{FFD2E2C5-68F9-4298-8D23-4649BFCB4C1D}"/>
    <cellStyle name="Currency 5 2 2 4 3 3" xfId="5473" xr:uid="{00000000-0005-0000-0000-0000FB0B0000}"/>
    <cellStyle name="Currency 5 2 2 4 3 3 2" xfId="13923" xr:uid="{8A3F1EA3-D36D-4909-AE9B-836B9BA37BD9}"/>
    <cellStyle name="Currency 5 2 2 4 3 3 3" xfId="22357" xr:uid="{6D87A388-8302-4BAC-809A-9F3E75401E4D}"/>
    <cellStyle name="Currency 5 2 2 4 3 4" xfId="9705" xr:uid="{CDD5BE0D-A79D-49B4-898E-B26A47E4832F}"/>
    <cellStyle name="Currency 5 2 2 4 3 5" xfId="18140" xr:uid="{30069CBE-FED1-46FA-BF59-AF7F041C0138}"/>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CD94F19C-A068-4705-92A0-E74459D036BC}"/>
    <cellStyle name="Currency 5 2 2 4 4 2 2 3" xfId="24915" xr:uid="{9B79449B-4239-4B4F-86B3-40B20B439719}"/>
    <cellStyle name="Currency 5 2 2 4 4 2 3" xfId="12263" xr:uid="{D49E4E2E-A787-4876-AE7A-2267BD4E9E06}"/>
    <cellStyle name="Currency 5 2 2 4 4 2 4" xfId="20698" xr:uid="{814A44FC-6D27-462D-877D-BD63201F752B}"/>
    <cellStyle name="Currency 5 2 2 4 4 3" xfId="5886" xr:uid="{00000000-0005-0000-0000-0000FF0B0000}"/>
    <cellStyle name="Currency 5 2 2 4 4 3 2" xfId="14336" xr:uid="{1E29D403-DB9C-4787-AB80-6C64EC1204C2}"/>
    <cellStyle name="Currency 5 2 2 4 4 3 3" xfId="22770" xr:uid="{754861EF-6B31-490B-B38E-08371AE68AB8}"/>
    <cellStyle name="Currency 5 2 2 4 4 4" xfId="10118" xr:uid="{EB968CF3-809D-42AC-8FC9-4DC022AA0031}"/>
    <cellStyle name="Currency 5 2 2 4 4 5" xfId="18553" xr:uid="{A3214B24-48A2-4AFF-8187-097F088C765D}"/>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29650F46-C451-4573-9B3A-DA71CB383146}"/>
    <cellStyle name="Currency 5 2 2 4 5 2 2 3" xfId="25328" xr:uid="{48DA2338-33FF-4959-9321-41DDB6B9F478}"/>
    <cellStyle name="Currency 5 2 2 4 5 2 3" xfId="12676" xr:uid="{2A41BBB9-4CA6-401E-9817-7F7749C0EF7E}"/>
    <cellStyle name="Currency 5 2 2 4 5 2 4" xfId="21111" xr:uid="{04BD0404-C582-4499-A0F6-772B0A073619}"/>
    <cellStyle name="Currency 5 2 2 4 5 3" xfId="6299" xr:uid="{00000000-0005-0000-0000-0000030C0000}"/>
    <cellStyle name="Currency 5 2 2 4 5 3 2" xfId="14749" xr:uid="{81050631-7D79-48C6-A389-8AE66766E231}"/>
    <cellStyle name="Currency 5 2 2 4 5 3 3" xfId="23183" xr:uid="{D55FDBCB-9B40-4429-8DA8-390B381C646F}"/>
    <cellStyle name="Currency 5 2 2 4 5 4" xfId="10531" xr:uid="{0762325A-4CDE-49E5-8C99-CD4EFFCDC0A5}"/>
    <cellStyle name="Currency 5 2 2 4 5 5" xfId="18966" xr:uid="{8FE5B8C3-CE13-4B8E-B7AD-E7F85FF30C40}"/>
    <cellStyle name="Currency 5 2 2 4 6" xfId="2428" xr:uid="{00000000-0005-0000-0000-0000040C0000}"/>
    <cellStyle name="Currency 5 2 2 4 6 2" xfId="6712" xr:uid="{00000000-0005-0000-0000-0000050C0000}"/>
    <cellStyle name="Currency 5 2 2 4 6 2 2" xfId="15162" xr:uid="{F9BA2C78-936F-4FE9-9954-928A763BBF17}"/>
    <cellStyle name="Currency 5 2 2 4 6 2 3" xfId="23596" xr:uid="{9E651113-9A45-4E41-92A8-7F92BD32ABD1}"/>
    <cellStyle name="Currency 5 2 2 4 6 3" xfId="10944" xr:uid="{AAD5F4BD-0B26-400D-BCEC-CCA04CC5DD71}"/>
    <cellStyle name="Currency 5 2 2 4 6 4" xfId="19379" xr:uid="{E628B504-9D8C-49F2-A510-6D9825953EA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2CC9DFA9-3D43-4F4A-AE7E-55F316A02AE9}"/>
    <cellStyle name="Currency 5 2 2 4 8 2 3" xfId="23913" xr:uid="{6390C99B-6F5C-45AF-ABCD-EFEDFA8A9299}"/>
    <cellStyle name="Currency 5 2 2 4 8 3" xfId="11261" xr:uid="{6EDEAEDA-219F-4286-8638-F663DF0A45E9}"/>
    <cellStyle name="Currency 5 2 2 4 8 4" xfId="19696" xr:uid="{E6ACDE4D-2577-4DCD-A39B-9D85CF2DC010}"/>
    <cellStyle name="Currency 5 2 2 4 9" xfId="4646" xr:uid="{00000000-0005-0000-0000-0000090C0000}"/>
    <cellStyle name="Currency 5 2 2 4 9 2" xfId="13096" xr:uid="{D02D80C8-7F6D-4291-B52F-ED30177F031F}"/>
    <cellStyle name="Currency 5 2 2 4 9 3" xfId="21530" xr:uid="{EC89AA12-BA03-4795-92F8-D95691979404}"/>
    <cellStyle name="Currency 5 2 2 5" xfId="203" xr:uid="{00000000-0005-0000-0000-00000A0C0000}"/>
    <cellStyle name="Currency 5 2 2 5 10" xfId="8879" xr:uid="{42E3388C-F742-41BF-8418-2E3265EC8211}"/>
    <cellStyle name="Currency 5 2 2 5 11" xfId="17314" xr:uid="{611E5B50-4F7E-4922-A29D-9BC5030E99D7}"/>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D8782091-2A12-4BD4-87B6-7F540C0230CF}"/>
    <cellStyle name="Currency 5 2 2 5 2 2 2 3" xfId="24090" xr:uid="{E452C4AE-9D94-4B65-AE38-4AF67BB8D6DA}"/>
    <cellStyle name="Currency 5 2 2 5 2 2 3" xfId="11438" xr:uid="{5DB517C7-1354-477E-8FDB-7FC38B135B65}"/>
    <cellStyle name="Currency 5 2 2 5 2 2 4" xfId="19873" xr:uid="{36F5902F-6563-4F1E-B608-B7E7646E50CB}"/>
    <cellStyle name="Currency 5 2 2 5 2 3" xfId="5061" xr:uid="{00000000-0005-0000-0000-00000E0C0000}"/>
    <cellStyle name="Currency 5 2 2 5 2 3 2" xfId="13511" xr:uid="{77B31F19-84EF-4DCD-91F2-3903AFD34949}"/>
    <cellStyle name="Currency 5 2 2 5 2 3 3" xfId="21945" xr:uid="{4619592A-6D0C-4151-B5D8-2D09540A7FE2}"/>
    <cellStyle name="Currency 5 2 2 5 2 4" xfId="9293" xr:uid="{7AAE44D2-8F29-49F7-BFC1-8D9BB0B8495C}"/>
    <cellStyle name="Currency 5 2 2 5 2 5" xfId="17728" xr:uid="{B06FDBA9-6BF4-4A10-9996-4EFAEE240627}"/>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74A07BE5-0FAF-4411-80CC-743961E02CAB}"/>
    <cellStyle name="Currency 5 2 2 5 3 2 2 3" xfId="24503" xr:uid="{D8629CC7-4B27-4843-9D34-8974FA296E1B}"/>
    <cellStyle name="Currency 5 2 2 5 3 2 3" xfId="11851" xr:uid="{0ED7DBCB-5973-45D2-B7AC-9507D42FF1E8}"/>
    <cellStyle name="Currency 5 2 2 5 3 2 4" xfId="20286" xr:uid="{0D5FAD7C-34D9-42D4-8AA2-F41CA07D14D1}"/>
    <cellStyle name="Currency 5 2 2 5 3 3" xfId="5474" xr:uid="{00000000-0005-0000-0000-0000120C0000}"/>
    <cellStyle name="Currency 5 2 2 5 3 3 2" xfId="13924" xr:uid="{A8C514B7-578A-491C-902D-5C17907CF6CC}"/>
    <cellStyle name="Currency 5 2 2 5 3 3 3" xfId="22358" xr:uid="{FFB3BC4A-53D6-4A63-8CDB-0BF37E393C1D}"/>
    <cellStyle name="Currency 5 2 2 5 3 4" xfId="9706" xr:uid="{F100DB05-A4D0-4AAB-ACAA-6B59324DA3AE}"/>
    <cellStyle name="Currency 5 2 2 5 3 5" xfId="18141" xr:uid="{63D56493-9472-43F2-A446-A7B39C71D6A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3D84293B-8A3F-4F12-8C33-1D050F7E8101}"/>
    <cellStyle name="Currency 5 2 2 5 4 2 2 3" xfId="24916" xr:uid="{553224AE-AEB6-483C-86C5-99383095C4DC}"/>
    <cellStyle name="Currency 5 2 2 5 4 2 3" xfId="12264" xr:uid="{ADA74D82-4061-4227-BB4C-98B910D81388}"/>
    <cellStyle name="Currency 5 2 2 5 4 2 4" xfId="20699" xr:uid="{1649ED80-9600-44EE-B743-41C72EC3C7DD}"/>
    <cellStyle name="Currency 5 2 2 5 4 3" xfId="5887" xr:uid="{00000000-0005-0000-0000-0000160C0000}"/>
    <cellStyle name="Currency 5 2 2 5 4 3 2" xfId="14337" xr:uid="{FC322B77-ABBB-4610-8501-3AA68385BF87}"/>
    <cellStyle name="Currency 5 2 2 5 4 3 3" xfId="22771" xr:uid="{96ED68AD-E886-4718-BD93-FE7DCB414673}"/>
    <cellStyle name="Currency 5 2 2 5 4 4" xfId="10119" xr:uid="{0232ACEB-E334-451A-9005-9A6B569867F0}"/>
    <cellStyle name="Currency 5 2 2 5 4 5" xfId="18554" xr:uid="{BEC775F1-8EF0-4CF7-A914-DFE304FC064B}"/>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42084D65-33AA-41BF-892C-64ECD380A70A}"/>
    <cellStyle name="Currency 5 2 2 5 5 2 2 3" xfId="25329" xr:uid="{4F825329-AA75-4868-A4B5-FB360D35681D}"/>
    <cellStyle name="Currency 5 2 2 5 5 2 3" xfId="12677" xr:uid="{E3C40B34-91FC-43F1-877C-88305FD6E235}"/>
    <cellStyle name="Currency 5 2 2 5 5 2 4" xfId="21112" xr:uid="{50573CD3-8140-4839-898A-D4DF7FF5D78F}"/>
    <cellStyle name="Currency 5 2 2 5 5 3" xfId="6300" xr:uid="{00000000-0005-0000-0000-00001A0C0000}"/>
    <cellStyle name="Currency 5 2 2 5 5 3 2" xfId="14750" xr:uid="{1FD30291-2F49-4387-80EF-B92FB6A9FAC5}"/>
    <cellStyle name="Currency 5 2 2 5 5 3 3" xfId="23184" xr:uid="{E8ED2A21-108F-4D4F-B54E-0C608A183BA9}"/>
    <cellStyle name="Currency 5 2 2 5 5 4" xfId="10532" xr:uid="{F9EC675D-9BB9-48AA-9561-C2DF004AFE63}"/>
    <cellStyle name="Currency 5 2 2 5 5 5" xfId="18967" xr:uid="{4C47041C-75EE-469F-997D-A7BA0534FE6D}"/>
    <cellStyle name="Currency 5 2 2 5 6" xfId="2429" xr:uid="{00000000-0005-0000-0000-00001B0C0000}"/>
    <cellStyle name="Currency 5 2 2 5 6 2" xfId="6713" xr:uid="{00000000-0005-0000-0000-00001C0C0000}"/>
    <cellStyle name="Currency 5 2 2 5 6 2 2" xfId="15163" xr:uid="{DA68C962-AB34-4239-886B-8EECB1A09074}"/>
    <cellStyle name="Currency 5 2 2 5 6 2 3" xfId="23597" xr:uid="{843ED680-C09C-4EBE-9DAE-32872B5B97BB}"/>
    <cellStyle name="Currency 5 2 2 5 6 3" xfId="10945" xr:uid="{0078DC75-60E5-491E-95EB-657120255868}"/>
    <cellStyle name="Currency 5 2 2 5 6 4" xfId="19380" xr:uid="{10E6045F-A63C-436F-AB6A-432707E24E7F}"/>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500E8649-7B8D-46DF-B008-DF9275D2C24B}"/>
    <cellStyle name="Currency 5 2 2 5 8 2 3" xfId="23914" xr:uid="{883FD3F7-F8EB-4F2A-A95E-AE41E3EA8748}"/>
    <cellStyle name="Currency 5 2 2 5 8 3" xfId="11262" xr:uid="{5817736F-4038-4A35-B0D4-7A0F25CD94BC}"/>
    <cellStyle name="Currency 5 2 2 5 8 4" xfId="19697" xr:uid="{E2428567-CC4F-405C-9E3C-981CAF5DBDBB}"/>
    <cellStyle name="Currency 5 2 2 5 9" xfId="4647" xr:uid="{00000000-0005-0000-0000-0000200C0000}"/>
    <cellStyle name="Currency 5 2 2 5 9 2" xfId="13097" xr:uid="{8E60C4A8-4C9B-45A8-B810-CBA66F9D0E7E}"/>
    <cellStyle name="Currency 5 2 2 5 9 3" xfId="21531" xr:uid="{42A43B37-6620-4D91-9D4A-9592DF801CF4}"/>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C697C6B8-6F30-4AD7-9A38-C023AF37CFEF}"/>
    <cellStyle name="Currency 5 2 4 10 3" xfId="21532" xr:uid="{FA43B74B-3BF4-46E2-AC22-C69425DFD8FA}"/>
    <cellStyle name="Currency 5 2 4 11" xfId="8880" xr:uid="{9D9FA283-DFF9-4307-A6CE-03DB3EACF767}"/>
    <cellStyle name="Currency 5 2 4 12" xfId="17315" xr:uid="{6A468183-4018-4804-8CA9-3AB707CBB411}"/>
    <cellStyle name="Currency 5 2 4 2" xfId="206" xr:uid="{00000000-0005-0000-0000-0000250C0000}"/>
    <cellStyle name="Currency 5 2 4 2 10" xfId="8881" xr:uid="{B0FF68C6-10F1-477C-ABCD-3012BF721E43}"/>
    <cellStyle name="Currency 5 2 4 2 11" xfId="17316" xr:uid="{F0797B1A-F930-4D6B-83CF-0C332EF4373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B2856816-26D6-4969-A8E4-773B11522EE0}"/>
    <cellStyle name="Currency 5 2 4 2 2 2 2 3" xfId="24092" xr:uid="{34E42312-AD94-4FCF-A2B5-38AAB61416A9}"/>
    <cellStyle name="Currency 5 2 4 2 2 2 3" xfId="11440" xr:uid="{E1B9750F-C609-449C-836E-E39C42E5D769}"/>
    <cellStyle name="Currency 5 2 4 2 2 2 4" xfId="19875" xr:uid="{9B75B735-ABCA-4C52-93CD-00656F58D37F}"/>
    <cellStyle name="Currency 5 2 4 2 2 3" xfId="5063" xr:uid="{00000000-0005-0000-0000-0000290C0000}"/>
    <cellStyle name="Currency 5 2 4 2 2 3 2" xfId="13513" xr:uid="{698E877A-9A97-49F3-A9C0-0EB8BB92D75B}"/>
    <cellStyle name="Currency 5 2 4 2 2 3 3" xfId="21947" xr:uid="{43951C13-BD45-45E3-BD37-51D6B97BC43B}"/>
    <cellStyle name="Currency 5 2 4 2 2 4" xfId="9295" xr:uid="{EB419E9F-1391-4723-A448-51767488F587}"/>
    <cellStyle name="Currency 5 2 4 2 2 5" xfId="17730" xr:uid="{BE98048F-912D-4B72-A348-2A4305F4C45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EE4B4BB5-FDDC-4E65-A7FB-88101CC29B39}"/>
    <cellStyle name="Currency 5 2 4 2 3 2 2 3" xfId="24505" xr:uid="{9CB1F272-52CD-4C37-93D8-FCF61DD67C98}"/>
    <cellStyle name="Currency 5 2 4 2 3 2 3" xfId="11853" xr:uid="{D4C740C0-8E98-42F5-A594-082BF5ED6EBA}"/>
    <cellStyle name="Currency 5 2 4 2 3 2 4" xfId="20288" xr:uid="{20D54008-B79E-4C79-93D2-22321F7B622A}"/>
    <cellStyle name="Currency 5 2 4 2 3 3" xfId="5476" xr:uid="{00000000-0005-0000-0000-00002D0C0000}"/>
    <cellStyle name="Currency 5 2 4 2 3 3 2" xfId="13926" xr:uid="{19255D50-EF5B-480D-A0AB-F9D8127159D4}"/>
    <cellStyle name="Currency 5 2 4 2 3 3 3" xfId="22360" xr:uid="{F5AE17B8-FA2C-41CA-806B-45F63CBEBE53}"/>
    <cellStyle name="Currency 5 2 4 2 3 4" xfId="9708" xr:uid="{E3FB9EB4-1583-46BB-B836-C102FE50D1ED}"/>
    <cellStyle name="Currency 5 2 4 2 3 5" xfId="18143" xr:uid="{F7496C76-AEA1-4B7C-9DE6-8A28B17105AB}"/>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1540B1A1-3AA4-456F-80B3-ADE380E91DC5}"/>
    <cellStyle name="Currency 5 2 4 2 4 2 2 3" xfId="24918" xr:uid="{697DBDD4-CDB0-4545-8678-652309EA7172}"/>
    <cellStyle name="Currency 5 2 4 2 4 2 3" xfId="12266" xr:uid="{1724207D-C67C-4DC8-BE12-002741838B72}"/>
    <cellStyle name="Currency 5 2 4 2 4 2 4" xfId="20701" xr:uid="{54663E02-9575-41DA-BD27-081D74CE1052}"/>
    <cellStyle name="Currency 5 2 4 2 4 3" xfId="5889" xr:uid="{00000000-0005-0000-0000-0000310C0000}"/>
    <cellStyle name="Currency 5 2 4 2 4 3 2" xfId="14339" xr:uid="{8C485B99-F81B-443D-B4FB-5C3706829D96}"/>
    <cellStyle name="Currency 5 2 4 2 4 3 3" xfId="22773" xr:uid="{B2F97DC9-30FD-413B-BE3E-D03FF4EF3312}"/>
    <cellStyle name="Currency 5 2 4 2 4 4" xfId="10121" xr:uid="{E5468522-D13A-44B2-A2F0-310AEDC24663}"/>
    <cellStyle name="Currency 5 2 4 2 4 5" xfId="18556" xr:uid="{DF2CBBAD-43AE-4055-BC4A-EB346A7D5C67}"/>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8FDF7F4A-2406-4B67-9AB9-9D2243A232F6}"/>
    <cellStyle name="Currency 5 2 4 2 5 2 2 3" xfId="25331" xr:uid="{AB17A405-5F9B-435D-987D-C22B4D63C2BC}"/>
    <cellStyle name="Currency 5 2 4 2 5 2 3" xfId="12679" xr:uid="{F9537001-54C9-44F3-8113-E0B6EABDBFB8}"/>
    <cellStyle name="Currency 5 2 4 2 5 2 4" xfId="21114" xr:uid="{62AC88E7-E79F-4F5D-A43F-FCE18A8ACE64}"/>
    <cellStyle name="Currency 5 2 4 2 5 3" xfId="6302" xr:uid="{00000000-0005-0000-0000-0000350C0000}"/>
    <cellStyle name="Currency 5 2 4 2 5 3 2" xfId="14752" xr:uid="{EAF8A544-58E0-4CFA-8875-90155A2BA1C5}"/>
    <cellStyle name="Currency 5 2 4 2 5 3 3" xfId="23186" xr:uid="{CF895442-AA61-4BC4-8ED6-AFC6EBD9DEE5}"/>
    <cellStyle name="Currency 5 2 4 2 5 4" xfId="10534" xr:uid="{C6EFA794-265B-4425-B3A0-DEC99CE0C615}"/>
    <cellStyle name="Currency 5 2 4 2 5 5" xfId="18969" xr:uid="{6EE58309-6034-431C-914B-CADCA878E205}"/>
    <cellStyle name="Currency 5 2 4 2 6" xfId="2431" xr:uid="{00000000-0005-0000-0000-0000360C0000}"/>
    <cellStyle name="Currency 5 2 4 2 6 2" xfId="6715" xr:uid="{00000000-0005-0000-0000-0000370C0000}"/>
    <cellStyle name="Currency 5 2 4 2 6 2 2" xfId="15165" xr:uid="{D1EC3923-A796-4DA8-BF52-8ABB1FE7F372}"/>
    <cellStyle name="Currency 5 2 4 2 6 2 3" xfId="23599" xr:uid="{020B8502-8127-4BD9-AF20-2808138A92D4}"/>
    <cellStyle name="Currency 5 2 4 2 6 3" xfId="10947" xr:uid="{8393F48C-D358-4275-932D-E314E5514AF3}"/>
    <cellStyle name="Currency 5 2 4 2 6 4" xfId="19382" xr:uid="{FE34A13B-C853-4E95-8A1A-38D96AFAD3BB}"/>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964C4AC0-E1FE-4FD2-A071-7C33A62BAA76}"/>
    <cellStyle name="Currency 5 2 4 2 8 2 3" xfId="23916" xr:uid="{ED7E06D4-C76C-4D8B-AB4F-00BC563EFCAC}"/>
    <cellStyle name="Currency 5 2 4 2 8 3" xfId="11264" xr:uid="{59991261-639A-4D2C-82BA-E5145885F8C6}"/>
    <cellStyle name="Currency 5 2 4 2 8 4" xfId="19699" xr:uid="{D0B9C1BF-3597-4DC6-B434-3333F6D2746A}"/>
    <cellStyle name="Currency 5 2 4 2 9" xfId="4649" xr:uid="{00000000-0005-0000-0000-00003B0C0000}"/>
    <cellStyle name="Currency 5 2 4 2 9 2" xfId="13099" xr:uid="{CCAA9072-4301-4B96-8328-00D3077D7B3B}"/>
    <cellStyle name="Currency 5 2 4 2 9 3" xfId="21533" xr:uid="{FD8B0414-C94E-4D57-AEAB-954C7CDBF364}"/>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8472EC2C-6FF5-4631-8C3A-92458F1BE223}"/>
    <cellStyle name="Currency 5 2 4 3 2 2 3" xfId="24091" xr:uid="{633CAD6F-C99F-4060-8652-4D1BD8B7AF36}"/>
    <cellStyle name="Currency 5 2 4 3 2 3" xfId="11439" xr:uid="{14B5786B-A506-4861-AD81-01277705E414}"/>
    <cellStyle name="Currency 5 2 4 3 2 4" xfId="19874" xr:uid="{0991AEE3-9E5C-455C-87BA-D80BDDFD9DD9}"/>
    <cellStyle name="Currency 5 2 4 3 3" xfId="5062" xr:uid="{00000000-0005-0000-0000-00003F0C0000}"/>
    <cellStyle name="Currency 5 2 4 3 3 2" xfId="13512" xr:uid="{551EE1CE-3027-47E8-933B-673496967A94}"/>
    <cellStyle name="Currency 5 2 4 3 3 3" xfId="21946" xr:uid="{F030F2BA-6FC4-4770-9868-CA4D47D26A27}"/>
    <cellStyle name="Currency 5 2 4 3 4" xfId="9294" xr:uid="{2EF55FF6-CABF-49A2-B1BE-178A7D3B20B9}"/>
    <cellStyle name="Currency 5 2 4 3 5" xfId="17729" xr:uid="{03FF0754-CEEF-4EF2-9E30-1C8F74182A4C}"/>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91729FCC-202F-4DAF-BFCE-6298E678B075}"/>
    <cellStyle name="Currency 5 2 4 4 2 2 3" xfId="24504" xr:uid="{A112DD99-0FBF-4A74-82F4-FCA6A5271F81}"/>
    <cellStyle name="Currency 5 2 4 4 2 3" xfId="11852" xr:uid="{07C87E03-CC43-4BC2-BC93-20A482F1E33B}"/>
    <cellStyle name="Currency 5 2 4 4 2 4" xfId="20287" xr:uid="{34586231-BAD6-4EAC-B8BA-C89A2DD9C3FE}"/>
    <cellStyle name="Currency 5 2 4 4 3" xfId="5475" xr:uid="{00000000-0005-0000-0000-0000430C0000}"/>
    <cellStyle name="Currency 5 2 4 4 3 2" xfId="13925" xr:uid="{824759E8-F509-4B05-B38B-D18858F6023D}"/>
    <cellStyle name="Currency 5 2 4 4 3 3" xfId="22359" xr:uid="{93F016E8-A9CB-47AA-B2A8-A0C235373145}"/>
    <cellStyle name="Currency 5 2 4 4 4" xfId="9707" xr:uid="{BA3B57DC-B8B6-481D-B6C2-D03C45B82066}"/>
    <cellStyle name="Currency 5 2 4 4 5" xfId="18142" xr:uid="{A89B12BC-7E63-4E09-AB4B-B028E8C1B72D}"/>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F291D01E-EFAF-4D3B-A358-D62C3C30826E}"/>
    <cellStyle name="Currency 5 2 4 5 2 2 3" xfId="24917" xr:uid="{DEF73449-F2B9-4901-A737-A8FB213F4FA9}"/>
    <cellStyle name="Currency 5 2 4 5 2 3" xfId="12265" xr:uid="{09145765-E402-4960-B0FD-8333452FC6B7}"/>
    <cellStyle name="Currency 5 2 4 5 2 4" xfId="20700" xr:uid="{BDAB7BC6-E647-45BC-B4E2-5417AEECBE7C}"/>
    <cellStyle name="Currency 5 2 4 5 3" xfId="5888" xr:uid="{00000000-0005-0000-0000-0000470C0000}"/>
    <cellStyle name="Currency 5 2 4 5 3 2" xfId="14338" xr:uid="{AA930572-E904-45D3-B21D-878BC474EDED}"/>
    <cellStyle name="Currency 5 2 4 5 3 3" xfId="22772" xr:uid="{2FCC1248-D073-4744-BDBA-64941F28EDC6}"/>
    <cellStyle name="Currency 5 2 4 5 4" xfId="10120" xr:uid="{58F949CA-EAF9-40E7-96CE-0430329DF2C5}"/>
    <cellStyle name="Currency 5 2 4 5 5" xfId="18555" xr:uid="{4507FC56-A8DB-4F16-AA54-4F900AB8E070}"/>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2A1CFEF2-B323-4C51-861A-35C8FB2D2868}"/>
    <cellStyle name="Currency 5 2 4 6 2 2 3" xfId="25330" xr:uid="{AF3BD913-11A7-4C7F-8854-D898DE9561F9}"/>
    <cellStyle name="Currency 5 2 4 6 2 3" xfId="12678" xr:uid="{F9AAD334-AA0E-47D7-AC19-D37EA9B3DF82}"/>
    <cellStyle name="Currency 5 2 4 6 2 4" xfId="21113" xr:uid="{91E66089-DDA9-4D4B-B482-975414CECD9A}"/>
    <cellStyle name="Currency 5 2 4 6 3" xfId="6301" xr:uid="{00000000-0005-0000-0000-00004B0C0000}"/>
    <cellStyle name="Currency 5 2 4 6 3 2" xfId="14751" xr:uid="{9A1755E5-309D-4283-B03A-C63A779C3CD1}"/>
    <cellStyle name="Currency 5 2 4 6 3 3" xfId="23185" xr:uid="{8742B46D-23BA-4D71-BA5F-A8D89D8C63DD}"/>
    <cellStyle name="Currency 5 2 4 6 4" xfId="10533" xr:uid="{02AA7898-463F-4AA3-83F6-374B4804DD15}"/>
    <cellStyle name="Currency 5 2 4 6 5" xfId="18968" xr:uid="{AB77928B-D57F-4A6F-84C3-4918950014AD}"/>
    <cellStyle name="Currency 5 2 4 7" xfId="2430" xr:uid="{00000000-0005-0000-0000-00004C0C0000}"/>
    <cellStyle name="Currency 5 2 4 7 2" xfId="6714" xr:uid="{00000000-0005-0000-0000-00004D0C0000}"/>
    <cellStyle name="Currency 5 2 4 7 2 2" xfId="15164" xr:uid="{486CDE97-6117-4A70-A694-BF4F425BF761}"/>
    <cellStyle name="Currency 5 2 4 7 2 3" xfId="23598" xr:uid="{AB919459-FBAA-4A5B-9339-E6DA353940D9}"/>
    <cellStyle name="Currency 5 2 4 7 3" xfId="10946" xr:uid="{BEAE167E-7996-40B8-AEBF-8CDE80DDB211}"/>
    <cellStyle name="Currency 5 2 4 7 4" xfId="19381" xr:uid="{0AFB1D49-A677-4E42-9FB7-825BD76CEE1F}"/>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0EBA1809-11D5-4353-A8F5-81F7AEB830F4}"/>
    <cellStyle name="Currency 5 2 4 9 2 3" xfId="23915" xr:uid="{A73274B8-12B9-49E7-9648-DB84EB625714}"/>
    <cellStyle name="Currency 5 2 4 9 3" xfId="11263" xr:uid="{BB32D893-BCA8-4B86-BB2B-8BC104574E22}"/>
    <cellStyle name="Currency 5 2 4 9 4" xfId="19698" xr:uid="{4A1D4643-73E0-4731-BB01-1EB2BC573982}"/>
    <cellStyle name="Currency 5 2 5" xfId="207" xr:uid="{00000000-0005-0000-0000-0000510C0000}"/>
    <cellStyle name="Currency 5 2 5 10" xfId="8882" xr:uid="{FFD044F6-9AC6-414C-A9C1-EC4F33F0F90A}"/>
    <cellStyle name="Currency 5 2 5 11" xfId="17317" xr:uid="{B0F1D741-1FA6-43B8-98C6-5B34275C45CD}"/>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CE330225-814A-4A73-8471-A6D9B7E16A6C}"/>
    <cellStyle name="Currency 5 2 5 2 2 2 3" xfId="24093" xr:uid="{7BF35B18-05D1-46E5-80ED-59CD4CFAF732}"/>
    <cellStyle name="Currency 5 2 5 2 2 3" xfId="11441" xr:uid="{88031FE9-3A9A-45C7-A009-3420B69D482A}"/>
    <cellStyle name="Currency 5 2 5 2 2 4" xfId="19876" xr:uid="{38DEC8C3-0813-446C-B4BC-F49B84A79937}"/>
    <cellStyle name="Currency 5 2 5 2 3" xfId="5064" xr:uid="{00000000-0005-0000-0000-0000550C0000}"/>
    <cellStyle name="Currency 5 2 5 2 3 2" xfId="13514" xr:uid="{5A5F3FAF-05C1-43A3-9675-1B1986E1F77F}"/>
    <cellStyle name="Currency 5 2 5 2 3 3" xfId="21948" xr:uid="{4F0FD604-FF42-4908-9FFE-7DC9B3FDF4F6}"/>
    <cellStyle name="Currency 5 2 5 2 4" xfId="9296" xr:uid="{FB352743-BA58-4657-9F1D-DE92DC71A88B}"/>
    <cellStyle name="Currency 5 2 5 2 5" xfId="17731" xr:uid="{4ACD7E03-F5A1-410E-A47A-C6D5E643876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40352D9A-7F68-4CC6-8D28-52719113D763}"/>
    <cellStyle name="Currency 5 2 5 3 2 2 3" xfId="24506" xr:uid="{3FAE0EAC-D7FC-40D3-B59E-0731938C26FE}"/>
    <cellStyle name="Currency 5 2 5 3 2 3" xfId="11854" xr:uid="{801B597E-F1BB-41B9-AC3F-76BFF710A032}"/>
    <cellStyle name="Currency 5 2 5 3 2 4" xfId="20289" xr:uid="{03EE4F3D-5DAD-4611-83E1-BA5CA5D255E5}"/>
    <cellStyle name="Currency 5 2 5 3 3" xfId="5477" xr:uid="{00000000-0005-0000-0000-0000590C0000}"/>
    <cellStyle name="Currency 5 2 5 3 3 2" xfId="13927" xr:uid="{D34FECD1-F83C-428C-A1CF-8C281C74C9B2}"/>
    <cellStyle name="Currency 5 2 5 3 3 3" xfId="22361" xr:uid="{59D4A59B-90D2-4CAE-A059-ED8E4E8463DE}"/>
    <cellStyle name="Currency 5 2 5 3 4" xfId="9709" xr:uid="{17BEEEB8-E55F-4A98-A928-885B1A6B3DE9}"/>
    <cellStyle name="Currency 5 2 5 3 5" xfId="18144" xr:uid="{484ED9CF-6FBF-49A9-ABEF-71AF08CC9391}"/>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9866EA3F-6C78-4DFB-A24A-62B8E3964AF7}"/>
    <cellStyle name="Currency 5 2 5 4 2 2 3" xfId="24919" xr:uid="{0C6A2E3E-D1B8-407F-B7F1-E864A285D614}"/>
    <cellStyle name="Currency 5 2 5 4 2 3" xfId="12267" xr:uid="{D2900E7E-11E7-476F-B050-0A904335A657}"/>
    <cellStyle name="Currency 5 2 5 4 2 4" xfId="20702" xr:uid="{EC7B742E-3F0F-4C08-8E5D-098B3C6FBF5B}"/>
    <cellStyle name="Currency 5 2 5 4 3" xfId="5890" xr:uid="{00000000-0005-0000-0000-00005D0C0000}"/>
    <cellStyle name="Currency 5 2 5 4 3 2" xfId="14340" xr:uid="{52AA605F-6AE3-4C17-8AEE-3CAFF9A7B4B7}"/>
    <cellStyle name="Currency 5 2 5 4 3 3" xfId="22774" xr:uid="{D838E15D-F14D-442A-845E-9F7DF08D0AE4}"/>
    <cellStyle name="Currency 5 2 5 4 4" xfId="10122" xr:uid="{72D52241-6974-47F0-8C30-9900715FA642}"/>
    <cellStyle name="Currency 5 2 5 4 5" xfId="18557" xr:uid="{10937552-6799-4C05-9D0B-E3E8700CA74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7F521938-89A6-4AF3-996A-E0F27F5BA536}"/>
    <cellStyle name="Currency 5 2 5 5 2 2 3" xfId="25332" xr:uid="{E9A58B11-07D2-40F6-8A24-8DD9DFE301A4}"/>
    <cellStyle name="Currency 5 2 5 5 2 3" xfId="12680" xr:uid="{655A5A97-78B4-4EBB-ABD9-1D8AD55011F6}"/>
    <cellStyle name="Currency 5 2 5 5 2 4" xfId="21115" xr:uid="{DCD57356-1800-4EA3-B0E7-C171C6969066}"/>
    <cellStyle name="Currency 5 2 5 5 3" xfId="6303" xr:uid="{00000000-0005-0000-0000-0000610C0000}"/>
    <cellStyle name="Currency 5 2 5 5 3 2" xfId="14753" xr:uid="{894A3A5A-D1AF-4EB7-9D04-4C4C78B83731}"/>
    <cellStyle name="Currency 5 2 5 5 3 3" xfId="23187" xr:uid="{5823069C-3A2E-41F1-A284-56DE2FE20141}"/>
    <cellStyle name="Currency 5 2 5 5 4" xfId="10535" xr:uid="{319E105B-4675-43B0-8025-DF10CE71D4CB}"/>
    <cellStyle name="Currency 5 2 5 5 5" xfId="18970" xr:uid="{F96B7FF7-2323-477F-895D-8C7965944BFF}"/>
    <cellStyle name="Currency 5 2 5 6" xfId="2432" xr:uid="{00000000-0005-0000-0000-0000620C0000}"/>
    <cellStyle name="Currency 5 2 5 6 2" xfId="6716" xr:uid="{00000000-0005-0000-0000-0000630C0000}"/>
    <cellStyle name="Currency 5 2 5 6 2 2" xfId="15166" xr:uid="{3F336CF2-153A-48D3-B4E5-6D9EF14019C5}"/>
    <cellStyle name="Currency 5 2 5 6 2 3" xfId="23600" xr:uid="{07D7D07C-2725-4B75-9A4F-29908489DAEC}"/>
    <cellStyle name="Currency 5 2 5 6 3" xfId="10948" xr:uid="{619FEA9E-8B8D-4267-B6A7-D2EE4D3B968B}"/>
    <cellStyle name="Currency 5 2 5 6 4" xfId="19383" xr:uid="{D5C74EB4-CD6E-47E1-8383-71A6412A59F3}"/>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D395C4CC-AF2D-412B-898D-E704AA642BE0}"/>
    <cellStyle name="Currency 5 2 5 8 2 3" xfId="23917" xr:uid="{F514A0BA-98C3-4635-8735-7B2762ED7FB8}"/>
    <cellStyle name="Currency 5 2 5 8 3" xfId="11265" xr:uid="{5ACEEDCE-AAC8-4899-9172-7B31754F47E4}"/>
    <cellStyle name="Currency 5 2 5 8 4" xfId="19700" xr:uid="{9810A5F5-5C0A-4192-9B02-6963E2C6D0F8}"/>
    <cellStyle name="Currency 5 2 5 9" xfId="4650" xr:uid="{00000000-0005-0000-0000-0000670C0000}"/>
    <cellStyle name="Currency 5 2 5 9 2" xfId="13100" xr:uid="{CEAF19DD-AEF6-4E58-A008-F5A5DAC5CC33}"/>
    <cellStyle name="Currency 5 2 5 9 3" xfId="21534" xr:uid="{EEF07564-6133-4A45-930D-9E38F8A08151}"/>
    <cellStyle name="Currency 5 2 6" xfId="208" xr:uid="{00000000-0005-0000-0000-0000680C0000}"/>
    <cellStyle name="Currency 5 2 6 10" xfId="8883" xr:uid="{FD9A11F7-1C70-42F6-B0BF-E93AD64FD161}"/>
    <cellStyle name="Currency 5 2 6 11" xfId="17318" xr:uid="{41912F98-EBCA-48B2-9768-2E5784CE53DB}"/>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FB5A86B4-C2D0-4540-A862-062DB92B4A56}"/>
    <cellStyle name="Currency 5 2 6 2 2 2 3" xfId="24094" xr:uid="{303AB895-8F1A-4B0B-BA71-3FD17DAF6B53}"/>
    <cellStyle name="Currency 5 2 6 2 2 3" xfId="11442" xr:uid="{977C17C3-FFEA-4D26-B66E-11EAA25D96A5}"/>
    <cellStyle name="Currency 5 2 6 2 2 4" xfId="19877" xr:uid="{27C2D9FD-352D-4702-8C14-9F6A7573273A}"/>
    <cellStyle name="Currency 5 2 6 2 3" xfId="5065" xr:uid="{00000000-0005-0000-0000-00006C0C0000}"/>
    <cellStyle name="Currency 5 2 6 2 3 2" xfId="13515" xr:uid="{7C5E7D7A-611D-4A65-A26A-D6E7D92FBAD7}"/>
    <cellStyle name="Currency 5 2 6 2 3 3" xfId="21949" xr:uid="{5EE0F530-8691-4662-9B7D-DD4D3D508945}"/>
    <cellStyle name="Currency 5 2 6 2 4" xfId="9297" xr:uid="{B57B916D-DE6C-4EB4-BB6A-CFDA2406DA78}"/>
    <cellStyle name="Currency 5 2 6 2 5" xfId="17732" xr:uid="{B00B2173-B969-413D-BEF6-6FC36F5E9DCC}"/>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289AAF62-A26D-4492-B65E-A7F85EDF5FC7}"/>
    <cellStyle name="Currency 5 2 6 3 2 2 3" xfId="24507" xr:uid="{074042FD-8977-4899-B992-40B94E54F4B9}"/>
    <cellStyle name="Currency 5 2 6 3 2 3" xfId="11855" xr:uid="{5A61097D-8846-4D43-90A5-214B09946F1F}"/>
    <cellStyle name="Currency 5 2 6 3 2 4" xfId="20290" xr:uid="{F42806D6-1295-4E8B-A685-2A0A00B611D9}"/>
    <cellStyle name="Currency 5 2 6 3 3" xfId="5478" xr:uid="{00000000-0005-0000-0000-0000700C0000}"/>
    <cellStyle name="Currency 5 2 6 3 3 2" xfId="13928" xr:uid="{211A1402-1B4B-4FCC-919D-0FE5BC7401F9}"/>
    <cellStyle name="Currency 5 2 6 3 3 3" xfId="22362" xr:uid="{C0EFD095-5EBA-4BF2-A176-AB561FFFBCCE}"/>
    <cellStyle name="Currency 5 2 6 3 4" xfId="9710" xr:uid="{17A8415D-FD1B-42B2-BDE7-DFFA4F365291}"/>
    <cellStyle name="Currency 5 2 6 3 5" xfId="18145" xr:uid="{09B666D2-F626-4075-8CE6-994E86FA359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988CDDDB-D954-46B1-AAF0-50D10B2D90FA}"/>
    <cellStyle name="Currency 5 2 6 4 2 2 3" xfId="24920" xr:uid="{14FA47AC-747B-4290-961D-2813AD6972F5}"/>
    <cellStyle name="Currency 5 2 6 4 2 3" xfId="12268" xr:uid="{602AB933-9A3B-4A4A-99E0-80C692C174BC}"/>
    <cellStyle name="Currency 5 2 6 4 2 4" xfId="20703" xr:uid="{E2C75201-11F5-4B64-8FE7-7C6B55CFCD44}"/>
    <cellStyle name="Currency 5 2 6 4 3" xfId="5891" xr:uid="{00000000-0005-0000-0000-0000740C0000}"/>
    <cellStyle name="Currency 5 2 6 4 3 2" xfId="14341" xr:uid="{59658A0B-033B-4BD9-8D6E-39ABCB958B14}"/>
    <cellStyle name="Currency 5 2 6 4 3 3" xfId="22775" xr:uid="{86E4D8D8-5994-439F-9A2A-AB862C28C3C8}"/>
    <cellStyle name="Currency 5 2 6 4 4" xfId="10123" xr:uid="{A7AFF80F-5C51-4F83-A86A-E2A16A01B491}"/>
    <cellStyle name="Currency 5 2 6 4 5" xfId="18558" xr:uid="{8471A0BD-D60C-4025-A9E5-921460A5448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DBB16608-EDF3-4A42-BF73-2713F0FE9C98}"/>
    <cellStyle name="Currency 5 2 6 5 2 2 3" xfId="25333" xr:uid="{54D2F4FF-220A-41C3-9BF4-E4DC77CD4305}"/>
    <cellStyle name="Currency 5 2 6 5 2 3" xfId="12681" xr:uid="{CB2BF2D2-AA33-4C40-AD2D-741DC923FD9B}"/>
    <cellStyle name="Currency 5 2 6 5 2 4" xfId="21116" xr:uid="{43AF182E-C6C5-4DF1-82DE-858B20994B58}"/>
    <cellStyle name="Currency 5 2 6 5 3" xfId="6304" xr:uid="{00000000-0005-0000-0000-0000780C0000}"/>
    <cellStyle name="Currency 5 2 6 5 3 2" xfId="14754" xr:uid="{A5AA28A4-8B7F-40F0-A5D4-D1192CADAAE5}"/>
    <cellStyle name="Currency 5 2 6 5 3 3" xfId="23188" xr:uid="{A59AA0C5-C85A-4E38-A96F-959DEE003C48}"/>
    <cellStyle name="Currency 5 2 6 5 4" xfId="10536" xr:uid="{CAE628C6-F9C2-4699-BDAF-808E99C61872}"/>
    <cellStyle name="Currency 5 2 6 5 5" xfId="18971" xr:uid="{B85E39F1-0423-4650-95A2-A9ED751FE9C7}"/>
    <cellStyle name="Currency 5 2 6 6" xfId="2433" xr:uid="{00000000-0005-0000-0000-0000790C0000}"/>
    <cellStyle name="Currency 5 2 6 6 2" xfId="6717" xr:uid="{00000000-0005-0000-0000-00007A0C0000}"/>
    <cellStyle name="Currency 5 2 6 6 2 2" xfId="15167" xr:uid="{30BF6AA5-3BCE-4039-A656-F7B2A28982E9}"/>
    <cellStyle name="Currency 5 2 6 6 2 3" xfId="23601" xr:uid="{681BB3D3-7E43-4F89-AAF7-5CAEC4B9D1E7}"/>
    <cellStyle name="Currency 5 2 6 6 3" xfId="10949" xr:uid="{0D788A62-6773-4C22-B5EA-60E6262EC68A}"/>
    <cellStyle name="Currency 5 2 6 6 4" xfId="19384" xr:uid="{039EAE66-4239-4D10-996C-0CE125200080}"/>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6E23C393-1126-4640-AAB3-A514683033A2}"/>
    <cellStyle name="Currency 5 2 6 8 2 3" xfId="23918" xr:uid="{684267F3-E6A9-4E21-A9EB-63FDB9A4A0A5}"/>
    <cellStyle name="Currency 5 2 6 8 3" xfId="11266" xr:uid="{78B75297-63A7-46B8-998B-85D87C267B41}"/>
    <cellStyle name="Currency 5 2 6 8 4" xfId="19701" xr:uid="{A7C071A9-3EBC-4976-952F-5F8481183B1A}"/>
    <cellStyle name="Currency 5 2 6 9" xfId="4651" xr:uid="{00000000-0005-0000-0000-00007E0C0000}"/>
    <cellStyle name="Currency 5 2 6 9 2" xfId="13101" xr:uid="{6245F83A-7EB0-4FC5-AAA8-B276001B040F}"/>
    <cellStyle name="Currency 5 2 6 9 3" xfId="21535" xr:uid="{53B2CE6C-EEA6-4D0F-98BE-25020ECC632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985CEAE6-56A6-4301-B359-59290E24D1E6}"/>
    <cellStyle name="Currency 5 3 2 10 2 3" xfId="23919" xr:uid="{A0878753-683E-4C5F-85EE-591E6B16E0DB}"/>
    <cellStyle name="Currency 5 3 2 10 3" xfId="11267" xr:uid="{F1F6593A-A275-47E2-AA55-4935888B8E36}"/>
    <cellStyle name="Currency 5 3 2 10 4" xfId="19702" xr:uid="{803A108B-7B4E-449D-A7BE-FAB4B786EE11}"/>
    <cellStyle name="Currency 5 3 2 11" xfId="4652" xr:uid="{00000000-0005-0000-0000-0000840C0000}"/>
    <cellStyle name="Currency 5 3 2 11 2" xfId="13102" xr:uid="{CFFEDDC3-5FD2-45DE-9313-0B576EB7088A}"/>
    <cellStyle name="Currency 5 3 2 11 3" xfId="21536" xr:uid="{4828770A-FE20-4D35-AD78-BB94A6F347F2}"/>
    <cellStyle name="Currency 5 3 2 12" xfId="8884" xr:uid="{50CA2BE8-B04A-449D-84EE-DDAB0A9B5854}"/>
    <cellStyle name="Currency 5 3 2 13" xfId="17319" xr:uid="{FB0FCD94-6C41-46C4-87F5-0E4AAE774D51}"/>
    <cellStyle name="Currency 5 3 2 2" xfId="211" xr:uid="{00000000-0005-0000-0000-0000850C0000}"/>
    <cellStyle name="Currency 5 3 2 2 10" xfId="4653" xr:uid="{00000000-0005-0000-0000-0000860C0000}"/>
    <cellStyle name="Currency 5 3 2 2 10 2" xfId="13103" xr:uid="{6C3395F7-4093-4A0F-A755-FBD6A5011839}"/>
    <cellStyle name="Currency 5 3 2 2 10 3" xfId="21537" xr:uid="{0CD38CED-6C46-407D-B8ED-2B314E34334A}"/>
    <cellStyle name="Currency 5 3 2 2 11" xfId="8885" xr:uid="{976EBBE0-438A-4834-9C77-E26EDA21DD5D}"/>
    <cellStyle name="Currency 5 3 2 2 12" xfId="17320" xr:uid="{742A7620-0786-49A2-87E3-10ECE9404E5D}"/>
    <cellStyle name="Currency 5 3 2 2 2" xfId="212" xr:uid="{00000000-0005-0000-0000-0000870C0000}"/>
    <cellStyle name="Currency 5 3 2 2 2 10" xfId="8886" xr:uid="{4BCFE842-BC2B-48E2-8AA7-A660FE0346DC}"/>
    <cellStyle name="Currency 5 3 2 2 2 11" xfId="17321" xr:uid="{DC781412-BE03-444D-A2EC-C5F414598EED}"/>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DAE3A485-305D-4796-93B3-1E35D2FBA789}"/>
    <cellStyle name="Currency 5 3 2 2 2 2 2 2 3" xfId="24097" xr:uid="{549EEF66-3849-48DD-994E-77DC9A0DB84E}"/>
    <cellStyle name="Currency 5 3 2 2 2 2 2 3" xfId="11445" xr:uid="{A7E3D726-62DF-4559-9D12-6527BB172741}"/>
    <cellStyle name="Currency 5 3 2 2 2 2 2 4" xfId="19880" xr:uid="{F83E2A87-5273-42DB-887E-2A6B17475BA7}"/>
    <cellStyle name="Currency 5 3 2 2 2 2 3" xfId="5068" xr:uid="{00000000-0005-0000-0000-00008B0C0000}"/>
    <cellStyle name="Currency 5 3 2 2 2 2 3 2" xfId="13518" xr:uid="{42A855F2-AAF9-484D-B3D7-2161859F560A}"/>
    <cellStyle name="Currency 5 3 2 2 2 2 3 3" xfId="21952" xr:uid="{B9D36DCF-9D58-4E21-B006-686ED3247331}"/>
    <cellStyle name="Currency 5 3 2 2 2 2 4" xfId="9300" xr:uid="{FC06D783-AB1E-4F8F-9BDA-377447AEDCD8}"/>
    <cellStyle name="Currency 5 3 2 2 2 2 5" xfId="17735" xr:uid="{776B61B8-1925-44A3-BD02-B9B75032BDE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C97DBFF7-694B-4F88-AA15-D421AB83D17F}"/>
    <cellStyle name="Currency 5 3 2 2 2 3 2 2 3" xfId="24510" xr:uid="{2704A7B3-FE94-4F28-84C9-AB651D0F4F26}"/>
    <cellStyle name="Currency 5 3 2 2 2 3 2 3" xfId="11858" xr:uid="{624E9BC4-5B6E-4914-AB46-825ECB32E273}"/>
    <cellStyle name="Currency 5 3 2 2 2 3 2 4" xfId="20293" xr:uid="{34F38F7D-CD02-4BF7-9D7E-BB4D198B336B}"/>
    <cellStyle name="Currency 5 3 2 2 2 3 3" xfId="5481" xr:uid="{00000000-0005-0000-0000-00008F0C0000}"/>
    <cellStyle name="Currency 5 3 2 2 2 3 3 2" xfId="13931" xr:uid="{88195909-5931-4E04-806F-1DE7629E76B8}"/>
    <cellStyle name="Currency 5 3 2 2 2 3 3 3" xfId="22365" xr:uid="{0C5E4345-A10A-46C9-A9B9-7C89468C7A34}"/>
    <cellStyle name="Currency 5 3 2 2 2 3 4" xfId="9713" xr:uid="{C073BF24-04D2-4553-BD41-F6E3A4281858}"/>
    <cellStyle name="Currency 5 3 2 2 2 3 5" xfId="18148" xr:uid="{DB12D6BB-006C-4578-BC28-8BA659A6833D}"/>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9A9BFF85-EA25-4C2C-B62F-274D4B4C5630}"/>
    <cellStyle name="Currency 5 3 2 2 2 4 2 2 3" xfId="24923" xr:uid="{61650144-9AEE-49E8-A3DB-908E5EA98D63}"/>
    <cellStyle name="Currency 5 3 2 2 2 4 2 3" xfId="12271" xr:uid="{68EFA5EB-B9D0-4C0E-B784-E4C014B2EA3C}"/>
    <cellStyle name="Currency 5 3 2 2 2 4 2 4" xfId="20706" xr:uid="{BA14AF98-87EE-4B68-BE03-9EF38537C596}"/>
    <cellStyle name="Currency 5 3 2 2 2 4 3" xfId="5894" xr:uid="{00000000-0005-0000-0000-0000930C0000}"/>
    <cellStyle name="Currency 5 3 2 2 2 4 3 2" xfId="14344" xr:uid="{186EAB1A-B148-4384-89F1-D57436A6759B}"/>
    <cellStyle name="Currency 5 3 2 2 2 4 3 3" xfId="22778" xr:uid="{F9B5957C-4654-487C-8930-58C320AEF646}"/>
    <cellStyle name="Currency 5 3 2 2 2 4 4" xfId="10126" xr:uid="{ED8B5A8C-0F06-4646-A8F8-F005384C3616}"/>
    <cellStyle name="Currency 5 3 2 2 2 4 5" xfId="18561" xr:uid="{2EFBFE8F-9380-4355-820A-FC4152487BD1}"/>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5C435B27-8394-451B-A136-16D9626D45AC}"/>
    <cellStyle name="Currency 5 3 2 2 2 5 2 2 3" xfId="25336" xr:uid="{EAE5071E-3234-49B9-9DB6-80DA6D0FD6F4}"/>
    <cellStyle name="Currency 5 3 2 2 2 5 2 3" xfId="12684" xr:uid="{89C39F3F-6BBD-4E9E-93D3-D6185A391C4B}"/>
    <cellStyle name="Currency 5 3 2 2 2 5 2 4" xfId="21119" xr:uid="{8CB33001-A40D-4238-B4B1-BFA2C6D1DF0D}"/>
    <cellStyle name="Currency 5 3 2 2 2 5 3" xfId="6307" xr:uid="{00000000-0005-0000-0000-0000970C0000}"/>
    <cellStyle name="Currency 5 3 2 2 2 5 3 2" xfId="14757" xr:uid="{ECCF3DD2-612D-42A9-823F-427994445AB2}"/>
    <cellStyle name="Currency 5 3 2 2 2 5 3 3" xfId="23191" xr:uid="{C8BAA3D3-6966-4CCC-B0B3-08B817FE46F8}"/>
    <cellStyle name="Currency 5 3 2 2 2 5 4" xfId="10539" xr:uid="{EB61AE96-3C1E-4095-9625-56FCD3056FFE}"/>
    <cellStyle name="Currency 5 3 2 2 2 5 5" xfId="18974" xr:uid="{F23843DD-4727-4ED4-9A64-6DA3E601C675}"/>
    <cellStyle name="Currency 5 3 2 2 2 6" xfId="2436" xr:uid="{00000000-0005-0000-0000-0000980C0000}"/>
    <cellStyle name="Currency 5 3 2 2 2 6 2" xfId="6720" xr:uid="{00000000-0005-0000-0000-0000990C0000}"/>
    <cellStyle name="Currency 5 3 2 2 2 6 2 2" xfId="15170" xr:uid="{32B44849-99BC-4A6F-8EA4-1F08C51E50BC}"/>
    <cellStyle name="Currency 5 3 2 2 2 6 2 3" xfId="23604" xr:uid="{417062B4-7914-4632-A6A5-6724CD8BC6C1}"/>
    <cellStyle name="Currency 5 3 2 2 2 6 3" xfId="10952" xr:uid="{235DFB8F-2BB5-4103-96C2-E53CDC6EDF71}"/>
    <cellStyle name="Currency 5 3 2 2 2 6 4" xfId="19387" xr:uid="{714CCCFA-BB70-4095-BCA6-35E5789361A4}"/>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3B2FF99D-A3A0-41CC-BB11-8BF94D49A53C}"/>
    <cellStyle name="Currency 5 3 2 2 2 8 2 3" xfId="23921" xr:uid="{72C79DA4-CEB7-47EC-A7FD-657EC6A34D5E}"/>
    <cellStyle name="Currency 5 3 2 2 2 8 3" xfId="11269" xr:uid="{D057CCD9-E552-45BF-B9C4-D6ABB0E091B5}"/>
    <cellStyle name="Currency 5 3 2 2 2 8 4" xfId="19704" xr:uid="{3AC957FC-101B-48D1-8CC7-04791781EB12}"/>
    <cellStyle name="Currency 5 3 2 2 2 9" xfId="4654" xr:uid="{00000000-0005-0000-0000-00009D0C0000}"/>
    <cellStyle name="Currency 5 3 2 2 2 9 2" xfId="13104" xr:uid="{83278D49-FCBE-4E5C-9719-249FADC55AA7}"/>
    <cellStyle name="Currency 5 3 2 2 2 9 3" xfId="21538" xr:uid="{0CE6F5A2-256F-4D1A-B4F2-BD617C9646A7}"/>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EFE10558-803A-46DD-AA68-9A28ECED4FA1}"/>
    <cellStyle name="Currency 5 3 2 2 3 2 2 3" xfId="24096" xr:uid="{222E81B1-9BD6-411F-A10B-8DAFF80319DD}"/>
    <cellStyle name="Currency 5 3 2 2 3 2 3" xfId="11444" xr:uid="{FE5F1807-535D-423B-9C89-7975AD7A9E3B}"/>
    <cellStyle name="Currency 5 3 2 2 3 2 4" xfId="19879" xr:uid="{94CF7A12-0E50-4D0E-A6FC-02D08A954901}"/>
    <cellStyle name="Currency 5 3 2 2 3 3" xfId="5067" xr:uid="{00000000-0005-0000-0000-0000A10C0000}"/>
    <cellStyle name="Currency 5 3 2 2 3 3 2" xfId="13517" xr:uid="{C54BAEB3-0BB0-4C4B-8CDF-D365F7BA8C95}"/>
    <cellStyle name="Currency 5 3 2 2 3 3 3" xfId="21951" xr:uid="{D9938664-1CFA-423D-AB5A-732E2BDEA0AB}"/>
    <cellStyle name="Currency 5 3 2 2 3 4" xfId="9299" xr:uid="{7B3130B8-45CE-4042-8F34-C4513F079E23}"/>
    <cellStyle name="Currency 5 3 2 2 3 5" xfId="17734" xr:uid="{E29C2A7D-EBC2-40D7-A800-52A82C5194FF}"/>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C1A238C2-B06F-4AFF-B20B-610634D95F41}"/>
    <cellStyle name="Currency 5 3 2 2 4 2 2 3" xfId="24509" xr:uid="{07436BB5-6F2B-4F2E-8D2B-35DBEB9FBFC6}"/>
    <cellStyle name="Currency 5 3 2 2 4 2 3" xfId="11857" xr:uid="{B57BBF04-B868-4509-9B3B-0C0C6544F6F0}"/>
    <cellStyle name="Currency 5 3 2 2 4 2 4" xfId="20292" xr:uid="{BAF775AF-7098-4418-B86F-CD2D986CE842}"/>
    <cellStyle name="Currency 5 3 2 2 4 3" xfId="5480" xr:uid="{00000000-0005-0000-0000-0000A50C0000}"/>
    <cellStyle name="Currency 5 3 2 2 4 3 2" xfId="13930" xr:uid="{71CB8141-E90C-4F1D-BDFB-ED12F6D6C8A4}"/>
    <cellStyle name="Currency 5 3 2 2 4 3 3" xfId="22364" xr:uid="{07E0EA27-E1B3-43B6-B383-00DECA057AC9}"/>
    <cellStyle name="Currency 5 3 2 2 4 4" xfId="9712" xr:uid="{E36D4794-8995-4773-9896-A7068041FF1B}"/>
    <cellStyle name="Currency 5 3 2 2 4 5" xfId="18147" xr:uid="{8A77DF7E-72F6-4AAA-AF9D-C7BB3FCFB093}"/>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E9DEFF93-EE7B-4AD8-9CE4-419675F21A03}"/>
    <cellStyle name="Currency 5 3 2 2 5 2 2 3" xfId="24922" xr:uid="{2BF5B548-5746-4134-BD32-91CA9576A5FA}"/>
    <cellStyle name="Currency 5 3 2 2 5 2 3" xfId="12270" xr:uid="{D0CC339D-00DA-4E7A-AE94-4E10DCAB8F5B}"/>
    <cellStyle name="Currency 5 3 2 2 5 2 4" xfId="20705" xr:uid="{C6C3008F-D91A-47CA-AFA1-D4ED15BE6C81}"/>
    <cellStyle name="Currency 5 3 2 2 5 3" xfId="5893" xr:uid="{00000000-0005-0000-0000-0000A90C0000}"/>
    <cellStyle name="Currency 5 3 2 2 5 3 2" xfId="14343" xr:uid="{ABF8A2BD-65AF-4DFF-91F2-E8FA68EC713E}"/>
    <cellStyle name="Currency 5 3 2 2 5 3 3" xfId="22777" xr:uid="{5F6776E3-E0C2-4C3F-AD15-A1427616961C}"/>
    <cellStyle name="Currency 5 3 2 2 5 4" xfId="10125" xr:uid="{17378A12-DE76-467F-9FC2-50305006D4EA}"/>
    <cellStyle name="Currency 5 3 2 2 5 5" xfId="18560" xr:uid="{FB92D00F-23C8-48A2-9A3D-15DC03433C2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9FE16538-DB75-4014-B03F-EF6FC8BCF92A}"/>
    <cellStyle name="Currency 5 3 2 2 6 2 2 3" xfId="25335" xr:uid="{E20B253C-7374-45AE-8943-DF3602C33C7C}"/>
    <cellStyle name="Currency 5 3 2 2 6 2 3" xfId="12683" xr:uid="{CF657C8D-384A-4827-A133-F40EEF3A073E}"/>
    <cellStyle name="Currency 5 3 2 2 6 2 4" xfId="21118" xr:uid="{916804BD-C7BF-4AAF-846D-E2D875275B93}"/>
    <cellStyle name="Currency 5 3 2 2 6 3" xfId="6306" xr:uid="{00000000-0005-0000-0000-0000AD0C0000}"/>
    <cellStyle name="Currency 5 3 2 2 6 3 2" xfId="14756" xr:uid="{3B5D7884-27DC-4DE9-96F5-4370D46A94B4}"/>
    <cellStyle name="Currency 5 3 2 2 6 3 3" xfId="23190" xr:uid="{04EEB187-B873-4165-B8AE-29020EE9F8A3}"/>
    <cellStyle name="Currency 5 3 2 2 6 4" xfId="10538" xr:uid="{522BD753-D8AB-4822-BC3A-96EEA9F3A3A6}"/>
    <cellStyle name="Currency 5 3 2 2 6 5" xfId="18973" xr:uid="{700F1E81-EB26-442C-B236-35D56952D39D}"/>
    <cellStyle name="Currency 5 3 2 2 7" xfId="2435" xr:uid="{00000000-0005-0000-0000-0000AE0C0000}"/>
    <cellStyle name="Currency 5 3 2 2 7 2" xfId="6719" xr:uid="{00000000-0005-0000-0000-0000AF0C0000}"/>
    <cellStyle name="Currency 5 3 2 2 7 2 2" xfId="15169" xr:uid="{EC64CDC3-CFB4-4807-B60D-53038AC4FF78}"/>
    <cellStyle name="Currency 5 3 2 2 7 2 3" xfId="23603" xr:uid="{6390B3FF-34E0-47C4-BC22-743805C0A950}"/>
    <cellStyle name="Currency 5 3 2 2 7 3" xfId="10951" xr:uid="{68C911BB-4AC1-4AE2-B0DD-31DEF56B7718}"/>
    <cellStyle name="Currency 5 3 2 2 7 4" xfId="19386" xr:uid="{D5D57B2C-672B-41A7-A4A3-CC53B7F57438}"/>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577C4BBD-04FD-4FBD-B1A1-C9B77AD0311C}"/>
    <cellStyle name="Currency 5 3 2 2 9 2 3" xfId="23920" xr:uid="{C78AC4E1-E875-47A7-A595-A85A78993A3F}"/>
    <cellStyle name="Currency 5 3 2 2 9 3" xfId="11268" xr:uid="{430EAB58-7C16-4C89-AC44-0C52FE8F767C}"/>
    <cellStyle name="Currency 5 3 2 2 9 4" xfId="19703" xr:uid="{156762FB-DB84-494D-9388-23614B8CDF90}"/>
    <cellStyle name="Currency 5 3 2 3" xfId="213" xr:uid="{00000000-0005-0000-0000-0000B30C0000}"/>
    <cellStyle name="Currency 5 3 2 3 10" xfId="8887" xr:uid="{FC577AA4-B875-43A6-8A66-F70F659E0F59}"/>
    <cellStyle name="Currency 5 3 2 3 11" xfId="17322" xr:uid="{417480B8-2DAE-4149-BA9A-4A9F3BE6E27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305439AB-DA50-49AF-9A38-4DC86C7BFAA9}"/>
    <cellStyle name="Currency 5 3 2 3 2 2 2 3" xfId="24098" xr:uid="{1FC8B33A-C12A-4B71-A7A9-AC1E18F69C49}"/>
    <cellStyle name="Currency 5 3 2 3 2 2 3" xfId="11446" xr:uid="{59047F89-4C82-4454-940E-65F6EF5B83B7}"/>
    <cellStyle name="Currency 5 3 2 3 2 2 4" xfId="19881" xr:uid="{AC3FC37D-B554-49ED-9821-39B127EF6298}"/>
    <cellStyle name="Currency 5 3 2 3 2 3" xfId="5069" xr:uid="{00000000-0005-0000-0000-0000B70C0000}"/>
    <cellStyle name="Currency 5 3 2 3 2 3 2" xfId="13519" xr:uid="{1B98A9A8-211E-4502-BE1F-F3F7E936B1F2}"/>
    <cellStyle name="Currency 5 3 2 3 2 3 3" xfId="21953" xr:uid="{E54ED335-DFB3-42A3-84A4-0952998A1B3E}"/>
    <cellStyle name="Currency 5 3 2 3 2 4" xfId="9301" xr:uid="{FEE1D8AE-B040-430F-80BB-6631631F590C}"/>
    <cellStyle name="Currency 5 3 2 3 2 5" xfId="17736" xr:uid="{544CF411-E528-4EDF-A796-624E189A25D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D84A30D4-95E9-4C24-88FA-DDBB5CB83B44}"/>
    <cellStyle name="Currency 5 3 2 3 3 2 2 3" xfId="24511" xr:uid="{34354FAA-0103-44BD-B0F8-82F73BC65B35}"/>
    <cellStyle name="Currency 5 3 2 3 3 2 3" xfId="11859" xr:uid="{7722FF66-E6B9-46C7-8610-E33A1562B126}"/>
    <cellStyle name="Currency 5 3 2 3 3 2 4" xfId="20294" xr:uid="{BC0C8352-089A-4DE4-A173-593AC769F7D2}"/>
    <cellStyle name="Currency 5 3 2 3 3 3" xfId="5482" xr:uid="{00000000-0005-0000-0000-0000BB0C0000}"/>
    <cellStyle name="Currency 5 3 2 3 3 3 2" xfId="13932" xr:uid="{05D257D6-FA21-46E0-8376-82981A21DA7A}"/>
    <cellStyle name="Currency 5 3 2 3 3 3 3" xfId="22366" xr:uid="{EE65FEAB-BC8F-40C2-AE8D-C64D1677FFDB}"/>
    <cellStyle name="Currency 5 3 2 3 3 4" xfId="9714" xr:uid="{C9627D12-E0E3-406D-8356-FE9C6CAEF6B3}"/>
    <cellStyle name="Currency 5 3 2 3 3 5" xfId="18149" xr:uid="{DD82C9CE-5466-4762-9FF0-2556437F2D34}"/>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913F1ABB-7B66-4D6A-843A-CE2FB2F2E8A1}"/>
    <cellStyle name="Currency 5 3 2 3 4 2 2 3" xfId="24924" xr:uid="{86198CE4-168D-482A-B1BD-F8A13E2B38CB}"/>
    <cellStyle name="Currency 5 3 2 3 4 2 3" xfId="12272" xr:uid="{364A293E-FE93-48F9-8EEB-5249881441BA}"/>
    <cellStyle name="Currency 5 3 2 3 4 2 4" xfId="20707" xr:uid="{F64E9FFC-858E-4470-AE81-DA26BD4B7BD8}"/>
    <cellStyle name="Currency 5 3 2 3 4 3" xfId="5895" xr:uid="{00000000-0005-0000-0000-0000BF0C0000}"/>
    <cellStyle name="Currency 5 3 2 3 4 3 2" xfId="14345" xr:uid="{C9B4191F-2EE5-42B5-8249-21C6E297CCE1}"/>
    <cellStyle name="Currency 5 3 2 3 4 3 3" xfId="22779" xr:uid="{BE02B4FF-7032-4F79-91C0-C9B119003A65}"/>
    <cellStyle name="Currency 5 3 2 3 4 4" xfId="10127" xr:uid="{2A6B5307-13FF-4E6F-B825-85EF03248120}"/>
    <cellStyle name="Currency 5 3 2 3 4 5" xfId="18562" xr:uid="{43D7F6A4-4082-445F-8303-78DFCC3EAC29}"/>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54A115F2-80EB-497F-965A-9DB5601B9A57}"/>
    <cellStyle name="Currency 5 3 2 3 5 2 2 3" xfId="25337" xr:uid="{CBC25D1E-7F4E-4CC4-BDB1-360BA7C280DB}"/>
    <cellStyle name="Currency 5 3 2 3 5 2 3" xfId="12685" xr:uid="{6BD1400A-8629-440F-AD90-C0A8E15DF3CF}"/>
    <cellStyle name="Currency 5 3 2 3 5 2 4" xfId="21120" xr:uid="{4C4A801C-3A9F-499C-B2CD-AC85A932BB19}"/>
    <cellStyle name="Currency 5 3 2 3 5 3" xfId="6308" xr:uid="{00000000-0005-0000-0000-0000C30C0000}"/>
    <cellStyle name="Currency 5 3 2 3 5 3 2" xfId="14758" xr:uid="{8C97DF2E-6873-4AE6-AB53-48E74EB577C0}"/>
    <cellStyle name="Currency 5 3 2 3 5 3 3" xfId="23192" xr:uid="{698546D1-2568-453D-9275-D504BB68D35C}"/>
    <cellStyle name="Currency 5 3 2 3 5 4" xfId="10540" xr:uid="{18830D1A-9568-4C27-A2B2-FC7010CB50A5}"/>
    <cellStyle name="Currency 5 3 2 3 5 5" xfId="18975" xr:uid="{3957285C-AEB9-4CA7-AD7F-43BC904634E2}"/>
    <cellStyle name="Currency 5 3 2 3 6" xfId="2437" xr:uid="{00000000-0005-0000-0000-0000C40C0000}"/>
    <cellStyle name="Currency 5 3 2 3 6 2" xfId="6721" xr:uid="{00000000-0005-0000-0000-0000C50C0000}"/>
    <cellStyle name="Currency 5 3 2 3 6 2 2" xfId="15171" xr:uid="{619E9DFC-572A-41DF-8B37-44F73A0349E0}"/>
    <cellStyle name="Currency 5 3 2 3 6 2 3" xfId="23605" xr:uid="{0BCECC2E-9573-4757-8554-775DBDBF3E5C}"/>
    <cellStyle name="Currency 5 3 2 3 6 3" xfId="10953" xr:uid="{7B93908A-9BC1-4EFD-A357-EFB7F1817B22}"/>
    <cellStyle name="Currency 5 3 2 3 6 4" xfId="19388" xr:uid="{7AB7E0D0-6F69-417B-9760-D9E4507CFA39}"/>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F82C57C5-94D2-4FEE-82CC-B9AB2F87EAE5}"/>
    <cellStyle name="Currency 5 3 2 3 8 2 3" xfId="23922" xr:uid="{FD488382-E6F2-459F-8213-A4F0DB8C4453}"/>
    <cellStyle name="Currency 5 3 2 3 8 3" xfId="11270" xr:uid="{EE19EF75-FDB3-4784-BD27-B1CBD8956222}"/>
    <cellStyle name="Currency 5 3 2 3 8 4" xfId="19705" xr:uid="{AEA40910-EC96-4D3E-9DBF-CB4F38032CBB}"/>
    <cellStyle name="Currency 5 3 2 3 9" xfId="4655" xr:uid="{00000000-0005-0000-0000-0000C90C0000}"/>
    <cellStyle name="Currency 5 3 2 3 9 2" xfId="13105" xr:uid="{5402928A-9E31-402C-8EE9-07B957918544}"/>
    <cellStyle name="Currency 5 3 2 3 9 3" xfId="21539" xr:uid="{E4E710F2-F7FE-4495-BAD1-1BC3B50C62E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281CF130-9BE0-4EA3-B5F2-C3168301EE80}"/>
    <cellStyle name="Currency 5 3 2 4 2 2 3" xfId="24095" xr:uid="{EDF33543-DA4E-4AEE-9ECE-FD85351206DF}"/>
    <cellStyle name="Currency 5 3 2 4 2 3" xfId="11443" xr:uid="{B600F21F-B4B7-419F-9541-7AFB47365559}"/>
    <cellStyle name="Currency 5 3 2 4 2 4" xfId="19878" xr:uid="{0BF53702-2FEE-4CBE-8861-086071D30D47}"/>
    <cellStyle name="Currency 5 3 2 4 3" xfId="5066" xr:uid="{00000000-0005-0000-0000-0000CD0C0000}"/>
    <cellStyle name="Currency 5 3 2 4 3 2" xfId="13516" xr:uid="{237C97AF-F628-4D46-B2F7-4E3F603BE06D}"/>
    <cellStyle name="Currency 5 3 2 4 3 3" xfId="21950" xr:uid="{14224D92-E170-4DAD-92F4-9F90342BB72D}"/>
    <cellStyle name="Currency 5 3 2 4 4" xfId="9298" xr:uid="{AB843122-4B5E-456F-ACBB-CFDF505E0496}"/>
    <cellStyle name="Currency 5 3 2 4 5" xfId="17733" xr:uid="{C5D14C99-5B82-4392-83BE-A764DB5298DF}"/>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F8EB984D-5C0A-40D6-9244-719F182AC26B}"/>
    <cellStyle name="Currency 5 3 2 5 2 2 3" xfId="24508" xr:uid="{F2FEACF8-65F6-4F2F-8418-0FC576C29219}"/>
    <cellStyle name="Currency 5 3 2 5 2 3" xfId="11856" xr:uid="{5D089907-32D3-4A7E-8C83-118ACBEDDE91}"/>
    <cellStyle name="Currency 5 3 2 5 2 4" xfId="20291" xr:uid="{D5C19B67-4899-4C07-80F4-0E2B8A24861A}"/>
    <cellStyle name="Currency 5 3 2 5 3" xfId="5479" xr:uid="{00000000-0005-0000-0000-0000D10C0000}"/>
    <cellStyle name="Currency 5 3 2 5 3 2" xfId="13929" xr:uid="{201380F4-865E-46CC-9B2F-8A56A50B9A30}"/>
    <cellStyle name="Currency 5 3 2 5 3 3" xfId="22363" xr:uid="{B55FF532-5F8A-476E-BF34-4AF80FD3725B}"/>
    <cellStyle name="Currency 5 3 2 5 4" xfId="9711" xr:uid="{F724D565-9D7F-44F7-9BAE-29B5B064BEC9}"/>
    <cellStyle name="Currency 5 3 2 5 5" xfId="18146" xr:uid="{EA57F166-8D15-4D79-9120-FF6EE2AA05C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4601419C-9B31-4779-9EC7-410C81E28780}"/>
    <cellStyle name="Currency 5 3 2 6 2 2 3" xfId="24921" xr:uid="{F2DB8E4B-AEC9-4C04-84D5-955621AC0A3C}"/>
    <cellStyle name="Currency 5 3 2 6 2 3" xfId="12269" xr:uid="{BCE4C758-49F6-4809-956E-32E521D5BA39}"/>
    <cellStyle name="Currency 5 3 2 6 2 4" xfId="20704" xr:uid="{7D95E93B-6B42-49C6-BED5-3CCD9538C2DB}"/>
    <cellStyle name="Currency 5 3 2 6 3" xfId="5892" xr:uid="{00000000-0005-0000-0000-0000D50C0000}"/>
    <cellStyle name="Currency 5 3 2 6 3 2" xfId="14342" xr:uid="{B35065D1-9933-41DA-8D9E-DA225AF6103F}"/>
    <cellStyle name="Currency 5 3 2 6 3 3" xfId="22776" xr:uid="{6E1E3706-16A0-4FAF-AC33-B22D7729EDDC}"/>
    <cellStyle name="Currency 5 3 2 6 4" xfId="10124" xr:uid="{0AA231E1-B1C4-4430-8FEB-50BAD9DA75CA}"/>
    <cellStyle name="Currency 5 3 2 6 5" xfId="18559" xr:uid="{E053192D-15F6-4114-A6CD-10214BD24F2D}"/>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0A32AE7A-1A50-42CD-A5C3-E3FED450775E}"/>
    <cellStyle name="Currency 5 3 2 7 2 2 3" xfId="25334" xr:uid="{D170E64F-1E33-4984-A252-49405DA196EE}"/>
    <cellStyle name="Currency 5 3 2 7 2 3" xfId="12682" xr:uid="{5D1D9A4D-398B-4E1B-9EB8-93DDD912A9F2}"/>
    <cellStyle name="Currency 5 3 2 7 2 4" xfId="21117" xr:uid="{41EE941C-F00D-48AC-8CE9-C06A071378F2}"/>
    <cellStyle name="Currency 5 3 2 7 3" xfId="6305" xr:uid="{00000000-0005-0000-0000-0000D90C0000}"/>
    <cellStyle name="Currency 5 3 2 7 3 2" xfId="14755" xr:uid="{2D13496C-E04E-4E9E-8F18-5E948DC329BA}"/>
    <cellStyle name="Currency 5 3 2 7 3 3" xfId="23189" xr:uid="{D3AEEE6D-63F2-4A72-8762-ABB749C0C9CD}"/>
    <cellStyle name="Currency 5 3 2 7 4" xfId="10537" xr:uid="{F68B1177-F3A3-431B-9354-03EEA71520B3}"/>
    <cellStyle name="Currency 5 3 2 7 5" xfId="18972" xr:uid="{4C6E9D95-EE8C-4F9A-95D0-B41D1BD6D807}"/>
    <cellStyle name="Currency 5 3 2 8" xfId="2434" xr:uid="{00000000-0005-0000-0000-0000DA0C0000}"/>
    <cellStyle name="Currency 5 3 2 8 2" xfId="6718" xr:uid="{00000000-0005-0000-0000-0000DB0C0000}"/>
    <cellStyle name="Currency 5 3 2 8 2 2" xfId="15168" xr:uid="{A75EC620-214A-4714-B762-43EEDEBB7AA0}"/>
    <cellStyle name="Currency 5 3 2 8 2 3" xfId="23602" xr:uid="{7D031267-5B4B-43D4-8C69-56F62B42F15B}"/>
    <cellStyle name="Currency 5 3 2 8 3" xfId="10950" xr:uid="{58EB7021-A98B-4EE6-B12C-944BFBDD5FF5}"/>
    <cellStyle name="Currency 5 3 2 8 4" xfId="19385" xr:uid="{AA6CB25F-F754-43BF-AE9B-238D84DF81C4}"/>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1F7F28A3-0F22-46B9-9DD7-5C03EB0BACA7}"/>
    <cellStyle name="Currency 5 3 3 10 3" xfId="21540" xr:uid="{66F7D89A-F07E-42D0-8A0D-D1C120030E1F}"/>
    <cellStyle name="Currency 5 3 3 11" xfId="8888" xr:uid="{B1DE496A-149E-4B0C-9571-B8FABDD9F0C4}"/>
    <cellStyle name="Currency 5 3 3 12" xfId="17323" xr:uid="{928460C3-D5E4-4F2B-BA4B-C07910710A5E}"/>
    <cellStyle name="Currency 5 3 3 2" xfId="215" xr:uid="{00000000-0005-0000-0000-0000DF0C0000}"/>
    <cellStyle name="Currency 5 3 3 2 10" xfId="8889" xr:uid="{B04D5DD4-EE61-41E8-B394-6D44E5277F60}"/>
    <cellStyle name="Currency 5 3 3 2 11" xfId="17324" xr:uid="{609A09EF-9C24-4181-AFFD-706046B2B19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B6451CB9-4A38-4C8F-8E82-460F07E3A28E}"/>
    <cellStyle name="Currency 5 3 3 2 2 2 2 3" xfId="24100" xr:uid="{D11ECCB6-F707-454D-A4F6-9385B348837D}"/>
    <cellStyle name="Currency 5 3 3 2 2 2 3" xfId="11448" xr:uid="{66AC05BD-2ACA-441E-AE2A-43F92595F22E}"/>
    <cellStyle name="Currency 5 3 3 2 2 2 4" xfId="19883" xr:uid="{3C069E86-5597-4F79-9EC7-D434BB5F8451}"/>
    <cellStyle name="Currency 5 3 3 2 2 3" xfId="5071" xr:uid="{00000000-0005-0000-0000-0000E30C0000}"/>
    <cellStyle name="Currency 5 3 3 2 2 3 2" xfId="13521" xr:uid="{426F5404-DD1D-4A7B-92B3-355EC0FCA669}"/>
    <cellStyle name="Currency 5 3 3 2 2 3 3" xfId="21955" xr:uid="{98F6E549-EA82-435A-BA89-D3690F487D58}"/>
    <cellStyle name="Currency 5 3 3 2 2 4" xfId="9303" xr:uid="{5006FA6A-99AF-4FA7-8898-31DA282911A9}"/>
    <cellStyle name="Currency 5 3 3 2 2 5" xfId="17738" xr:uid="{11CFF612-D3C5-4E6C-B404-FA1EB6501EF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3677644C-30AD-47A0-AE96-9DF738546606}"/>
    <cellStyle name="Currency 5 3 3 2 3 2 2 3" xfId="24513" xr:uid="{745D4FDA-9E16-4D71-A208-56C97193038C}"/>
    <cellStyle name="Currency 5 3 3 2 3 2 3" xfId="11861" xr:uid="{24ACB55C-980F-441D-B176-ED812D49F1C7}"/>
    <cellStyle name="Currency 5 3 3 2 3 2 4" xfId="20296" xr:uid="{A2BB8AC4-F2BF-425E-85CF-B5D4445E99D7}"/>
    <cellStyle name="Currency 5 3 3 2 3 3" xfId="5484" xr:uid="{00000000-0005-0000-0000-0000E70C0000}"/>
    <cellStyle name="Currency 5 3 3 2 3 3 2" xfId="13934" xr:uid="{075FF3E6-5CF2-4243-ACE7-C2E8427C6620}"/>
    <cellStyle name="Currency 5 3 3 2 3 3 3" xfId="22368" xr:uid="{10CF88A1-135E-42DE-9BE6-498C9F3F7B0B}"/>
    <cellStyle name="Currency 5 3 3 2 3 4" xfId="9716" xr:uid="{F1C8645F-61D6-439E-B589-522526D2C524}"/>
    <cellStyle name="Currency 5 3 3 2 3 5" xfId="18151" xr:uid="{75E9976E-6F79-4BBB-8643-B00821BAD841}"/>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74B658A-1742-4309-B31E-0E7470932621}"/>
    <cellStyle name="Currency 5 3 3 2 4 2 2 3" xfId="24926" xr:uid="{9D76653E-6680-47F1-AA77-C1361EB035B9}"/>
    <cellStyle name="Currency 5 3 3 2 4 2 3" xfId="12274" xr:uid="{57DA7038-BF77-46AA-9850-4BD2E822D587}"/>
    <cellStyle name="Currency 5 3 3 2 4 2 4" xfId="20709" xr:uid="{CD0DC553-1584-45E4-A700-9F4FD0D09C92}"/>
    <cellStyle name="Currency 5 3 3 2 4 3" xfId="5897" xr:uid="{00000000-0005-0000-0000-0000EB0C0000}"/>
    <cellStyle name="Currency 5 3 3 2 4 3 2" xfId="14347" xr:uid="{76FEEC2C-3147-48F9-B6FA-1FEC589F6149}"/>
    <cellStyle name="Currency 5 3 3 2 4 3 3" xfId="22781" xr:uid="{DA357539-5563-4934-9063-371402A2948D}"/>
    <cellStyle name="Currency 5 3 3 2 4 4" xfId="10129" xr:uid="{8A560D58-7A5C-4BDD-B25F-E7FA469975EA}"/>
    <cellStyle name="Currency 5 3 3 2 4 5" xfId="18564" xr:uid="{208D0E10-E97F-43B9-A29B-E8C985C2047C}"/>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A5E20A03-5F57-4A5F-8083-C972489CFD9A}"/>
    <cellStyle name="Currency 5 3 3 2 5 2 2 3" xfId="25339" xr:uid="{7F40A989-0740-4C2F-AE08-155BF160103F}"/>
    <cellStyle name="Currency 5 3 3 2 5 2 3" xfId="12687" xr:uid="{4D5B636A-8C48-41DD-995A-0B3B1AEAAE03}"/>
    <cellStyle name="Currency 5 3 3 2 5 2 4" xfId="21122" xr:uid="{405997C6-DF6D-4667-B713-9D486D07C4C2}"/>
    <cellStyle name="Currency 5 3 3 2 5 3" xfId="6310" xr:uid="{00000000-0005-0000-0000-0000EF0C0000}"/>
    <cellStyle name="Currency 5 3 3 2 5 3 2" xfId="14760" xr:uid="{3A865F8E-84D9-469C-A5B3-0905729DF310}"/>
    <cellStyle name="Currency 5 3 3 2 5 3 3" xfId="23194" xr:uid="{B025A054-3370-4E5D-AB23-87905E1A5071}"/>
    <cellStyle name="Currency 5 3 3 2 5 4" xfId="10542" xr:uid="{468A2B51-AB37-405E-BDC4-150C4A1BEC26}"/>
    <cellStyle name="Currency 5 3 3 2 5 5" xfId="18977" xr:uid="{60F0E3F2-2F18-452C-BFCF-527DAE7A2970}"/>
    <cellStyle name="Currency 5 3 3 2 6" xfId="2439" xr:uid="{00000000-0005-0000-0000-0000F00C0000}"/>
    <cellStyle name="Currency 5 3 3 2 6 2" xfId="6723" xr:uid="{00000000-0005-0000-0000-0000F10C0000}"/>
    <cellStyle name="Currency 5 3 3 2 6 2 2" xfId="15173" xr:uid="{86BF0BAE-C74C-4498-9CCD-8B57C9B81811}"/>
    <cellStyle name="Currency 5 3 3 2 6 2 3" xfId="23607" xr:uid="{C3F43547-9BDB-4D10-94FC-55382307FA65}"/>
    <cellStyle name="Currency 5 3 3 2 6 3" xfId="10955" xr:uid="{291B5D34-7142-428A-8DB3-E688D14E373A}"/>
    <cellStyle name="Currency 5 3 3 2 6 4" xfId="19390" xr:uid="{F8473E30-207B-4E5F-B72A-FDBB77F4F5C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C4A20CB2-9F78-4875-BFCE-FB35048E1DD9}"/>
    <cellStyle name="Currency 5 3 3 2 8 2 3" xfId="23924" xr:uid="{77A3E75D-90BD-44E2-8F38-A1DEDCDBB8DC}"/>
    <cellStyle name="Currency 5 3 3 2 8 3" xfId="11272" xr:uid="{A7B64CFB-03AE-452C-9159-2193B0D2F4B1}"/>
    <cellStyle name="Currency 5 3 3 2 8 4" xfId="19707" xr:uid="{779C6C13-F87C-4EAE-9F3F-0C553969C2EA}"/>
    <cellStyle name="Currency 5 3 3 2 9" xfId="4657" xr:uid="{00000000-0005-0000-0000-0000F50C0000}"/>
    <cellStyle name="Currency 5 3 3 2 9 2" xfId="13107" xr:uid="{06DE82CD-C8D9-4B9B-9C20-C018E927DD5D}"/>
    <cellStyle name="Currency 5 3 3 2 9 3" xfId="21541" xr:uid="{14972A85-9675-463E-9BA9-6F6774136D7C}"/>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4415BBE2-44C2-457E-8DB9-AA1A37AC0703}"/>
    <cellStyle name="Currency 5 3 3 3 2 2 3" xfId="24099" xr:uid="{EA0D6E4C-C04D-410A-9807-7892E369B50C}"/>
    <cellStyle name="Currency 5 3 3 3 2 3" xfId="11447" xr:uid="{1C2AF7BC-A6AC-4FBA-9B68-E56505303371}"/>
    <cellStyle name="Currency 5 3 3 3 2 4" xfId="19882" xr:uid="{5F03EFC1-A901-431B-840E-6405B80C44E8}"/>
    <cellStyle name="Currency 5 3 3 3 3" xfId="5070" xr:uid="{00000000-0005-0000-0000-0000F90C0000}"/>
    <cellStyle name="Currency 5 3 3 3 3 2" xfId="13520" xr:uid="{AB57A283-46C3-41D2-A891-F661F3955466}"/>
    <cellStyle name="Currency 5 3 3 3 3 3" xfId="21954" xr:uid="{1D68909B-FCF5-41FF-ADF1-1DC8421F2E55}"/>
    <cellStyle name="Currency 5 3 3 3 4" xfId="9302" xr:uid="{2ED62EE3-0AED-41B7-8F9D-EC62803E93F9}"/>
    <cellStyle name="Currency 5 3 3 3 5" xfId="17737" xr:uid="{DCB9AD6A-90E8-455A-A0BA-BF4F1A39A5FC}"/>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1E524ECA-D0E1-49E3-A889-60BDC65C247D}"/>
    <cellStyle name="Currency 5 3 3 4 2 2 3" xfId="24512" xr:uid="{010457C8-96FD-4C67-9208-746611F16700}"/>
    <cellStyle name="Currency 5 3 3 4 2 3" xfId="11860" xr:uid="{65AD7A81-8D07-4E69-90B5-E4AA66127879}"/>
    <cellStyle name="Currency 5 3 3 4 2 4" xfId="20295" xr:uid="{9F4AA9F1-F3A1-47ED-8B24-307610A4F25A}"/>
    <cellStyle name="Currency 5 3 3 4 3" xfId="5483" xr:uid="{00000000-0005-0000-0000-0000FD0C0000}"/>
    <cellStyle name="Currency 5 3 3 4 3 2" xfId="13933" xr:uid="{189CCCFA-C934-4289-959B-6FEB27C8ABC1}"/>
    <cellStyle name="Currency 5 3 3 4 3 3" xfId="22367" xr:uid="{96516AA8-39BF-4AC7-A456-11291F9CB46D}"/>
    <cellStyle name="Currency 5 3 3 4 4" xfId="9715" xr:uid="{1FE42A18-CDFD-43BC-927E-FA91FBB5958A}"/>
    <cellStyle name="Currency 5 3 3 4 5" xfId="18150" xr:uid="{1FB0DD6E-661B-4623-809A-E3E787BBD59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7B9AD875-6C91-41D8-89D2-E12BEB81621C}"/>
    <cellStyle name="Currency 5 3 3 5 2 2 3" xfId="24925" xr:uid="{35DD7C11-1AFB-46DD-82AD-9B4D8EFE1FBD}"/>
    <cellStyle name="Currency 5 3 3 5 2 3" xfId="12273" xr:uid="{FB3564AD-37CB-4EA2-BFDB-92BE678EAF95}"/>
    <cellStyle name="Currency 5 3 3 5 2 4" xfId="20708" xr:uid="{680819D0-4CB4-4F08-92A3-A7AE9C7A3120}"/>
    <cellStyle name="Currency 5 3 3 5 3" xfId="5896" xr:uid="{00000000-0005-0000-0000-0000010D0000}"/>
    <cellStyle name="Currency 5 3 3 5 3 2" xfId="14346" xr:uid="{F3D3672A-9AEF-40CB-8C22-CA8E971FC8F5}"/>
    <cellStyle name="Currency 5 3 3 5 3 3" xfId="22780" xr:uid="{1C406600-054F-4EC2-B4E6-619782A98C0F}"/>
    <cellStyle name="Currency 5 3 3 5 4" xfId="10128" xr:uid="{982D23D3-0380-411D-ACF7-8BFE8FB56BC8}"/>
    <cellStyle name="Currency 5 3 3 5 5" xfId="18563" xr:uid="{611B91B0-CE26-4EE1-B0BC-1D998DC600B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D4ADF924-0DEE-4C01-8D35-4D3818F2D8FF}"/>
    <cellStyle name="Currency 5 3 3 6 2 2 3" xfId="25338" xr:uid="{D88AD0A2-1A90-46AB-A87E-36243C775BDD}"/>
    <cellStyle name="Currency 5 3 3 6 2 3" xfId="12686" xr:uid="{D6962CEB-D504-4592-BCEC-2AE782BFFB67}"/>
    <cellStyle name="Currency 5 3 3 6 2 4" xfId="21121" xr:uid="{56E85963-F574-4C74-A034-5F6B43C4C6A4}"/>
    <cellStyle name="Currency 5 3 3 6 3" xfId="6309" xr:uid="{00000000-0005-0000-0000-0000050D0000}"/>
    <cellStyle name="Currency 5 3 3 6 3 2" xfId="14759" xr:uid="{61E5F00A-FAEB-49D1-94BD-F6DEA8512B4A}"/>
    <cellStyle name="Currency 5 3 3 6 3 3" xfId="23193" xr:uid="{326D4A34-99B7-41E7-BB06-AE7A4F17936C}"/>
    <cellStyle name="Currency 5 3 3 6 4" xfId="10541" xr:uid="{3458DE39-D8AD-47CF-A4ED-EF8A81F449B2}"/>
    <cellStyle name="Currency 5 3 3 6 5" xfId="18976" xr:uid="{49240D1B-41C4-4255-ADC8-4F5FDE4218D4}"/>
    <cellStyle name="Currency 5 3 3 7" xfId="2438" xr:uid="{00000000-0005-0000-0000-0000060D0000}"/>
    <cellStyle name="Currency 5 3 3 7 2" xfId="6722" xr:uid="{00000000-0005-0000-0000-0000070D0000}"/>
    <cellStyle name="Currency 5 3 3 7 2 2" xfId="15172" xr:uid="{5C91B7EA-A76D-47A9-902E-24003F35D8F5}"/>
    <cellStyle name="Currency 5 3 3 7 2 3" xfId="23606" xr:uid="{D931415A-D5F8-4A95-A7E9-030F2F10D3F9}"/>
    <cellStyle name="Currency 5 3 3 7 3" xfId="10954" xr:uid="{93FA2802-0F7E-44CC-89F5-630FC4CC569A}"/>
    <cellStyle name="Currency 5 3 3 7 4" xfId="19389" xr:uid="{0F9991BC-3303-4520-9A42-47614D9B47E6}"/>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3FBA1E4F-A3A3-4909-9103-B7E49C55076B}"/>
    <cellStyle name="Currency 5 3 3 9 2 3" xfId="23923" xr:uid="{EE546B6F-AF02-4114-B216-00729A3FB8EE}"/>
    <cellStyle name="Currency 5 3 3 9 3" xfId="11271" xr:uid="{131F1077-3C10-4CF1-80B1-A5947D7E33C8}"/>
    <cellStyle name="Currency 5 3 3 9 4" xfId="19706" xr:uid="{EABD36DB-53BB-4DB6-9783-9BE3B2F7D3A4}"/>
    <cellStyle name="Currency 5 3 4" xfId="216" xr:uid="{00000000-0005-0000-0000-00000B0D0000}"/>
    <cellStyle name="Currency 5 3 4 10" xfId="8890" xr:uid="{CE0FE3C9-7DDE-43BC-9372-132E1ADB6BCA}"/>
    <cellStyle name="Currency 5 3 4 11" xfId="17325" xr:uid="{CB04B45E-2892-4223-840F-52102C5684B1}"/>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DF7636CB-3AFC-4C8B-9E0D-58E9CC856216}"/>
    <cellStyle name="Currency 5 3 4 2 2 2 3" xfId="24101" xr:uid="{4501500A-83A8-4541-94E6-56F02FCD3A39}"/>
    <cellStyle name="Currency 5 3 4 2 2 3" xfId="11449" xr:uid="{F3D07065-B898-47B1-87F1-E56DA105FFBB}"/>
    <cellStyle name="Currency 5 3 4 2 2 4" xfId="19884" xr:uid="{3B0ED20A-C12D-44FA-B1B5-1F1F346A7CAC}"/>
    <cellStyle name="Currency 5 3 4 2 3" xfId="5072" xr:uid="{00000000-0005-0000-0000-00000F0D0000}"/>
    <cellStyle name="Currency 5 3 4 2 3 2" xfId="13522" xr:uid="{6382FDD2-F49D-4A97-A2EF-753E17A3025A}"/>
    <cellStyle name="Currency 5 3 4 2 3 3" xfId="21956" xr:uid="{E9138968-9599-4D25-B090-5276A81B006A}"/>
    <cellStyle name="Currency 5 3 4 2 4" xfId="9304" xr:uid="{65AB91E9-486C-4500-B368-FCDCF2FE8221}"/>
    <cellStyle name="Currency 5 3 4 2 5" xfId="17739" xr:uid="{F9D8B446-27CD-4A20-9782-561C76A1562F}"/>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38B9F17B-31A8-466B-B212-B7B2BBB178AA}"/>
    <cellStyle name="Currency 5 3 4 3 2 2 3" xfId="24514" xr:uid="{0DC107DF-DFCE-4124-B3B4-06BFDA3BB98A}"/>
    <cellStyle name="Currency 5 3 4 3 2 3" xfId="11862" xr:uid="{07EC4386-7013-43CA-BB03-758133998A08}"/>
    <cellStyle name="Currency 5 3 4 3 2 4" xfId="20297" xr:uid="{21EAB1B5-CE54-4F16-A11D-5D3B932ABB70}"/>
    <cellStyle name="Currency 5 3 4 3 3" xfId="5485" xr:uid="{00000000-0005-0000-0000-0000130D0000}"/>
    <cellStyle name="Currency 5 3 4 3 3 2" xfId="13935" xr:uid="{7270DF4C-1D29-41B2-84F7-F61A34AA84CA}"/>
    <cellStyle name="Currency 5 3 4 3 3 3" xfId="22369" xr:uid="{F845136B-B6FE-4D7E-AA97-BB1D9C615EA1}"/>
    <cellStyle name="Currency 5 3 4 3 4" xfId="9717" xr:uid="{D231B54C-ED62-4022-A8B6-B569909C565E}"/>
    <cellStyle name="Currency 5 3 4 3 5" xfId="18152" xr:uid="{27FF6FCE-DB99-41FF-B2AA-C188BD13F8B4}"/>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144601DF-1FF7-43B7-8809-120A602050AA}"/>
    <cellStyle name="Currency 5 3 4 4 2 2 3" xfId="24927" xr:uid="{C6EAEDC0-D58D-46B5-9369-2F6C63BF052D}"/>
    <cellStyle name="Currency 5 3 4 4 2 3" xfId="12275" xr:uid="{8A12E075-68A7-449B-88F2-44DACE1730E1}"/>
    <cellStyle name="Currency 5 3 4 4 2 4" xfId="20710" xr:uid="{3FA95190-1602-48FE-BDB3-E2DE351BA49F}"/>
    <cellStyle name="Currency 5 3 4 4 3" xfId="5898" xr:uid="{00000000-0005-0000-0000-0000170D0000}"/>
    <cellStyle name="Currency 5 3 4 4 3 2" xfId="14348" xr:uid="{C9CCFF2A-EC43-4210-AF93-BFDE37F9443D}"/>
    <cellStyle name="Currency 5 3 4 4 3 3" xfId="22782" xr:uid="{34FDBB31-A579-4476-A74C-E727AEA02C8D}"/>
    <cellStyle name="Currency 5 3 4 4 4" xfId="10130" xr:uid="{31A36B71-15C0-47E3-9771-37EB8B3F9889}"/>
    <cellStyle name="Currency 5 3 4 4 5" xfId="18565" xr:uid="{FA02E98B-95CD-4E04-BD0D-42A1D298711B}"/>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F3B43F22-53A8-4236-8F65-5961A32FCAA0}"/>
    <cellStyle name="Currency 5 3 4 5 2 2 3" xfId="25340" xr:uid="{D385D547-469E-4D95-8322-FF0C97DAE431}"/>
    <cellStyle name="Currency 5 3 4 5 2 3" xfId="12688" xr:uid="{5AF47418-ED41-4BF7-85BD-D7D4560D3368}"/>
    <cellStyle name="Currency 5 3 4 5 2 4" xfId="21123" xr:uid="{B3F9DC24-68E9-4AED-A763-E117C3B66EE4}"/>
    <cellStyle name="Currency 5 3 4 5 3" xfId="6311" xr:uid="{00000000-0005-0000-0000-00001B0D0000}"/>
    <cellStyle name="Currency 5 3 4 5 3 2" xfId="14761" xr:uid="{2150732F-A800-445C-98E8-9740F6950FD4}"/>
    <cellStyle name="Currency 5 3 4 5 3 3" xfId="23195" xr:uid="{198F917C-42DA-43FA-961D-CFC8D283300A}"/>
    <cellStyle name="Currency 5 3 4 5 4" xfId="10543" xr:uid="{C435EDF4-C67F-4FB6-A1AC-578B1EC07199}"/>
    <cellStyle name="Currency 5 3 4 5 5" xfId="18978" xr:uid="{26E304FF-8E21-492A-82D6-25ACBC866F9E}"/>
    <cellStyle name="Currency 5 3 4 6" xfId="2440" xr:uid="{00000000-0005-0000-0000-00001C0D0000}"/>
    <cellStyle name="Currency 5 3 4 6 2" xfId="6724" xr:uid="{00000000-0005-0000-0000-00001D0D0000}"/>
    <cellStyle name="Currency 5 3 4 6 2 2" xfId="15174" xr:uid="{86D543AA-781E-4DBE-A27C-543C6EFF4D7F}"/>
    <cellStyle name="Currency 5 3 4 6 2 3" xfId="23608" xr:uid="{B6AEB5F6-FF67-4610-A2B2-2B11319E13BF}"/>
    <cellStyle name="Currency 5 3 4 6 3" xfId="10956" xr:uid="{2C732E94-92FB-43FB-A332-2E2B963434D0}"/>
    <cellStyle name="Currency 5 3 4 6 4" xfId="19391" xr:uid="{336358DE-45E0-462F-8192-53C97B090D4E}"/>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6F108B1D-15AE-41E6-A4F0-9E7261D85258}"/>
    <cellStyle name="Currency 5 3 4 8 2 3" xfId="23925" xr:uid="{466F9FF1-17A0-45CA-83DD-DE207A09C427}"/>
    <cellStyle name="Currency 5 3 4 8 3" xfId="11273" xr:uid="{BCDBFF16-7F41-4AEF-ACD6-BC0BC7355C42}"/>
    <cellStyle name="Currency 5 3 4 8 4" xfId="19708" xr:uid="{303EC02D-2781-4BC3-B330-D4ED82EEB53D}"/>
    <cellStyle name="Currency 5 3 4 9" xfId="4658" xr:uid="{00000000-0005-0000-0000-0000210D0000}"/>
    <cellStyle name="Currency 5 3 4 9 2" xfId="13108" xr:uid="{AA55F66E-D9D1-4889-95E8-BC1BEAD7265F}"/>
    <cellStyle name="Currency 5 3 4 9 3" xfId="21542" xr:uid="{33744944-7B4A-4FB0-8B18-2E432927CCCD}"/>
    <cellStyle name="Currency 5 3 5" xfId="217" xr:uid="{00000000-0005-0000-0000-0000220D0000}"/>
    <cellStyle name="Currency 5 3 5 10" xfId="8891" xr:uid="{A5AC78E3-7757-49C6-9AE1-0E098B9D1BC7}"/>
    <cellStyle name="Currency 5 3 5 11" xfId="17326" xr:uid="{01E424ED-4DCC-457F-B3F6-3DB191045DB4}"/>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244B310F-9272-4468-B97B-461968FFC326}"/>
    <cellStyle name="Currency 5 3 5 2 2 2 3" xfId="24102" xr:uid="{8B9B42B3-6232-460D-94BE-5656082A4FE8}"/>
    <cellStyle name="Currency 5 3 5 2 2 3" xfId="11450" xr:uid="{D5E9AB00-A6D6-4075-B096-3C3D8B49088B}"/>
    <cellStyle name="Currency 5 3 5 2 2 4" xfId="19885" xr:uid="{C61081F2-85E6-417C-9AE8-2D860A297226}"/>
    <cellStyle name="Currency 5 3 5 2 3" xfId="5073" xr:uid="{00000000-0005-0000-0000-0000260D0000}"/>
    <cellStyle name="Currency 5 3 5 2 3 2" xfId="13523" xr:uid="{3A07805C-8359-42AD-A17A-69C619E74C3F}"/>
    <cellStyle name="Currency 5 3 5 2 3 3" xfId="21957" xr:uid="{B88B5585-B48C-478A-B9E1-582DC1077F0E}"/>
    <cellStyle name="Currency 5 3 5 2 4" xfId="9305" xr:uid="{BE9590B6-2F09-4C9C-BB47-CC794C741792}"/>
    <cellStyle name="Currency 5 3 5 2 5" xfId="17740" xr:uid="{01EF5A93-178C-4256-8227-94C2290015E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22144DE8-5EFC-4CCE-8C26-3D98D66FAEB3}"/>
    <cellStyle name="Currency 5 3 5 3 2 2 3" xfId="24515" xr:uid="{21E4709D-F6EC-4227-9BA8-FE03C3093473}"/>
    <cellStyle name="Currency 5 3 5 3 2 3" xfId="11863" xr:uid="{24F160DB-5DDD-46EF-82BE-8B8637270BBF}"/>
    <cellStyle name="Currency 5 3 5 3 2 4" xfId="20298" xr:uid="{12596E39-BCA2-43DF-91FB-F7BF60E53838}"/>
    <cellStyle name="Currency 5 3 5 3 3" xfId="5486" xr:uid="{00000000-0005-0000-0000-00002A0D0000}"/>
    <cellStyle name="Currency 5 3 5 3 3 2" xfId="13936" xr:uid="{C3AE175E-89FB-4B0C-BB67-66C19546B2FD}"/>
    <cellStyle name="Currency 5 3 5 3 3 3" xfId="22370" xr:uid="{C98D20A7-4C02-4A18-BE65-885C4AD24AA1}"/>
    <cellStyle name="Currency 5 3 5 3 4" xfId="9718" xr:uid="{D73E4A19-F5DA-409E-9EBD-F4C921089A6E}"/>
    <cellStyle name="Currency 5 3 5 3 5" xfId="18153" xr:uid="{DB5BD818-30BD-42BD-BE12-2F3C0B27CCD3}"/>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255DEA83-308A-4B5F-9741-4F4F9E37F526}"/>
    <cellStyle name="Currency 5 3 5 4 2 2 3" xfId="24928" xr:uid="{92925F38-46FC-470E-B3E5-35B1C07BA56D}"/>
    <cellStyle name="Currency 5 3 5 4 2 3" xfId="12276" xr:uid="{F3D32378-6ADC-4FC1-80AF-5BC63620DFCF}"/>
    <cellStyle name="Currency 5 3 5 4 2 4" xfId="20711" xr:uid="{EFBA90D7-07DD-48A3-8128-2CA308D1FF8B}"/>
    <cellStyle name="Currency 5 3 5 4 3" xfId="5899" xr:uid="{00000000-0005-0000-0000-00002E0D0000}"/>
    <cellStyle name="Currency 5 3 5 4 3 2" xfId="14349" xr:uid="{2B278AAE-6CA8-4F1A-BCED-90EE5AD1502E}"/>
    <cellStyle name="Currency 5 3 5 4 3 3" xfId="22783" xr:uid="{8D655E03-3B41-4BE5-8328-24F648912606}"/>
    <cellStyle name="Currency 5 3 5 4 4" xfId="10131" xr:uid="{29A23A6D-DBF3-411D-B874-482C9D5571BD}"/>
    <cellStyle name="Currency 5 3 5 4 5" xfId="18566" xr:uid="{F68623C0-1723-44BC-A319-D4F9B5A9E4AE}"/>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2D76F501-D046-4500-80D5-DE4269DB592B}"/>
    <cellStyle name="Currency 5 3 5 5 2 2 3" xfId="25341" xr:uid="{4E63AE6F-025F-45A3-8831-1599659199B3}"/>
    <cellStyle name="Currency 5 3 5 5 2 3" xfId="12689" xr:uid="{711302EC-F0C6-498A-AC1B-A339BAEC31FA}"/>
    <cellStyle name="Currency 5 3 5 5 2 4" xfId="21124" xr:uid="{C34A2500-4750-44C6-B8F1-091465A4F86C}"/>
    <cellStyle name="Currency 5 3 5 5 3" xfId="6312" xr:uid="{00000000-0005-0000-0000-0000320D0000}"/>
    <cellStyle name="Currency 5 3 5 5 3 2" xfId="14762" xr:uid="{36396E78-A192-474D-BB10-6F90599A2F6D}"/>
    <cellStyle name="Currency 5 3 5 5 3 3" xfId="23196" xr:uid="{4A41A359-14DA-4845-BA4F-F3B3D0C3743B}"/>
    <cellStyle name="Currency 5 3 5 5 4" xfId="10544" xr:uid="{CC613EF2-4C42-4C73-85F8-2A587D7182CA}"/>
    <cellStyle name="Currency 5 3 5 5 5" xfId="18979" xr:uid="{C74C6473-3F58-4501-87F7-E850811878D8}"/>
    <cellStyle name="Currency 5 3 5 6" xfId="2441" xr:uid="{00000000-0005-0000-0000-0000330D0000}"/>
    <cellStyle name="Currency 5 3 5 6 2" xfId="6725" xr:uid="{00000000-0005-0000-0000-0000340D0000}"/>
    <cellStyle name="Currency 5 3 5 6 2 2" xfId="15175" xr:uid="{C7B94097-470D-4C26-9993-3EAA3E274907}"/>
    <cellStyle name="Currency 5 3 5 6 2 3" xfId="23609" xr:uid="{CA5BD242-DEB0-4777-B822-08C0C186212C}"/>
    <cellStyle name="Currency 5 3 5 6 3" xfId="10957" xr:uid="{A12D019A-8AD7-465E-9460-5E6DC445DAAB}"/>
    <cellStyle name="Currency 5 3 5 6 4" xfId="19392" xr:uid="{B24F24A0-8EAC-40E6-809C-42CED0593C94}"/>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7EBB175E-3C5E-4A3E-B6BE-A200907E356B}"/>
    <cellStyle name="Currency 5 3 5 8 2 3" xfId="23926" xr:uid="{5D286511-292A-483A-AF46-D8892BB208E8}"/>
    <cellStyle name="Currency 5 3 5 8 3" xfId="11274" xr:uid="{12C19A77-0397-4C9A-8D8D-856FCB14591A}"/>
    <cellStyle name="Currency 5 3 5 8 4" xfId="19709" xr:uid="{0A6C30FA-108B-4A65-A1F0-AB870CFC920C}"/>
    <cellStyle name="Currency 5 3 5 9" xfId="4659" xr:uid="{00000000-0005-0000-0000-0000380D0000}"/>
    <cellStyle name="Currency 5 3 5 9 2" xfId="13109" xr:uid="{7D4E8729-430F-4615-89FA-CB0E11C3432B}"/>
    <cellStyle name="Currency 5 3 5 9 3" xfId="21543" xr:uid="{325FA6F4-82D7-49C3-A7CC-60B468534F1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475EA694-225C-4995-8A66-18DCD00E09C2}"/>
    <cellStyle name="Currency 5 5 10 3" xfId="21544" xr:uid="{11FD8145-5E45-4A85-B3C0-A4C56882F79F}"/>
    <cellStyle name="Currency 5 5 11" xfId="8892" xr:uid="{FCF5B868-38DA-4F5E-876D-D0FB6F56A2DC}"/>
    <cellStyle name="Currency 5 5 12" xfId="17327" xr:uid="{4DD051AC-7D55-48A3-AAD6-40868457DA98}"/>
    <cellStyle name="Currency 5 5 2" xfId="220" xr:uid="{00000000-0005-0000-0000-00003D0D0000}"/>
    <cellStyle name="Currency 5 5 2 10" xfId="8893" xr:uid="{1D229BCE-DAA2-4266-927A-77DC75F4195C}"/>
    <cellStyle name="Currency 5 5 2 11" xfId="17328" xr:uid="{9E791374-630C-481D-B677-9661CC540C61}"/>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793CCB71-1D31-45AD-9580-B882B16C0075}"/>
    <cellStyle name="Currency 5 5 2 2 2 2 3" xfId="24104" xr:uid="{66567C76-750C-48E1-9BEC-3BA818272C7E}"/>
    <cellStyle name="Currency 5 5 2 2 2 3" xfId="11452" xr:uid="{9A2BA4EC-E6A2-4961-9261-CE1BADA059B8}"/>
    <cellStyle name="Currency 5 5 2 2 2 4" xfId="19887" xr:uid="{1FA49E97-75FE-4425-A6C3-5C504E8FF913}"/>
    <cellStyle name="Currency 5 5 2 2 3" xfId="5075" xr:uid="{00000000-0005-0000-0000-0000410D0000}"/>
    <cellStyle name="Currency 5 5 2 2 3 2" xfId="13525" xr:uid="{65DDE3C4-A571-413B-AA1E-ADB832C92FE4}"/>
    <cellStyle name="Currency 5 5 2 2 3 3" xfId="21959" xr:uid="{001B5605-0B22-4C0B-9E45-FB1D6742DE5D}"/>
    <cellStyle name="Currency 5 5 2 2 4" xfId="9307" xr:uid="{D563D641-3077-48B9-AC3F-68E21F3D72DA}"/>
    <cellStyle name="Currency 5 5 2 2 5" xfId="17742" xr:uid="{759090E6-9FA3-4A80-BD1F-38848BF939DD}"/>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43049CB4-2DE4-42E5-A58B-0E0BAE39866B}"/>
    <cellStyle name="Currency 5 5 2 3 2 2 3" xfId="24517" xr:uid="{0BD374D9-0460-48F1-BBB9-0104E9528861}"/>
    <cellStyle name="Currency 5 5 2 3 2 3" xfId="11865" xr:uid="{8746C601-10B2-4193-A779-A85744B404B8}"/>
    <cellStyle name="Currency 5 5 2 3 2 4" xfId="20300" xr:uid="{B05F30C9-75C2-429E-86B8-50E58439AF99}"/>
    <cellStyle name="Currency 5 5 2 3 3" xfId="5488" xr:uid="{00000000-0005-0000-0000-0000450D0000}"/>
    <cellStyle name="Currency 5 5 2 3 3 2" xfId="13938" xr:uid="{3CE0F5DD-E584-4BE5-B3B4-0A1EEBC0A5DB}"/>
    <cellStyle name="Currency 5 5 2 3 3 3" xfId="22372" xr:uid="{19A4189C-5C0B-4AA6-B6AC-42923539F500}"/>
    <cellStyle name="Currency 5 5 2 3 4" xfId="9720" xr:uid="{B17C8141-FCBD-488F-A91C-512A04462D6C}"/>
    <cellStyle name="Currency 5 5 2 3 5" xfId="18155" xr:uid="{287FD8C7-BF0E-4ADE-BBBF-9ADC836EA536}"/>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614A4F2D-58D6-4629-BA55-103ED2A36E2C}"/>
    <cellStyle name="Currency 5 5 2 4 2 2 3" xfId="24930" xr:uid="{193DFDA3-E7D1-468D-8D22-E36F6C327A7A}"/>
    <cellStyle name="Currency 5 5 2 4 2 3" xfId="12278" xr:uid="{71896864-4A29-4CA5-A2C1-79FBD68EF088}"/>
    <cellStyle name="Currency 5 5 2 4 2 4" xfId="20713" xr:uid="{2DC9979E-A2A0-4421-BC66-59C1569233ED}"/>
    <cellStyle name="Currency 5 5 2 4 3" xfId="5901" xr:uid="{00000000-0005-0000-0000-0000490D0000}"/>
    <cellStyle name="Currency 5 5 2 4 3 2" xfId="14351" xr:uid="{8CB5FE6A-9450-485A-AAB8-18A58B5D0AA7}"/>
    <cellStyle name="Currency 5 5 2 4 3 3" xfId="22785" xr:uid="{D97DC529-5C11-45F1-ADD6-ABD91CAC6279}"/>
    <cellStyle name="Currency 5 5 2 4 4" xfId="10133" xr:uid="{43D7FD26-D209-435C-93FC-935440A0DC34}"/>
    <cellStyle name="Currency 5 5 2 4 5" xfId="18568" xr:uid="{54FD1B00-D8D9-459F-9544-329A8177F73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6CC293F3-D656-48DB-97DF-9E150EBB5D6C}"/>
    <cellStyle name="Currency 5 5 2 5 2 2 3" xfId="25343" xr:uid="{4CA608BC-01FE-4DD4-A356-828B05269A49}"/>
    <cellStyle name="Currency 5 5 2 5 2 3" xfId="12691" xr:uid="{D35F1265-2886-4F78-8892-FB8A6C4FB599}"/>
    <cellStyle name="Currency 5 5 2 5 2 4" xfId="21126" xr:uid="{64C071E7-7FDB-40EE-8BEA-FA4456358D61}"/>
    <cellStyle name="Currency 5 5 2 5 3" xfId="6314" xr:uid="{00000000-0005-0000-0000-00004D0D0000}"/>
    <cellStyle name="Currency 5 5 2 5 3 2" xfId="14764" xr:uid="{3280D627-79F1-4CEF-9E3E-73780EF453B7}"/>
    <cellStyle name="Currency 5 5 2 5 3 3" xfId="23198" xr:uid="{C4FA1B6B-3DBC-45DE-9AC5-38D30DD42838}"/>
    <cellStyle name="Currency 5 5 2 5 4" xfId="10546" xr:uid="{E4BEADF1-02FC-4E00-AA62-EE04BF96FEDF}"/>
    <cellStyle name="Currency 5 5 2 5 5" xfId="18981" xr:uid="{40CE683E-87CC-4497-813F-4C0688C3DF37}"/>
    <cellStyle name="Currency 5 5 2 6" xfId="2443" xr:uid="{00000000-0005-0000-0000-00004E0D0000}"/>
    <cellStyle name="Currency 5 5 2 6 2" xfId="6727" xr:uid="{00000000-0005-0000-0000-00004F0D0000}"/>
    <cellStyle name="Currency 5 5 2 6 2 2" xfId="15177" xr:uid="{E3E9FD3B-B4E5-437A-B25E-8094F5908DBD}"/>
    <cellStyle name="Currency 5 5 2 6 2 3" xfId="23611" xr:uid="{929DA10C-7902-4D0F-A351-3D8025EC4A1E}"/>
    <cellStyle name="Currency 5 5 2 6 3" xfId="10959" xr:uid="{692E39D1-728A-45B6-BE6D-924E8DC35462}"/>
    <cellStyle name="Currency 5 5 2 6 4" xfId="19394" xr:uid="{78C28726-2BF7-47BD-858E-6367955472F2}"/>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891A4251-C43A-49FE-B5ED-D7EAA50DD204}"/>
    <cellStyle name="Currency 5 5 2 8 2 3" xfId="23928" xr:uid="{6DEB80A9-B3A2-4E43-8A0D-ABE354958A12}"/>
    <cellStyle name="Currency 5 5 2 8 3" xfId="11276" xr:uid="{AFDA8C2C-86A7-45FE-9637-04F978ED344F}"/>
    <cellStyle name="Currency 5 5 2 8 4" xfId="19711" xr:uid="{CF15E974-5ED1-43EE-AFF5-E6B065279663}"/>
    <cellStyle name="Currency 5 5 2 9" xfId="4661" xr:uid="{00000000-0005-0000-0000-0000530D0000}"/>
    <cellStyle name="Currency 5 5 2 9 2" xfId="13111" xr:uid="{86E83F2E-9765-4CDF-A87D-3FFCD4585A82}"/>
    <cellStyle name="Currency 5 5 2 9 3" xfId="21545" xr:uid="{95872B86-45BA-4DA4-94E4-DD48CE996BE8}"/>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7CD75439-06DC-4181-97C7-EEA8E90030E7}"/>
    <cellStyle name="Currency 5 5 3 2 2 3" xfId="24103" xr:uid="{F5A5EB34-1861-4A15-9783-597503078437}"/>
    <cellStyle name="Currency 5 5 3 2 3" xfId="11451" xr:uid="{8F3B4FB1-E28F-49A2-86E3-AFB6A1B9C819}"/>
    <cellStyle name="Currency 5 5 3 2 4" xfId="19886" xr:uid="{DF49183A-71B7-4F28-969F-CA5D80D076DF}"/>
    <cellStyle name="Currency 5 5 3 3" xfId="5074" xr:uid="{00000000-0005-0000-0000-0000570D0000}"/>
    <cellStyle name="Currency 5 5 3 3 2" xfId="13524" xr:uid="{BEFC793B-BE4F-45D5-8311-0818D1AEBF4F}"/>
    <cellStyle name="Currency 5 5 3 3 3" xfId="21958" xr:uid="{56D15D4F-1438-482D-9BF1-0F7FDE5B3F61}"/>
    <cellStyle name="Currency 5 5 3 4" xfId="9306" xr:uid="{5A5AA0C0-B890-4006-91E3-E653EDE2CDEE}"/>
    <cellStyle name="Currency 5 5 3 5" xfId="17741" xr:uid="{8DEAB73D-FE77-493C-B320-01FE432C4377}"/>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AD4BA516-6E47-41AB-B944-664347E02AC9}"/>
    <cellStyle name="Currency 5 5 4 2 2 3" xfId="24516" xr:uid="{2E85B021-977A-4806-A47C-17E03CAFFABF}"/>
    <cellStyle name="Currency 5 5 4 2 3" xfId="11864" xr:uid="{AF9A43AE-B083-4E19-9CAC-CA02E37970DA}"/>
    <cellStyle name="Currency 5 5 4 2 4" xfId="20299" xr:uid="{282C3F72-DBF0-49EE-832D-0A2117869E7E}"/>
    <cellStyle name="Currency 5 5 4 3" xfId="5487" xr:uid="{00000000-0005-0000-0000-00005B0D0000}"/>
    <cellStyle name="Currency 5 5 4 3 2" xfId="13937" xr:uid="{B5D8C7F4-0AC7-4ADA-9B28-DDF5165B4576}"/>
    <cellStyle name="Currency 5 5 4 3 3" xfId="22371" xr:uid="{77589893-5E6A-49A1-935C-E70D22FC7CE5}"/>
    <cellStyle name="Currency 5 5 4 4" xfId="9719" xr:uid="{A3B03E61-77D4-4196-A4A7-48F8062E36B3}"/>
    <cellStyle name="Currency 5 5 4 5" xfId="18154" xr:uid="{5DA72873-7189-4D36-9D92-6C96AEDB2F58}"/>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3A6C1CE8-ABD5-42AD-8F07-B0FD442B4D33}"/>
    <cellStyle name="Currency 5 5 5 2 2 3" xfId="24929" xr:uid="{2AFC5C93-22CF-4D82-87CF-56450BE59A3A}"/>
    <cellStyle name="Currency 5 5 5 2 3" xfId="12277" xr:uid="{D87FB68D-EC3D-479E-9267-0C187A0A7735}"/>
    <cellStyle name="Currency 5 5 5 2 4" xfId="20712" xr:uid="{F32FE0D3-C94E-421A-BE3F-88D374D28944}"/>
    <cellStyle name="Currency 5 5 5 3" xfId="5900" xr:uid="{00000000-0005-0000-0000-00005F0D0000}"/>
    <cellStyle name="Currency 5 5 5 3 2" xfId="14350" xr:uid="{AC47A52A-A4A7-4CC1-9641-621B8C979A73}"/>
    <cellStyle name="Currency 5 5 5 3 3" xfId="22784" xr:uid="{AA36E880-A7C4-4B19-94C6-AD7213FA5C1B}"/>
    <cellStyle name="Currency 5 5 5 4" xfId="10132" xr:uid="{416C8459-56A3-4B5E-BC47-65A61B2BA1A0}"/>
    <cellStyle name="Currency 5 5 5 5" xfId="18567" xr:uid="{EEE6957F-658C-45AC-AB0F-CA63E38A94AD}"/>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154384F0-6B0C-4FF1-A587-C0F8613FCF6D}"/>
    <cellStyle name="Currency 5 5 6 2 2 3" xfId="25342" xr:uid="{04BC13C8-0DA6-4BA7-80F5-E3578DF28581}"/>
    <cellStyle name="Currency 5 5 6 2 3" xfId="12690" xr:uid="{C25C334D-65AA-4E1C-9D91-D8B44D49E64F}"/>
    <cellStyle name="Currency 5 5 6 2 4" xfId="21125" xr:uid="{AD05D487-7F13-40A2-8C78-A838759B47C0}"/>
    <cellStyle name="Currency 5 5 6 3" xfId="6313" xr:uid="{00000000-0005-0000-0000-0000630D0000}"/>
    <cellStyle name="Currency 5 5 6 3 2" xfId="14763" xr:uid="{C601E96A-405D-41D9-80C4-B8B4627CB753}"/>
    <cellStyle name="Currency 5 5 6 3 3" xfId="23197" xr:uid="{02FB9FA2-FA7C-404A-93CC-A799DA8892FC}"/>
    <cellStyle name="Currency 5 5 6 4" xfId="10545" xr:uid="{3A28F3EA-8F3B-4DC3-A23E-84B8A1663EDD}"/>
    <cellStyle name="Currency 5 5 6 5" xfId="18980" xr:uid="{720E5B75-ACBE-4CEB-A084-193623E7C8AE}"/>
    <cellStyle name="Currency 5 5 7" xfId="2442" xr:uid="{00000000-0005-0000-0000-0000640D0000}"/>
    <cellStyle name="Currency 5 5 7 2" xfId="6726" xr:uid="{00000000-0005-0000-0000-0000650D0000}"/>
    <cellStyle name="Currency 5 5 7 2 2" xfId="15176" xr:uid="{C8D2BD6F-D99A-44A2-A300-B67FEEEA401A}"/>
    <cellStyle name="Currency 5 5 7 2 3" xfId="23610" xr:uid="{41415998-AF10-4515-BF18-AF3C642A5EB0}"/>
    <cellStyle name="Currency 5 5 7 3" xfId="10958" xr:uid="{DB4D659D-8A19-4388-B863-30FF63A31512}"/>
    <cellStyle name="Currency 5 5 7 4" xfId="19393" xr:uid="{BE61C1FC-24AA-43D8-8E0E-23FD95701C58}"/>
    <cellStyle name="Currency 5 5 8" xfId="2739" xr:uid="{00000000-0005-0000-0000-0000660D0000}"/>
    <cellStyle name="Currency 5 5 9" xfId="2820" xr:uid="{00000000-0005-0000-0000-0000670D0000}"/>
    <cellStyle name="Currency 5 5 9 2" xfId="7043" xr:uid="{00000000-0005-0000-0000-0000680D0000}"/>
    <cellStyle name="Currency 5 5 9 2 2" xfId="15493" xr:uid="{3E483AC0-1995-40C4-B31E-D1C638DB551C}"/>
    <cellStyle name="Currency 5 5 9 2 3" xfId="23927" xr:uid="{6C19E7CE-7390-4E56-8779-CADAAD3A7D05}"/>
    <cellStyle name="Currency 5 5 9 3" xfId="11275" xr:uid="{0F50DAF1-4617-4D14-B421-D02107CAADA4}"/>
    <cellStyle name="Currency 5 5 9 4" xfId="19710" xr:uid="{780BE987-0AB8-4CC2-8B2F-788CB627BDE5}"/>
    <cellStyle name="Currency 5 6" xfId="221" xr:uid="{00000000-0005-0000-0000-0000690D0000}"/>
    <cellStyle name="Currency 5 6 10" xfId="8894" xr:uid="{65C76B30-5695-4DE0-AC51-84A7B0ECEC93}"/>
    <cellStyle name="Currency 5 6 11" xfId="17329" xr:uid="{8C52CB91-12CE-46C4-B893-9FBA602AD599}"/>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7A66B06E-2C9F-46EC-8249-E48EF9BE113C}"/>
    <cellStyle name="Currency 5 6 2 2 2 3" xfId="24105" xr:uid="{E51E56FE-D73A-4442-94DD-26F0174FF3DB}"/>
    <cellStyle name="Currency 5 6 2 2 3" xfId="11453" xr:uid="{61E8B511-6C03-4937-BD4C-FB754BD46F0F}"/>
    <cellStyle name="Currency 5 6 2 2 4" xfId="19888" xr:uid="{3EBC1178-AAE3-492E-AFD3-8C213D292F15}"/>
    <cellStyle name="Currency 5 6 2 3" xfId="5076" xr:uid="{00000000-0005-0000-0000-00006D0D0000}"/>
    <cellStyle name="Currency 5 6 2 3 2" xfId="13526" xr:uid="{5C774BAE-D0A8-4254-9F59-501DCBBBCC76}"/>
    <cellStyle name="Currency 5 6 2 3 3" xfId="21960" xr:uid="{7C2D32C9-5B16-4C17-8831-E3F0FE98C0D2}"/>
    <cellStyle name="Currency 5 6 2 4" xfId="9308" xr:uid="{6185FBE3-4452-4CB5-BE2E-ABC0BEECF14B}"/>
    <cellStyle name="Currency 5 6 2 5" xfId="17743" xr:uid="{14E14A23-FF7C-4D87-9BAC-FCCA7FD6EFDC}"/>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6CB673A5-9428-457C-9232-F0234844073F}"/>
    <cellStyle name="Currency 5 6 3 2 2 3" xfId="24518" xr:uid="{2F0F7F9B-063C-4A72-94E5-9216A741A2D6}"/>
    <cellStyle name="Currency 5 6 3 2 3" xfId="11866" xr:uid="{C6D3D368-1C8E-43A4-8DCA-433334D8CBDE}"/>
    <cellStyle name="Currency 5 6 3 2 4" xfId="20301" xr:uid="{11208D84-4233-44C2-9B8A-6BC6D6F1E2ED}"/>
    <cellStyle name="Currency 5 6 3 3" xfId="5489" xr:uid="{00000000-0005-0000-0000-0000710D0000}"/>
    <cellStyle name="Currency 5 6 3 3 2" xfId="13939" xr:uid="{9E25EEE1-E153-4519-AB45-CD1B96DEEC7B}"/>
    <cellStyle name="Currency 5 6 3 3 3" xfId="22373" xr:uid="{17471CA3-570A-4CA7-99BB-ACE950DC9132}"/>
    <cellStyle name="Currency 5 6 3 4" xfId="9721" xr:uid="{F1592218-C510-483F-94B8-6501FFCC558E}"/>
    <cellStyle name="Currency 5 6 3 5" xfId="18156" xr:uid="{93DDEA1F-F57A-4251-8663-93DAEC9AAF97}"/>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11B28AE7-7E26-406E-B99B-68E7F8ADDA83}"/>
    <cellStyle name="Currency 5 6 4 2 2 3" xfId="24931" xr:uid="{8CB7B69F-127E-4284-A728-D280A4A26493}"/>
    <cellStyle name="Currency 5 6 4 2 3" xfId="12279" xr:uid="{EEB5737C-E5E9-459D-A126-083201CDABBB}"/>
    <cellStyle name="Currency 5 6 4 2 4" xfId="20714" xr:uid="{9330D5A7-68E5-47C0-ABCD-2EEC47979591}"/>
    <cellStyle name="Currency 5 6 4 3" xfId="5902" xr:uid="{00000000-0005-0000-0000-0000750D0000}"/>
    <cellStyle name="Currency 5 6 4 3 2" xfId="14352" xr:uid="{CDB79C11-940A-475A-BE26-97DE263535C4}"/>
    <cellStyle name="Currency 5 6 4 3 3" xfId="22786" xr:uid="{14776594-D1AC-4874-9DCE-54524C0EA97D}"/>
    <cellStyle name="Currency 5 6 4 4" xfId="10134" xr:uid="{F9A07EEC-97AD-45A7-AC29-2ECB560D7D79}"/>
    <cellStyle name="Currency 5 6 4 5" xfId="18569" xr:uid="{AC7C468A-8827-4DA0-85DC-E305140E5588}"/>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FAB1886D-8781-4816-B075-B5715C2BBDB1}"/>
    <cellStyle name="Currency 5 6 5 2 2 3" xfId="25344" xr:uid="{90EC94E7-2B45-42E3-A95D-ED4DE0DE2764}"/>
    <cellStyle name="Currency 5 6 5 2 3" xfId="12692" xr:uid="{714FC22B-331E-4F05-AD94-E322B8BEF2CC}"/>
    <cellStyle name="Currency 5 6 5 2 4" xfId="21127" xr:uid="{3C6014BC-7175-4CA7-B0FE-02791F4AE7E7}"/>
    <cellStyle name="Currency 5 6 5 3" xfId="6315" xr:uid="{00000000-0005-0000-0000-0000790D0000}"/>
    <cellStyle name="Currency 5 6 5 3 2" xfId="14765" xr:uid="{AAA3328C-92BD-4639-B8BE-6115650888DC}"/>
    <cellStyle name="Currency 5 6 5 3 3" xfId="23199" xr:uid="{920518E1-0545-4611-A51B-91BA8A890B5A}"/>
    <cellStyle name="Currency 5 6 5 4" xfId="10547" xr:uid="{274419DC-8097-4BFF-87B8-5C15F73C0223}"/>
    <cellStyle name="Currency 5 6 5 5" xfId="18982" xr:uid="{88737D28-C7C9-4146-AE5E-3685ABEA6183}"/>
    <cellStyle name="Currency 5 6 6" xfId="2444" xr:uid="{00000000-0005-0000-0000-00007A0D0000}"/>
    <cellStyle name="Currency 5 6 6 2" xfId="6728" xr:uid="{00000000-0005-0000-0000-00007B0D0000}"/>
    <cellStyle name="Currency 5 6 6 2 2" xfId="15178" xr:uid="{2D04C4F2-D985-41B5-B471-3466392A0BA5}"/>
    <cellStyle name="Currency 5 6 6 2 3" xfId="23612" xr:uid="{B5A415A5-1E45-4DDD-9C2E-F35F7FF913C5}"/>
    <cellStyle name="Currency 5 6 6 3" xfId="10960" xr:uid="{C0405B2A-E86A-4616-8AA5-8A20B5AB4A49}"/>
    <cellStyle name="Currency 5 6 6 4" xfId="19395" xr:uid="{19A5F444-1D48-4800-A367-C6FB7997C920}"/>
    <cellStyle name="Currency 5 6 7" xfId="2741" xr:uid="{00000000-0005-0000-0000-00007C0D0000}"/>
    <cellStyle name="Currency 5 6 8" xfId="2822" xr:uid="{00000000-0005-0000-0000-00007D0D0000}"/>
    <cellStyle name="Currency 5 6 8 2" xfId="7045" xr:uid="{00000000-0005-0000-0000-00007E0D0000}"/>
    <cellStyle name="Currency 5 6 8 2 2" xfId="15495" xr:uid="{05EA0E99-E741-4CB5-91B0-A1EEE27D4681}"/>
    <cellStyle name="Currency 5 6 8 2 3" xfId="23929" xr:uid="{1466943F-865F-41C0-9542-F8F22BE83E8C}"/>
    <cellStyle name="Currency 5 6 8 3" xfId="11277" xr:uid="{9A37EFE3-53F0-45A8-8915-235E3EACC146}"/>
    <cellStyle name="Currency 5 6 8 4" xfId="19712" xr:uid="{EFA5AA4F-29EE-4187-A50E-577753158695}"/>
    <cellStyle name="Currency 5 6 9" xfId="4662" xr:uid="{00000000-0005-0000-0000-00007F0D0000}"/>
    <cellStyle name="Currency 5 6 9 2" xfId="13112" xr:uid="{B07F14F8-B03F-4CE3-B653-970D2D7E0E39}"/>
    <cellStyle name="Currency 5 6 9 3" xfId="21546" xr:uid="{3E795ADA-E3AC-4812-B298-D46E0D9B0086}"/>
    <cellStyle name="Currency 5 7" xfId="222" xr:uid="{00000000-0005-0000-0000-0000800D0000}"/>
    <cellStyle name="Currency 5 7 10" xfId="8895" xr:uid="{9F6AB76B-0312-41EC-A634-00F733A1B006}"/>
    <cellStyle name="Currency 5 7 11" xfId="17330" xr:uid="{5D5327D4-E742-42FB-862D-A616046663B8}"/>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E380DCCA-9D5F-440E-BD85-FD26CBFC25C3}"/>
    <cellStyle name="Currency 5 7 2 2 2 3" xfId="24106" xr:uid="{B740F7AD-F2EE-4C01-B43C-4F80A98D7CB9}"/>
    <cellStyle name="Currency 5 7 2 2 3" xfId="11454" xr:uid="{D097C407-B06A-488D-8B56-7A81010B7099}"/>
    <cellStyle name="Currency 5 7 2 2 4" xfId="19889" xr:uid="{0B6ECBC5-1D26-4687-9E09-AC39948F31C5}"/>
    <cellStyle name="Currency 5 7 2 3" xfId="5077" xr:uid="{00000000-0005-0000-0000-0000840D0000}"/>
    <cellStyle name="Currency 5 7 2 3 2" xfId="13527" xr:uid="{841317B5-38B2-448A-B6DB-E3CC8B07FD5F}"/>
    <cellStyle name="Currency 5 7 2 3 3" xfId="21961" xr:uid="{C15D9AAF-851F-4858-B32E-43D05CF35BEA}"/>
    <cellStyle name="Currency 5 7 2 4" xfId="9309" xr:uid="{FD27FC26-9F70-4B56-B3C2-892EDEA5B185}"/>
    <cellStyle name="Currency 5 7 2 5" xfId="17744" xr:uid="{EA4C514F-0B3A-4052-84EE-F7D872BD0332}"/>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8C39DBB5-B0F0-4B5E-9909-E056CA65D54C}"/>
    <cellStyle name="Currency 5 7 3 2 2 3" xfId="24519" xr:uid="{E70F8CF2-25F1-4964-8480-1F2BC12FE7A9}"/>
    <cellStyle name="Currency 5 7 3 2 3" xfId="11867" xr:uid="{95063582-B621-4867-A0E1-6E847EF4B0DF}"/>
    <cellStyle name="Currency 5 7 3 2 4" xfId="20302" xr:uid="{6C855B5F-FE17-4CC7-ABEF-4605408E85EF}"/>
    <cellStyle name="Currency 5 7 3 3" xfId="5490" xr:uid="{00000000-0005-0000-0000-0000880D0000}"/>
    <cellStyle name="Currency 5 7 3 3 2" xfId="13940" xr:uid="{E2B79D10-081A-4D63-B392-6107CAE2E36D}"/>
    <cellStyle name="Currency 5 7 3 3 3" xfId="22374" xr:uid="{C5B45BE3-2014-4384-B56D-16E73D0375F2}"/>
    <cellStyle name="Currency 5 7 3 4" xfId="9722" xr:uid="{4FA73627-F9C9-48E2-A4F7-0390E7C6D7AB}"/>
    <cellStyle name="Currency 5 7 3 5" xfId="18157" xr:uid="{038EEFC7-3CFE-48FF-8094-32AD3032DC04}"/>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7911A38C-F328-4E99-858D-C84736DD6BF7}"/>
    <cellStyle name="Currency 5 7 4 2 2 3" xfId="24932" xr:uid="{FC2F5A6D-89C8-4FEE-8DA1-51AC766FBBBD}"/>
    <cellStyle name="Currency 5 7 4 2 3" xfId="12280" xr:uid="{4B8F65CA-D1D3-49BE-AE8B-4631121B3570}"/>
    <cellStyle name="Currency 5 7 4 2 4" xfId="20715" xr:uid="{579FFC12-52F8-40FE-BF14-F8FB828A51DF}"/>
    <cellStyle name="Currency 5 7 4 3" xfId="5903" xr:uid="{00000000-0005-0000-0000-00008C0D0000}"/>
    <cellStyle name="Currency 5 7 4 3 2" xfId="14353" xr:uid="{D64B34B6-E96B-4BB5-ABB5-1CC6295BCB1D}"/>
    <cellStyle name="Currency 5 7 4 3 3" xfId="22787" xr:uid="{5CE677DE-389D-43EC-B13D-D142524CAEB4}"/>
    <cellStyle name="Currency 5 7 4 4" xfId="10135" xr:uid="{4F5322CB-38C7-4289-B904-C6A6B0E02519}"/>
    <cellStyle name="Currency 5 7 4 5" xfId="18570" xr:uid="{293BD493-1BA7-4518-A144-111C658C4CE3}"/>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189425BE-4698-4676-A4EB-3ED1775F31C3}"/>
    <cellStyle name="Currency 5 7 5 2 2 3" xfId="25345" xr:uid="{197A2C7A-F404-4A3A-A960-8DF489EE358B}"/>
    <cellStyle name="Currency 5 7 5 2 3" xfId="12693" xr:uid="{DCAC1F2C-618E-4119-8F24-D271706E50C0}"/>
    <cellStyle name="Currency 5 7 5 2 4" xfId="21128" xr:uid="{87EEFB44-626C-4C13-A9AD-F4EE009AFD8D}"/>
    <cellStyle name="Currency 5 7 5 3" xfId="6316" xr:uid="{00000000-0005-0000-0000-0000900D0000}"/>
    <cellStyle name="Currency 5 7 5 3 2" xfId="14766" xr:uid="{F97A20CC-1EBD-48EB-BB4E-E8DC0B158548}"/>
    <cellStyle name="Currency 5 7 5 3 3" xfId="23200" xr:uid="{7CFEFAC7-9B02-44AA-930C-7E03A04C1FF9}"/>
    <cellStyle name="Currency 5 7 5 4" xfId="10548" xr:uid="{A6BA1226-6236-4466-A68E-7709FB1D7983}"/>
    <cellStyle name="Currency 5 7 5 5" xfId="18983" xr:uid="{EDD80F41-F29A-4FA9-95F2-99EEA5B1D8AC}"/>
    <cellStyle name="Currency 5 7 6" xfId="2445" xr:uid="{00000000-0005-0000-0000-0000910D0000}"/>
    <cellStyle name="Currency 5 7 6 2" xfId="6729" xr:uid="{00000000-0005-0000-0000-0000920D0000}"/>
    <cellStyle name="Currency 5 7 6 2 2" xfId="15179" xr:uid="{9C7ADEE4-C750-4526-BE6F-A97BAB156DBF}"/>
    <cellStyle name="Currency 5 7 6 2 3" xfId="23613" xr:uid="{C360F6AF-A5AB-49F7-9851-C7F7F543FFB9}"/>
    <cellStyle name="Currency 5 7 6 3" xfId="10961" xr:uid="{B0236136-A421-4317-9E4F-4EBCB6E51AAE}"/>
    <cellStyle name="Currency 5 7 6 4" xfId="19396" xr:uid="{32B4400D-A80C-4447-A232-1395229890D4}"/>
    <cellStyle name="Currency 5 7 7" xfId="2742" xr:uid="{00000000-0005-0000-0000-0000930D0000}"/>
    <cellStyle name="Currency 5 7 8" xfId="2823" xr:uid="{00000000-0005-0000-0000-0000940D0000}"/>
    <cellStyle name="Currency 5 7 8 2" xfId="7046" xr:uid="{00000000-0005-0000-0000-0000950D0000}"/>
    <cellStyle name="Currency 5 7 8 2 2" xfId="15496" xr:uid="{1CEACDDB-A816-4CB9-9D7F-5020750B7CE7}"/>
    <cellStyle name="Currency 5 7 8 2 3" xfId="23930" xr:uid="{44A4B8AE-2F0C-4327-9435-65EE35CD7141}"/>
    <cellStyle name="Currency 5 7 8 3" xfId="11278" xr:uid="{35159AD5-D6A5-446D-94B2-26071C671C44}"/>
    <cellStyle name="Currency 5 7 8 4" xfId="19713" xr:uid="{506C9780-33D7-4378-983E-F5A09AC4C999}"/>
    <cellStyle name="Currency 5 7 9" xfId="4663" xr:uid="{00000000-0005-0000-0000-0000960D0000}"/>
    <cellStyle name="Currency 5 7 9 2" xfId="13113" xr:uid="{D9188E4A-046D-444C-9CC0-82DADA039F53}"/>
    <cellStyle name="Currency 5 7 9 3" xfId="21547" xr:uid="{57313429-CB88-4473-8980-0FCE8CBD5B57}"/>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864A1FAC-89D9-4197-9AFE-1EB6FACBBE73}"/>
    <cellStyle name="Normal 12 10 2 3" xfId="23614" xr:uid="{B95A344C-CA0F-4002-BCA5-8177FFED86B2}"/>
    <cellStyle name="Normal 12 10 3" xfId="10962" xr:uid="{1FBFC63E-8606-464B-B8C4-4EDBA7AEA303}"/>
    <cellStyle name="Normal 12 10 4" xfId="19397" xr:uid="{90B789E9-9535-492D-90DF-9100B687EC0F}"/>
    <cellStyle name="Normal 12 11" xfId="4664" xr:uid="{00000000-0005-0000-0000-0000CC0D0000}"/>
    <cellStyle name="Normal 12 11 2" xfId="13114" xr:uid="{93566309-F9A6-4412-A21E-69A05FD54B41}"/>
    <cellStyle name="Normal 12 11 3" xfId="21548" xr:uid="{1B338F46-6C74-49DC-8D5C-81998ACE3ED8}"/>
    <cellStyle name="Normal 12 12" xfId="8896" xr:uid="{5BFDC761-30B3-4CCB-9746-81B182D0BE4B}"/>
    <cellStyle name="Normal 12 13" xfId="17331" xr:uid="{5678403C-885B-4A18-9764-027AFEC036F6}"/>
    <cellStyle name="Normal 12 2" xfId="260" xr:uid="{00000000-0005-0000-0000-0000CD0D0000}"/>
    <cellStyle name="Normal 12 2 10" xfId="8897" xr:uid="{691582D2-22CF-4E40-80B8-10F5F9483B9E}"/>
    <cellStyle name="Normal 12 2 11" xfId="17332" xr:uid="{02E4937D-7CE3-4CD6-80C0-355F64A8BC00}"/>
    <cellStyle name="Normal 12 2 2" xfId="261" xr:uid="{00000000-0005-0000-0000-0000CE0D0000}"/>
    <cellStyle name="Normal 12 2 2 10" xfId="17333" xr:uid="{8A5F0469-0DDB-495F-9765-32CD75B3784B}"/>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34558B7F-8D5E-45A3-9FC2-E570D275C784}"/>
    <cellStyle name="Normal 12 2 2 2 2 2 2 3" xfId="24110" xr:uid="{AA0C98A8-DD23-47D8-8407-25AEFE674609}"/>
    <cellStyle name="Normal 12 2 2 2 2 2 3" xfId="11458" xr:uid="{20FA4C55-CAF4-4267-9462-6B8822ACDB6D}"/>
    <cellStyle name="Normal 12 2 2 2 2 2 4" xfId="19893" xr:uid="{A247C583-7783-40CD-BB91-03A6C1D8729B}"/>
    <cellStyle name="Normal 12 2 2 2 2 3" xfId="5081" xr:uid="{00000000-0005-0000-0000-0000D30D0000}"/>
    <cellStyle name="Normal 12 2 2 2 2 3 2" xfId="13531" xr:uid="{0008BDF3-5154-46EF-A566-447BA2BE1C9B}"/>
    <cellStyle name="Normal 12 2 2 2 2 3 3" xfId="21965" xr:uid="{2095447F-B050-4309-946F-985F80F9FC84}"/>
    <cellStyle name="Normal 12 2 2 2 2 4" xfId="9313" xr:uid="{1839F96D-B107-44C4-ADC8-7E6247A5E010}"/>
    <cellStyle name="Normal 12 2 2 2 2 5" xfId="17748" xr:uid="{5A12C02A-10C6-457C-8DE7-FD2AC7D153C0}"/>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D302BB69-8C24-4E26-9E6B-AE3C6D179ED9}"/>
    <cellStyle name="Normal 12 2 2 2 3 2 2 3" xfId="24523" xr:uid="{A5575EA2-38DA-444F-A2E2-1175EEE3D736}"/>
    <cellStyle name="Normal 12 2 2 2 3 2 3" xfId="11871" xr:uid="{F7519CED-CC65-4FC8-A253-444D5B5B4CF4}"/>
    <cellStyle name="Normal 12 2 2 2 3 2 4" xfId="20306" xr:uid="{4714E661-B8FB-45FD-97FB-FD66D6150A57}"/>
    <cellStyle name="Normal 12 2 2 2 3 3" xfId="5494" xr:uid="{00000000-0005-0000-0000-0000D70D0000}"/>
    <cellStyle name="Normal 12 2 2 2 3 3 2" xfId="13944" xr:uid="{78021A38-D79E-4BD3-BE58-68933A8941D7}"/>
    <cellStyle name="Normal 12 2 2 2 3 3 3" xfId="22378" xr:uid="{4B1433A7-F34C-4510-9B55-8B2CD41DBE00}"/>
    <cellStyle name="Normal 12 2 2 2 3 4" xfId="9726" xr:uid="{BB714EE2-013D-47D6-98BB-818B4DBFFFC4}"/>
    <cellStyle name="Normal 12 2 2 2 3 5" xfId="18161" xr:uid="{F6EBC762-BFF2-4179-AD32-32996DDA6FA8}"/>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75033F5F-E7D1-4282-BD7F-4F91AA8FF5F4}"/>
    <cellStyle name="Normal 12 2 2 2 4 2 2 3" xfId="24936" xr:uid="{A564B460-CEA6-4167-965E-09C7F093B18F}"/>
    <cellStyle name="Normal 12 2 2 2 4 2 3" xfId="12284" xr:uid="{FBAF879E-5ADD-4F60-BB08-4F315B53B302}"/>
    <cellStyle name="Normal 12 2 2 2 4 2 4" xfId="20719" xr:uid="{C1422BB3-D1D7-4E2C-8C9D-D6F637927F52}"/>
    <cellStyle name="Normal 12 2 2 2 4 3" xfId="5907" xr:uid="{00000000-0005-0000-0000-0000DB0D0000}"/>
    <cellStyle name="Normal 12 2 2 2 4 3 2" xfId="14357" xr:uid="{7E87484E-7F37-4D26-9D8A-048A16EC7585}"/>
    <cellStyle name="Normal 12 2 2 2 4 3 3" xfId="22791" xr:uid="{3E3CE202-2D1A-4C70-A85A-E69C136B3242}"/>
    <cellStyle name="Normal 12 2 2 2 4 4" xfId="10139" xr:uid="{10A67AC6-CDE6-4D6D-AF02-CE940DE5CE90}"/>
    <cellStyle name="Normal 12 2 2 2 4 5" xfId="18574" xr:uid="{BC2E2382-347A-4938-BE97-572AB50CA027}"/>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FAFA4DF1-172F-4E69-BDD2-B5DD8ED32C15}"/>
    <cellStyle name="Normal 12 2 2 2 5 2 2 3" xfId="25349" xr:uid="{46B9B64D-8EB5-4D25-AB6C-7156F1AE8556}"/>
    <cellStyle name="Normal 12 2 2 2 5 2 3" xfId="12697" xr:uid="{022D7F81-085D-4BD8-A4E2-A69ABBACE58A}"/>
    <cellStyle name="Normal 12 2 2 2 5 2 4" xfId="21132" xr:uid="{252CB3C7-7D4B-4905-8FFE-63553D354899}"/>
    <cellStyle name="Normal 12 2 2 2 5 3" xfId="6320" xr:uid="{00000000-0005-0000-0000-0000DF0D0000}"/>
    <cellStyle name="Normal 12 2 2 2 5 3 2" xfId="14770" xr:uid="{B1839547-6F90-4585-91FF-9BF44AE0B4A2}"/>
    <cellStyle name="Normal 12 2 2 2 5 3 3" xfId="23204" xr:uid="{EB3EE932-8FF4-44E8-B4C3-FEF91AA5E101}"/>
    <cellStyle name="Normal 12 2 2 2 5 4" xfId="10552" xr:uid="{A55A8B4E-34A0-4D8E-BEFB-5B12A30CC039}"/>
    <cellStyle name="Normal 12 2 2 2 5 5" xfId="18987" xr:uid="{472ECB96-9E43-4062-8E33-F8DB05DB9C88}"/>
    <cellStyle name="Normal 12 2 2 2 6" xfId="2450" xr:uid="{00000000-0005-0000-0000-0000E00D0000}"/>
    <cellStyle name="Normal 12 2 2 2 6 2" xfId="6733" xr:uid="{00000000-0005-0000-0000-0000E10D0000}"/>
    <cellStyle name="Normal 12 2 2 2 6 2 2" xfId="15183" xr:uid="{1C247855-1720-438A-9FD2-EC82BB5EBA2D}"/>
    <cellStyle name="Normal 12 2 2 2 6 2 3" xfId="23617" xr:uid="{FEDF79D3-B057-4358-A7BD-EB219DC77375}"/>
    <cellStyle name="Normal 12 2 2 2 6 3" xfId="10965" xr:uid="{702EA863-6924-4FEF-90B6-7D780B3DF6BF}"/>
    <cellStyle name="Normal 12 2 2 2 6 4" xfId="19400" xr:uid="{4DE70448-DDAF-4A2C-AF6B-D26E2ABD5E02}"/>
    <cellStyle name="Normal 12 2 2 2 7" xfId="4667" xr:uid="{00000000-0005-0000-0000-0000E20D0000}"/>
    <cellStyle name="Normal 12 2 2 2 7 2" xfId="13117" xr:uid="{D7235ADC-3682-4279-9418-19DFF3AAC37D}"/>
    <cellStyle name="Normal 12 2 2 2 7 3" xfId="21551" xr:uid="{3270FBA7-F0B2-4969-B746-605597A11DD7}"/>
    <cellStyle name="Normal 12 2 2 2 8" xfId="8899" xr:uid="{88BF0CEF-034B-4A86-8EE0-E27679F6C271}"/>
    <cellStyle name="Normal 12 2 2 2 9" xfId="17334" xr:uid="{B0996C8F-EA93-4A43-851F-4A8BC6CF4D30}"/>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9ADA6451-4710-4FA2-9849-46672764B4C5}"/>
    <cellStyle name="Normal 12 2 2 3 2 2 3" xfId="24109" xr:uid="{CD50390A-A4E7-48A3-9580-6E422CCDDB94}"/>
    <cellStyle name="Normal 12 2 2 3 2 3" xfId="11457" xr:uid="{928B4495-A86E-4238-B014-60AEC6CFCB02}"/>
    <cellStyle name="Normal 12 2 2 3 2 4" xfId="19892" xr:uid="{89720B44-736B-42C9-A758-9FE381062A3D}"/>
    <cellStyle name="Normal 12 2 2 3 3" xfId="5080" xr:uid="{00000000-0005-0000-0000-0000E60D0000}"/>
    <cellStyle name="Normal 12 2 2 3 3 2" xfId="13530" xr:uid="{D05824BF-03DD-4EB8-89D2-767D25E00AF9}"/>
    <cellStyle name="Normal 12 2 2 3 3 3" xfId="21964" xr:uid="{F07C8F29-829C-4C20-9AD3-018643784E76}"/>
    <cellStyle name="Normal 12 2 2 3 4" xfId="9312" xr:uid="{D6F69236-0277-45C1-8DED-A9C86FB48B8E}"/>
    <cellStyle name="Normal 12 2 2 3 5" xfId="17747" xr:uid="{50550C47-E2CD-40CC-9D73-16ADC0628720}"/>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7C3ABD7F-18F8-4DDA-964F-0FB508B953CF}"/>
    <cellStyle name="Normal 12 2 2 4 2 2 3" xfId="24522" xr:uid="{36515578-4717-471A-BA73-5FFF04EBCD12}"/>
    <cellStyle name="Normal 12 2 2 4 2 3" xfId="11870" xr:uid="{039A61F8-C0F8-420B-BF88-0FC54A729C69}"/>
    <cellStyle name="Normal 12 2 2 4 2 4" xfId="20305" xr:uid="{69D826C2-2FCE-4B51-B2F9-590C4465900A}"/>
    <cellStyle name="Normal 12 2 2 4 3" xfId="5493" xr:uid="{00000000-0005-0000-0000-0000EA0D0000}"/>
    <cellStyle name="Normal 12 2 2 4 3 2" xfId="13943" xr:uid="{B92FDEBB-81BF-4CB2-8199-2413D434AAF8}"/>
    <cellStyle name="Normal 12 2 2 4 3 3" xfId="22377" xr:uid="{7DEFEAAE-ECFF-4F7B-ACA5-FA2FB036EE19}"/>
    <cellStyle name="Normal 12 2 2 4 4" xfId="9725" xr:uid="{6872100B-4E2F-46AD-8E01-08C3C422E8A4}"/>
    <cellStyle name="Normal 12 2 2 4 5" xfId="18160" xr:uid="{88B01C8C-4946-4EB5-A62D-1B667003DDC4}"/>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EE057F3-BC05-4339-A106-FBCC4CC8DEA0}"/>
    <cellStyle name="Normal 12 2 2 5 2 2 3" xfId="24935" xr:uid="{C120FD0B-4F7D-4F91-A732-9AFC0D8CA649}"/>
    <cellStyle name="Normal 12 2 2 5 2 3" xfId="12283" xr:uid="{A5214FEC-A8CA-49D9-A80D-110F510AFB16}"/>
    <cellStyle name="Normal 12 2 2 5 2 4" xfId="20718" xr:uid="{BB2C3BC4-8BEF-4376-98DB-2C0DC5C21A13}"/>
    <cellStyle name="Normal 12 2 2 5 3" xfId="5906" xr:uid="{00000000-0005-0000-0000-0000EE0D0000}"/>
    <cellStyle name="Normal 12 2 2 5 3 2" xfId="14356" xr:uid="{FE9F07B1-F57C-45BE-B94A-F6F9008CF673}"/>
    <cellStyle name="Normal 12 2 2 5 3 3" xfId="22790" xr:uid="{E094C3D5-F2C9-43A0-8762-F6C98BEEDB93}"/>
    <cellStyle name="Normal 12 2 2 5 4" xfId="10138" xr:uid="{118D4926-FF30-48DD-9471-B346506558B9}"/>
    <cellStyle name="Normal 12 2 2 5 5" xfId="18573" xr:uid="{C2D43B55-2E29-4F38-BE37-21871D7D184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8CEFC4E4-BC69-419E-BE49-43B78BE1B8CE}"/>
    <cellStyle name="Normal 12 2 2 6 2 2 3" xfId="25348" xr:uid="{E8C2800B-7685-4291-A8C9-8FA1BB200526}"/>
    <cellStyle name="Normal 12 2 2 6 2 3" xfId="12696" xr:uid="{4AF18658-6D91-4CA4-9E0D-63BD9E1C7E6A}"/>
    <cellStyle name="Normal 12 2 2 6 2 4" xfId="21131" xr:uid="{84CF7666-FD6D-418C-A385-A57B72BF6364}"/>
    <cellStyle name="Normal 12 2 2 6 3" xfId="6319" xr:uid="{00000000-0005-0000-0000-0000F20D0000}"/>
    <cellStyle name="Normal 12 2 2 6 3 2" xfId="14769" xr:uid="{0F135015-3428-487F-A210-95BA9A5CC713}"/>
    <cellStyle name="Normal 12 2 2 6 3 3" xfId="23203" xr:uid="{BFACAF36-F9E2-4829-B782-E6E2FF118622}"/>
    <cellStyle name="Normal 12 2 2 6 4" xfId="10551" xr:uid="{63D9068C-09A5-4195-A753-E237E6053D93}"/>
    <cellStyle name="Normal 12 2 2 6 5" xfId="18986" xr:uid="{013CD69D-2FBA-4BDF-9DF8-0D38C68ACE44}"/>
    <cellStyle name="Normal 12 2 2 7" xfId="2449" xr:uid="{00000000-0005-0000-0000-0000F30D0000}"/>
    <cellStyle name="Normal 12 2 2 7 2" xfId="6732" xr:uid="{00000000-0005-0000-0000-0000F40D0000}"/>
    <cellStyle name="Normal 12 2 2 7 2 2" xfId="15182" xr:uid="{9771A284-B8A1-4546-8540-DE2401760F7F}"/>
    <cellStyle name="Normal 12 2 2 7 2 3" xfId="23616" xr:uid="{8487FB96-9E63-45B2-9976-7B837593CE7F}"/>
    <cellStyle name="Normal 12 2 2 7 3" xfId="10964" xr:uid="{77D06D54-404B-44DF-90A5-BF171022D963}"/>
    <cellStyle name="Normal 12 2 2 7 4" xfId="19399" xr:uid="{5D0481DE-4D94-4AE9-941A-B48D432D4934}"/>
    <cellStyle name="Normal 12 2 2 8" xfId="4666" xr:uid="{00000000-0005-0000-0000-0000F50D0000}"/>
    <cellStyle name="Normal 12 2 2 8 2" xfId="13116" xr:uid="{E5A4CD7F-B4EE-43A6-8023-F72330B597D0}"/>
    <cellStyle name="Normal 12 2 2 8 3" xfId="21550" xr:uid="{F0828984-81B2-4427-AD0D-03F388D7EDC3}"/>
    <cellStyle name="Normal 12 2 2 9" xfId="8898" xr:uid="{2668285A-496E-4E31-B863-DBE3A4BEA94B}"/>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316C70CF-2AB8-409A-88D7-E1B6C2DBC00A}"/>
    <cellStyle name="Normal 12 2 3 2 2 2 3" xfId="24111" xr:uid="{A1901B37-7770-4C6D-8BEB-9A57E6715129}"/>
    <cellStyle name="Normal 12 2 3 2 2 3" xfId="11459" xr:uid="{3846C38A-20EA-4549-87CE-53CC7F051D26}"/>
    <cellStyle name="Normal 12 2 3 2 2 4" xfId="19894" xr:uid="{AF02E758-90A1-4DFE-BD63-FF79AA26E033}"/>
    <cellStyle name="Normal 12 2 3 2 3" xfId="5082" xr:uid="{00000000-0005-0000-0000-0000FA0D0000}"/>
    <cellStyle name="Normal 12 2 3 2 3 2" xfId="13532" xr:uid="{13C5E7C7-4B01-4F0A-BDC1-7686FA348BB5}"/>
    <cellStyle name="Normal 12 2 3 2 3 3" xfId="21966" xr:uid="{FADE9D01-17AC-4E83-AA3B-9F71144183DB}"/>
    <cellStyle name="Normal 12 2 3 2 4" xfId="9314" xr:uid="{FBF38E75-3E97-433E-B9A6-C7411379B64B}"/>
    <cellStyle name="Normal 12 2 3 2 5" xfId="17749" xr:uid="{2C6A89BA-16A2-4CAD-A80D-77D374BB8BE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B2BBB5A2-5A10-450D-8D49-06E9959479AF}"/>
    <cellStyle name="Normal 12 2 3 3 2 2 3" xfId="24524" xr:uid="{05CB6A9C-D2BB-4E33-BE71-1FBB70814298}"/>
    <cellStyle name="Normal 12 2 3 3 2 3" xfId="11872" xr:uid="{52835C99-A214-4D38-9745-F4F908E2CBCB}"/>
    <cellStyle name="Normal 12 2 3 3 2 4" xfId="20307" xr:uid="{E2A5B6BD-9036-4A43-986E-3194D397D6AD}"/>
    <cellStyle name="Normal 12 2 3 3 3" xfId="5495" xr:uid="{00000000-0005-0000-0000-0000FE0D0000}"/>
    <cellStyle name="Normal 12 2 3 3 3 2" xfId="13945" xr:uid="{F03CEC48-0972-412C-9A52-19F79A491EB1}"/>
    <cellStyle name="Normal 12 2 3 3 3 3" xfId="22379" xr:uid="{3FE022A0-7AF8-4F74-AB4E-319A0A3C0292}"/>
    <cellStyle name="Normal 12 2 3 3 4" xfId="9727" xr:uid="{30EBCEAC-803F-4EEE-930E-20C708B6F761}"/>
    <cellStyle name="Normal 12 2 3 3 5" xfId="18162" xr:uid="{E4528C4E-A730-4325-9FDB-583000CDFC9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0A31F6F2-D7C2-40D8-A180-218F4DC45E89}"/>
    <cellStyle name="Normal 12 2 3 4 2 2 3" xfId="24937" xr:uid="{CF0A8B20-50DB-4EFE-9D3A-0C4E26970FAE}"/>
    <cellStyle name="Normal 12 2 3 4 2 3" xfId="12285" xr:uid="{8F4F6F78-463E-4EFB-BBD1-0D07FA2196E5}"/>
    <cellStyle name="Normal 12 2 3 4 2 4" xfId="20720" xr:uid="{1F71BAAD-2FAB-413C-970B-248D4B41A644}"/>
    <cellStyle name="Normal 12 2 3 4 3" xfId="5908" xr:uid="{00000000-0005-0000-0000-0000020E0000}"/>
    <cellStyle name="Normal 12 2 3 4 3 2" xfId="14358" xr:uid="{3EDB3728-B821-40B8-BAE5-F315A7996298}"/>
    <cellStyle name="Normal 12 2 3 4 3 3" xfId="22792" xr:uid="{0DD473D1-BE75-4130-9CA5-EAB5C21D7B9C}"/>
    <cellStyle name="Normal 12 2 3 4 4" xfId="10140" xr:uid="{D24903D3-3BD2-4B8E-87A8-FC8B152D8511}"/>
    <cellStyle name="Normal 12 2 3 4 5" xfId="18575" xr:uid="{C3649D2D-7674-4400-8982-A53FABF55B9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488097C6-59AB-47AC-AE45-2989146C37C6}"/>
    <cellStyle name="Normal 12 2 3 5 2 2 3" xfId="25350" xr:uid="{8CA0FD62-8512-4550-98F8-C2059891E083}"/>
    <cellStyle name="Normal 12 2 3 5 2 3" xfId="12698" xr:uid="{3382D6E1-84CE-4481-AE15-2C2A05669A1D}"/>
    <cellStyle name="Normal 12 2 3 5 2 4" xfId="21133" xr:uid="{B6EF0E6A-4A3D-46F6-AC1E-1F9367CF75D0}"/>
    <cellStyle name="Normal 12 2 3 5 3" xfId="6321" xr:uid="{00000000-0005-0000-0000-0000060E0000}"/>
    <cellStyle name="Normal 12 2 3 5 3 2" xfId="14771" xr:uid="{0335B553-A156-454E-A8D7-14A74E41A3F0}"/>
    <cellStyle name="Normal 12 2 3 5 3 3" xfId="23205" xr:uid="{894BF2C1-D656-42DA-AD50-E0C5FCEEEA7A}"/>
    <cellStyle name="Normal 12 2 3 5 4" xfId="10553" xr:uid="{A2B501EB-BEBA-4B84-A1CA-01D372F5EFF9}"/>
    <cellStyle name="Normal 12 2 3 5 5" xfId="18988" xr:uid="{A295BAE1-CCA6-48F7-B863-FE40BF70B202}"/>
    <cellStyle name="Normal 12 2 3 6" xfId="2451" xr:uid="{00000000-0005-0000-0000-0000070E0000}"/>
    <cellStyle name="Normal 12 2 3 6 2" xfId="6734" xr:uid="{00000000-0005-0000-0000-0000080E0000}"/>
    <cellStyle name="Normal 12 2 3 6 2 2" xfId="15184" xr:uid="{CF4DB1AD-EC94-4DDA-AFF7-C3FBC0361130}"/>
    <cellStyle name="Normal 12 2 3 6 2 3" xfId="23618" xr:uid="{0AE5514A-CF14-4593-A9D3-1EBB13489F32}"/>
    <cellStyle name="Normal 12 2 3 6 3" xfId="10966" xr:uid="{32129C24-DC9D-4F46-99AC-D04DF88AF64C}"/>
    <cellStyle name="Normal 12 2 3 6 4" xfId="19401" xr:uid="{570D3CC3-413F-4DA2-BA04-58D6AACEA7AD}"/>
    <cellStyle name="Normal 12 2 3 7" xfId="4668" xr:uid="{00000000-0005-0000-0000-0000090E0000}"/>
    <cellStyle name="Normal 12 2 3 7 2" xfId="13118" xr:uid="{093F74DF-D412-45C1-96C3-B5AA8494F7B0}"/>
    <cellStyle name="Normal 12 2 3 7 3" xfId="21552" xr:uid="{5DC4CB83-DFDB-4661-A2EE-38FE7FBD1A22}"/>
    <cellStyle name="Normal 12 2 3 8" xfId="8900" xr:uid="{7D32379B-6FBC-4069-BE93-3EC7DAD2AA9D}"/>
    <cellStyle name="Normal 12 2 3 9" xfId="17335" xr:uid="{F6FB084F-6619-4CF9-92DC-315DCF174A4E}"/>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8D89A752-06B3-458E-84C7-E87E8B2BB5BC}"/>
    <cellStyle name="Normal 12 2 4 2 2 3" xfId="24108" xr:uid="{7E76570C-95E6-4F66-8638-F0CA91FC2B67}"/>
    <cellStyle name="Normal 12 2 4 2 3" xfId="11456" xr:uid="{19810A58-AC63-4025-9B52-B13AB9B2176A}"/>
    <cellStyle name="Normal 12 2 4 2 4" xfId="19891" xr:uid="{2801420C-0DA3-4C61-8387-773A4C1D44E6}"/>
    <cellStyle name="Normal 12 2 4 3" xfId="5079" xr:uid="{00000000-0005-0000-0000-00000D0E0000}"/>
    <cellStyle name="Normal 12 2 4 3 2" xfId="13529" xr:uid="{B96B083B-8E21-4983-9221-55D2422BE569}"/>
    <cellStyle name="Normal 12 2 4 3 3" xfId="21963" xr:uid="{90335A18-F2C2-4B94-8036-EBA53B484C31}"/>
    <cellStyle name="Normal 12 2 4 4" xfId="9311" xr:uid="{480430B0-8E9A-4A60-892A-3C105C1F6215}"/>
    <cellStyle name="Normal 12 2 4 5" xfId="17746" xr:uid="{45ACF8D6-110D-45B6-9C92-0D87B95B9BFA}"/>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891F9EDB-1073-43C5-9C0B-3CD5D8C8D86F}"/>
    <cellStyle name="Normal 12 2 5 2 2 3" xfId="24521" xr:uid="{0E2B9375-5D0D-4C45-9240-D2F6E560BD39}"/>
    <cellStyle name="Normal 12 2 5 2 3" xfId="11869" xr:uid="{C2FD17C8-7FCD-43EE-B603-47F010E77C33}"/>
    <cellStyle name="Normal 12 2 5 2 4" xfId="20304" xr:uid="{7FC323CF-0974-4F8A-BA14-310C6EAF4454}"/>
    <cellStyle name="Normal 12 2 5 3" xfId="5492" xr:uid="{00000000-0005-0000-0000-0000110E0000}"/>
    <cellStyle name="Normal 12 2 5 3 2" xfId="13942" xr:uid="{68673EEC-E595-487E-AC71-0E1A40B05E97}"/>
    <cellStyle name="Normal 12 2 5 3 3" xfId="22376" xr:uid="{772DCD69-2A10-4964-9ADF-59CF991D9001}"/>
    <cellStyle name="Normal 12 2 5 4" xfId="9724" xr:uid="{FFCA3793-DECB-466B-B583-B48DA1460026}"/>
    <cellStyle name="Normal 12 2 5 5" xfId="18159" xr:uid="{82E64129-D2A8-4BBE-9078-B2F292734503}"/>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2950D8E4-AAD6-45C1-8654-7B8323EA2657}"/>
    <cellStyle name="Normal 12 2 6 2 2 3" xfId="24934" xr:uid="{742AA167-AB7B-4915-A511-3E2BA20BD7D5}"/>
    <cellStyle name="Normal 12 2 6 2 3" xfId="12282" xr:uid="{C5CC4A7A-586E-4E53-B670-B1352D152109}"/>
    <cellStyle name="Normal 12 2 6 2 4" xfId="20717" xr:uid="{5E5FCF64-823B-40CB-A24B-5E32FF0B03C0}"/>
    <cellStyle name="Normal 12 2 6 3" xfId="5905" xr:uid="{00000000-0005-0000-0000-0000150E0000}"/>
    <cellStyle name="Normal 12 2 6 3 2" xfId="14355" xr:uid="{C990ECFC-1134-4748-9920-9E44A71EB748}"/>
    <cellStyle name="Normal 12 2 6 3 3" xfId="22789" xr:uid="{842534CF-A35B-4668-ADE4-58ABFF5832B7}"/>
    <cellStyle name="Normal 12 2 6 4" xfId="10137" xr:uid="{5C4D5952-009C-441E-84AA-41B4C324958F}"/>
    <cellStyle name="Normal 12 2 6 5" xfId="18572" xr:uid="{E3C72407-601F-4839-92DD-DE29DE5F3B8E}"/>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7CB8ADA6-3A78-42A1-A735-C3F4CC5EF2A6}"/>
    <cellStyle name="Normal 12 2 7 2 2 3" xfId="25347" xr:uid="{C94160A0-0607-4C81-9386-32882BE9C5B8}"/>
    <cellStyle name="Normal 12 2 7 2 3" xfId="12695" xr:uid="{69FF2A95-9984-446C-B5DE-D55D7D21CAE1}"/>
    <cellStyle name="Normal 12 2 7 2 4" xfId="21130" xr:uid="{412D67E0-9E8B-44C0-861C-56CC27DFF75B}"/>
    <cellStyle name="Normal 12 2 7 3" xfId="6318" xr:uid="{00000000-0005-0000-0000-0000190E0000}"/>
    <cellStyle name="Normal 12 2 7 3 2" xfId="14768" xr:uid="{EB8A4628-142E-4253-A783-AD27DA6F4DB3}"/>
    <cellStyle name="Normal 12 2 7 3 3" xfId="23202" xr:uid="{DCB2BEE6-1CA2-4EB9-A860-66A9A6754A8F}"/>
    <cellStyle name="Normal 12 2 7 4" xfId="10550" xr:uid="{C2909797-0D57-46C0-98E0-D6D6445E5C0C}"/>
    <cellStyle name="Normal 12 2 7 5" xfId="18985" xr:uid="{C174B2C2-7305-4B24-80C7-03D6FFA656CD}"/>
    <cellStyle name="Normal 12 2 8" xfId="2448" xr:uid="{00000000-0005-0000-0000-00001A0E0000}"/>
    <cellStyle name="Normal 12 2 8 2" xfId="6731" xr:uid="{00000000-0005-0000-0000-00001B0E0000}"/>
    <cellStyle name="Normal 12 2 8 2 2" xfId="15181" xr:uid="{DEF85058-650C-472B-890F-BFF109EAEB1D}"/>
    <cellStyle name="Normal 12 2 8 2 3" xfId="23615" xr:uid="{DBC7D8AC-29A9-4941-92E5-724D38B01265}"/>
    <cellStyle name="Normal 12 2 8 3" xfId="10963" xr:uid="{FB00971A-F218-46C9-9257-8795D7992DBD}"/>
    <cellStyle name="Normal 12 2 8 4" xfId="19398" xr:uid="{D2E34FDD-D4E9-4AD9-8C7C-C65471ED53D8}"/>
    <cellStyle name="Normal 12 2 9" xfId="4665" xr:uid="{00000000-0005-0000-0000-00001C0E0000}"/>
    <cellStyle name="Normal 12 2 9 2" xfId="13115" xr:uid="{C2D9A10F-03BA-4BB4-A971-7D4E4721E43E}"/>
    <cellStyle name="Normal 12 2 9 3" xfId="21549" xr:uid="{FC22CBD8-1C35-47C3-ABC5-99366B0A85B2}"/>
    <cellStyle name="Normal 12 3" xfId="264" xr:uid="{00000000-0005-0000-0000-00001D0E0000}"/>
    <cellStyle name="Normal 12 3 10" xfId="17336" xr:uid="{83B0DA6D-01FB-4492-A8B0-DFE17704F0EB}"/>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346F9587-4DD4-46AA-A594-6D866645E17E}"/>
    <cellStyle name="Normal 12 3 2 2 2 2 3" xfId="24113" xr:uid="{BC3CBF25-C120-4091-BD89-2448B15CE006}"/>
    <cellStyle name="Normal 12 3 2 2 2 3" xfId="11461" xr:uid="{508C87E9-22DB-436A-AB04-F2C12C693080}"/>
    <cellStyle name="Normal 12 3 2 2 2 4" xfId="19896" xr:uid="{5E8F714F-AC34-4D21-BA1E-5259FFF55337}"/>
    <cellStyle name="Normal 12 3 2 2 3" xfId="5084" xr:uid="{00000000-0005-0000-0000-0000220E0000}"/>
    <cellStyle name="Normal 12 3 2 2 3 2" xfId="13534" xr:uid="{62DB9C18-CAB2-49A3-AC09-14DCB6283485}"/>
    <cellStyle name="Normal 12 3 2 2 3 3" xfId="21968" xr:uid="{A1906768-7BE0-40FD-AB82-C100B781A1A8}"/>
    <cellStyle name="Normal 12 3 2 2 4" xfId="9316" xr:uid="{1D3D15C4-3D4A-4D6F-9616-CC890911820E}"/>
    <cellStyle name="Normal 12 3 2 2 5" xfId="17751" xr:uid="{0289CB82-1F9F-4616-BF27-39204E060D99}"/>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6036279A-5499-4C6D-8A62-B14BC6CDCBF5}"/>
    <cellStyle name="Normal 12 3 2 3 2 2 3" xfId="24526" xr:uid="{F3E65877-A063-4E8D-A136-8313F719C266}"/>
    <cellStyle name="Normal 12 3 2 3 2 3" xfId="11874" xr:uid="{225C33B1-4CF8-438E-83D3-F6A07BFB6EF4}"/>
    <cellStyle name="Normal 12 3 2 3 2 4" xfId="20309" xr:uid="{8941ADB2-8FCE-4CCC-8A7D-A06CE92402BC}"/>
    <cellStyle name="Normal 12 3 2 3 3" xfId="5497" xr:uid="{00000000-0005-0000-0000-0000260E0000}"/>
    <cellStyle name="Normal 12 3 2 3 3 2" xfId="13947" xr:uid="{69E7F27D-03D6-4ABA-8A24-FC9DDCFD7320}"/>
    <cellStyle name="Normal 12 3 2 3 3 3" xfId="22381" xr:uid="{BB0EA954-A095-45DA-8296-2530833B938B}"/>
    <cellStyle name="Normal 12 3 2 3 4" xfId="9729" xr:uid="{53EFAAC4-541B-47E9-A209-EC2D0751411D}"/>
    <cellStyle name="Normal 12 3 2 3 5" xfId="18164" xr:uid="{17D33FF5-4024-4F99-8FC0-C5FA444C4267}"/>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9687BB10-DD6C-4B93-ADF1-7D3C6AFC48E9}"/>
    <cellStyle name="Normal 12 3 2 4 2 2 3" xfId="24939" xr:uid="{2F609F84-C89C-4E8C-AB11-9EB44D3B3050}"/>
    <cellStyle name="Normal 12 3 2 4 2 3" xfId="12287" xr:uid="{37583A93-0DAF-49AD-9243-1A4C64CF90F1}"/>
    <cellStyle name="Normal 12 3 2 4 2 4" xfId="20722" xr:uid="{1B94B57A-CFCA-48C0-9967-2F97B5CB2EDE}"/>
    <cellStyle name="Normal 12 3 2 4 3" xfId="5910" xr:uid="{00000000-0005-0000-0000-00002A0E0000}"/>
    <cellStyle name="Normal 12 3 2 4 3 2" xfId="14360" xr:uid="{42AE8BEE-917B-41C1-B4B0-FE3920B584B0}"/>
    <cellStyle name="Normal 12 3 2 4 3 3" xfId="22794" xr:uid="{2350849C-B1CE-40F2-AC2B-D241FB2C6212}"/>
    <cellStyle name="Normal 12 3 2 4 4" xfId="10142" xr:uid="{C9A39E59-CB00-47F9-B942-D68BFEDDC151}"/>
    <cellStyle name="Normal 12 3 2 4 5" xfId="18577" xr:uid="{5D0D30C1-4038-47CC-B847-893D8AC1C211}"/>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AC6FF4AB-1153-4148-A97F-176E8D59AB81}"/>
    <cellStyle name="Normal 12 3 2 5 2 2 3" xfId="25352" xr:uid="{6E91FCB2-0929-4310-9351-317FF252BC19}"/>
    <cellStyle name="Normal 12 3 2 5 2 3" xfId="12700" xr:uid="{736E8D9E-2035-4696-8643-AEF32D28E1B8}"/>
    <cellStyle name="Normal 12 3 2 5 2 4" xfId="21135" xr:uid="{9A4A8697-2230-4452-BB44-2E75A20D8515}"/>
    <cellStyle name="Normal 12 3 2 5 3" xfId="6323" xr:uid="{00000000-0005-0000-0000-00002E0E0000}"/>
    <cellStyle name="Normal 12 3 2 5 3 2" xfId="14773" xr:uid="{3BC64D15-4270-4918-A386-F40A84D334FC}"/>
    <cellStyle name="Normal 12 3 2 5 3 3" xfId="23207" xr:uid="{CE647C77-8C48-42EF-9CCB-C3AD2F1736FB}"/>
    <cellStyle name="Normal 12 3 2 5 4" xfId="10555" xr:uid="{88EF958E-4B4F-4F0C-8087-CD70A1CA3E11}"/>
    <cellStyle name="Normal 12 3 2 5 5" xfId="18990" xr:uid="{6191A2ED-C3E9-4846-AAB7-6088A19D20BF}"/>
    <cellStyle name="Normal 12 3 2 6" xfId="2453" xr:uid="{00000000-0005-0000-0000-00002F0E0000}"/>
    <cellStyle name="Normal 12 3 2 6 2" xfId="6736" xr:uid="{00000000-0005-0000-0000-0000300E0000}"/>
    <cellStyle name="Normal 12 3 2 6 2 2" xfId="15186" xr:uid="{E4E0B59A-5F46-4C5E-8670-080E06D12E08}"/>
    <cellStyle name="Normal 12 3 2 6 2 3" xfId="23620" xr:uid="{850F037D-44EF-4FB7-9A55-9575711F44AA}"/>
    <cellStyle name="Normal 12 3 2 6 3" xfId="10968" xr:uid="{689F846A-6AFC-4512-8D28-14CC33DB8A79}"/>
    <cellStyle name="Normal 12 3 2 6 4" xfId="19403" xr:uid="{A09445F3-83CD-453A-87E6-2E2AFB9CDB52}"/>
    <cellStyle name="Normal 12 3 2 7" xfId="4670" xr:uid="{00000000-0005-0000-0000-0000310E0000}"/>
    <cellStyle name="Normal 12 3 2 7 2" xfId="13120" xr:uid="{67E7DD6D-6051-4100-A90D-D9A6E0DF9A73}"/>
    <cellStyle name="Normal 12 3 2 7 3" xfId="21554" xr:uid="{09CC8098-BAA9-424D-92FE-F9EC9A1D93E1}"/>
    <cellStyle name="Normal 12 3 2 8" xfId="8902" xr:uid="{13A3339D-B94A-46BC-9E60-A09A552B35AA}"/>
    <cellStyle name="Normal 12 3 2 9" xfId="17337" xr:uid="{1F202CFD-F39D-4EFF-9A14-779F64D7C554}"/>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CFC70BD9-50AE-4EB1-BD3D-05D585D2F819}"/>
    <cellStyle name="Normal 12 3 3 2 2 3" xfId="24112" xr:uid="{D066CBBE-00ED-4830-8624-21750CAE646A}"/>
    <cellStyle name="Normal 12 3 3 2 3" xfId="11460" xr:uid="{5990FFF1-E371-4B6A-8A80-DFE0FC405E97}"/>
    <cellStyle name="Normal 12 3 3 2 4" xfId="19895" xr:uid="{C139AC82-98B8-4C05-9D70-DD2E145951FB}"/>
    <cellStyle name="Normal 12 3 3 3" xfId="5083" xr:uid="{00000000-0005-0000-0000-0000350E0000}"/>
    <cellStyle name="Normal 12 3 3 3 2" xfId="13533" xr:uid="{99D3A13E-D402-490F-9D04-81027F104270}"/>
    <cellStyle name="Normal 12 3 3 3 3" xfId="21967" xr:uid="{C0907410-78CF-40A8-8FFB-D31708C4CD90}"/>
    <cellStyle name="Normal 12 3 3 4" xfId="9315" xr:uid="{95F2C754-907A-4FB7-A316-636D5FE5093F}"/>
    <cellStyle name="Normal 12 3 3 5" xfId="17750" xr:uid="{20C9248F-89A4-4642-B15B-3C5D0E12696E}"/>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DD281B94-50BE-4B30-94A1-3E25CDA81DA7}"/>
    <cellStyle name="Normal 12 3 4 2 2 3" xfId="24525" xr:uid="{C21B0767-6F01-4066-8144-52E1D7243A5E}"/>
    <cellStyle name="Normal 12 3 4 2 3" xfId="11873" xr:uid="{1DAD4A3C-155B-4F83-B1D9-0FCCFF1B08CB}"/>
    <cellStyle name="Normal 12 3 4 2 4" xfId="20308" xr:uid="{0CB16078-3B48-4D39-B959-B7C1584F89B4}"/>
    <cellStyle name="Normal 12 3 4 3" xfId="5496" xr:uid="{00000000-0005-0000-0000-0000390E0000}"/>
    <cellStyle name="Normal 12 3 4 3 2" xfId="13946" xr:uid="{D141C190-93D3-41B0-BD3A-464353A9CE7E}"/>
    <cellStyle name="Normal 12 3 4 3 3" xfId="22380" xr:uid="{CBB0D93C-3151-407E-B6AF-A952C9A19DAA}"/>
    <cellStyle name="Normal 12 3 4 4" xfId="9728" xr:uid="{E9040407-55AC-4354-B6A1-C729E1E826D8}"/>
    <cellStyle name="Normal 12 3 4 5" xfId="18163" xr:uid="{D27DF77E-5CC9-4C30-A699-94DCBC2D5701}"/>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2EB79D0A-1CC7-40D2-B821-02DEA36400BC}"/>
    <cellStyle name="Normal 12 3 5 2 2 3" xfId="24938" xr:uid="{B46D6EFB-9394-4670-998D-EEC1D969E1D4}"/>
    <cellStyle name="Normal 12 3 5 2 3" xfId="12286" xr:uid="{FF5EAB4E-09EF-4108-B825-EEE8F6B87333}"/>
    <cellStyle name="Normal 12 3 5 2 4" xfId="20721" xr:uid="{E2E3A5DB-F2E7-4C5C-B343-8B84B31A479F}"/>
    <cellStyle name="Normal 12 3 5 3" xfId="5909" xr:uid="{00000000-0005-0000-0000-00003D0E0000}"/>
    <cellStyle name="Normal 12 3 5 3 2" xfId="14359" xr:uid="{F23212AF-0ADD-4DF6-857E-F91812EFC07F}"/>
    <cellStyle name="Normal 12 3 5 3 3" xfId="22793" xr:uid="{0B0AED89-2716-47C2-BDDD-38905156F17C}"/>
    <cellStyle name="Normal 12 3 5 4" xfId="10141" xr:uid="{AB6DEEF9-AA5D-42ED-9682-615F37A3F11F}"/>
    <cellStyle name="Normal 12 3 5 5" xfId="18576" xr:uid="{A9B9098C-D4F6-46A8-8E63-1EF5C392F6C1}"/>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6BC63B1A-6493-4DAB-B556-540EBD293FD6}"/>
    <cellStyle name="Normal 12 3 6 2 2 3" xfId="25351" xr:uid="{D07D35D9-2F5C-4EED-BA51-85AB46A4A6F6}"/>
    <cellStyle name="Normal 12 3 6 2 3" xfId="12699" xr:uid="{516B8586-0240-4D09-9467-9B37DEB3F280}"/>
    <cellStyle name="Normal 12 3 6 2 4" xfId="21134" xr:uid="{CB072290-AB87-4295-B45C-46DFE6633D51}"/>
    <cellStyle name="Normal 12 3 6 3" xfId="6322" xr:uid="{00000000-0005-0000-0000-0000410E0000}"/>
    <cellStyle name="Normal 12 3 6 3 2" xfId="14772" xr:uid="{3E4BF265-81B0-49F0-B26C-BF4E20752B26}"/>
    <cellStyle name="Normal 12 3 6 3 3" xfId="23206" xr:uid="{DF27C695-B455-449B-A3E1-D19873EE61B4}"/>
    <cellStyle name="Normal 12 3 6 4" xfId="10554" xr:uid="{2B257425-15AD-452A-B98B-80101E2100E2}"/>
    <cellStyle name="Normal 12 3 6 5" xfId="18989" xr:uid="{B2DBFDF1-4481-4C03-BAA1-2DA142E981B7}"/>
    <cellStyle name="Normal 12 3 7" xfId="2452" xr:uid="{00000000-0005-0000-0000-0000420E0000}"/>
    <cellStyle name="Normal 12 3 7 2" xfId="6735" xr:uid="{00000000-0005-0000-0000-0000430E0000}"/>
    <cellStyle name="Normal 12 3 7 2 2" xfId="15185" xr:uid="{9BAD89D8-EBD6-4236-82A3-1694BE1A886B}"/>
    <cellStyle name="Normal 12 3 7 2 3" xfId="23619" xr:uid="{9E649225-53F2-4BC5-AB55-C720B9C076C5}"/>
    <cellStyle name="Normal 12 3 7 3" xfId="10967" xr:uid="{3287F6D5-9225-4B6A-920A-C14024AF7A0D}"/>
    <cellStyle name="Normal 12 3 7 4" xfId="19402" xr:uid="{EF59BF47-DECA-46B3-80E1-186FC71D4430}"/>
    <cellStyle name="Normal 12 3 8" xfId="4669" xr:uid="{00000000-0005-0000-0000-0000440E0000}"/>
    <cellStyle name="Normal 12 3 8 2" xfId="13119" xr:uid="{4CEBDA6E-71F2-480E-8AA1-4D20F0D1989F}"/>
    <cellStyle name="Normal 12 3 8 3" xfId="21553" xr:uid="{40D5B329-F3D1-4EF7-BCC9-386950BB2449}"/>
    <cellStyle name="Normal 12 3 9" xfId="8901" xr:uid="{17135AC9-D5FB-41BA-A758-9A4356BB3BD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A7B5DE35-4740-45A8-8835-DF5097EE1C1E}"/>
    <cellStyle name="Normal 12 4 2 2 2 3" xfId="24114" xr:uid="{6B4760D7-F016-4D1F-8744-A0D42DD13866}"/>
    <cellStyle name="Normal 12 4 2 2 3" xfId="11462" xr:uid="{89D2B8B7-B299-4E2B-8C78-52CE618097A2}"/>
    <cellStyle name="Normal 12 4 2 2 4" xfId="19897" xr:uid="{00413C27-9745-4174-AE58-DB14C30B8743}"/>
    <cellStyle name="Normal 12 4 2 3" xfId="5085" xr:uid="{00000000-0005-0000-0000-0000490E0000}"/>
    <cellStyle name="Normal 12 4 2 3 2" xfId="13535" xr:uid="{F3C64665-9873-48E3-95BA-711CA98611FD}"/>
    <cellStyle name="Normal 12 4 2 3 3" xfId="21969" xr:uid="{37E36959-8151-4BAD-9FF3-0F0A0C50BBF3}"/>
    <cellStyle name="Normal 12 4 2 4" xfId="9317" xr:uid="{85ADD292-AEB0-450B-9A1C-87915696675A}"/>
    <cellStyle name="Normal 12 4 2 5" xfId="17752" xr:uid="{CA1468A4-0371-4D68-9566-29FA01CA224A}"/>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A218F115-48DA-4B21-A24E-ACC2DE578A4D}"/>
    <cellStyle name="Normal 12 4 3 2 2 3" xfId="24527" xr:uid="{90BBA111-7321-40CD-9529-6D651601D5F0}"/>
    <cellStyle name="Normal 12 4 3 2 3" xfId="11875" xr:uid="{4D2F6A9C-CD08-47FD-B17F-1CEC1F734F9B}"/>
    <cellStyle name="Normal 12 4 3 2 4" xfId="20310" xr:uid="{F51D72F6-EA5B-4879-A502-8170A2BA59B4}"/>
    <cellStyle name="Normal 12 4 3 3" xfId="5498" xr:uid="{00000000-0005-0000-0000-00004D0E0000}"/>
    <cellStyle name="Normal 12 4 3 3 2" xfId="13948" xr:uid="{3BB63B24-DDC8-436F-AC5E-B2CC3C651D14}"/>
    <cellStyle name="Normal 12 4 3 3 3" xfId="22382" xr:uid="{580D9288-9515-45C2-97D8-C2AE815BCB7F}"/>
    <cellStyle name="Normal 12 4 3 4" xfId="9730" xr:uid="{02D1130B-23BC-4C3C-9A3B-A82469C6307A}"/>
    <cellStyle name="Normal 12 4 3 5" xfId="18165" xr:uid="{F354C40F-D008-4072-90BC-DE10D774A172}"/>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0B886686-0039-4812-A980-E878A7C6533A}"/>
    <cellStyle name="Normal 12 4 4 2 2 3" xfId="24940" xr:uid="{2070FE4B-E3BA-4FD1-9A8F-F2343765D33E}"/>
    <cellStyle name="Normal 12 4 4 2 3" xfId="12288" xr:uid="{227DFEFD-33F6-4894-B024-6EABC9721938}"/>
    <cellStyle name="Normal 12 4 4 2 4" xfId="20723" xr:uid="{AAE6D5D2-C3C7-438E-9CF1-2FD6181F5673}"/>
    <cellStyle name="Normal 12 4 4 3" xfId="5911" xr:uid="{00000000-0005-0000-0000-0000510E0000}"/>
    <cellStyle name="Normal 12 4 4 3 2" xfId="14361" xr:uid="{2AF880DB-158D-41E4-A738-A50C268EE0B2}"/>
    <cellStyle name="Normal 12 4 4 3 3" xfId="22795" xr:uid="{94ABC8E3-3219-4954-9231-71BB30821DD5}"/>
    <cellStyle name="Normal 12 4 4 4" xfId="10143" xr:uid="{F5BF5C86-74B0-4DBB-A1AA-15D679A29CC4}"/>
    <cellStyle name="Normal 12 4 4 5" xfId="18578" xr:uid="{96D2F134-767A-4111-82A7-D9E496CB358D}"/>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5854B161-0F39-4EBD-BB3A-F85AE541CAC3}"/>
    <cellStyle name="Normal 12 4 5 2 2 3" xfId="25353" xr:uid="{E426F661-E91C-476B-830D-4B18370C6740}"/>
    <cellStyle name="Normal 12 4 5 2 3" xfId="12701" xr:uid="{1CCE6F77-3743-41E6-A2CF-0704FB2E788C}"/>
    <cellStyle name="Normal 12 4 5 2 4" xfId="21136" xr:uid="{A0EDE2ED-124F-4A83-A60C-83C3F91A469C}"/>
    <cellStyle name="Normal 12 4 5 3" xfId="6324" xr:uid="{00000000-0005-0000-0000-0000550E0000}"/>
    <cellStyle name="Normal 12 4 5 3 2" xfId="14774" xr:uid="{A45983D6-FAF2-43AC-80B9-050DDFF51378}"/>
    <cellStyle name="Normal 12 4 5 3 3" xfId="23208" xr:uid="{E158DBDC-4B13-4420-ADA8-73833EDCBB0A}"/>
    <cellStyle name="Normal 12 4 5 4" xfId="10556" xr:uid="{D025965B-FD04-491B-B1B0-46A625051C95}"/>
    <cellStyle name="Normal 12 4 5 5" xfId="18991" xr:uid="{AB35F0D4-6F27-45D6-80E4-17B5E24EC4BE}"/>
    <cellStyle name="Normal 12 4 6" xfId="2454" xr:uid="{00000000-0005-0000-0000-0000560E0000}"/>
    <cellStyle name="Normal 12 4 6 2" xfId="6737" xr:uid="{00000000-0005-0000-0000-0000570E0000}"/>
    <cellStyle name="Normal 12 4 6 2 2" xfId="15187" xr:uid="{F6481DFC-9DF8-4267-B049-7340BCAC048D}"/>
    <cellStyle name="Normal 12 4 6 2 3" xfId="23621" xr:uid="{C8F69B78-785B-4A1E-B161-815D159F04BA}"/>
    <cellStyle name="Normal 12 4 6 3" xfId="10969" xr:uid="{2B39A765-D317-4EF3-8EEF-AEEC7EB98A0D}"/>
    <cellStyle name="Normal 12 4 6 4" xfId="19404" xr:uid="{5509EA6A-0A85-4046-9A27-793AE7D109C0}"/>
    <cellStyle name="Normal 12 4 7" xfId="4671" xr:uid="{00000000-0005-0000-0000-0000580E0000}"/>
    <cellStyle name="Normal 12 4 7 2" xfId="13121" xr:uid="{D489D932-23C0-4A18-8396-2382129321BA}"/>
    <cellStyle name="Normal 12 4 7 3" xfId="21555" xr:uid="{50326B1E-9FC2-4B66-87F6-D2A42218F5E9}"/>
    <cellStyle name="Normal 12 4 8" xfId="8903" xr:uid="{C71237EE-6EF6-4E5B-AF10-9869963F4F82}"/>
    <cellStyle name="Normal 12 4 9" xfId="17338" xr:uid="{BC9F2B0C-ADC5-48B8-A3B5-A832DA0FE668}"/>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881F95CE-8CCC-4847-9F04-EDD4FFE7962A}"/>
    <cellStyle name="Normal 12 6 2 2 3" xfId="24107" xr:uid="{CBA7CF3D-D42B-4E59-880D-EB40F6A9A34F}"/>
    <cellStyle name="Normal 12 6 2 3" xfId="11455" xr:uid="{D10D2E23-814F-4307-918D-62CD3E436BD9}"/>
    <cellStyle name="Normal 12 6 2 4" xfId="19890" xr:uid="{C02EC3D9-8ABE-43F6-AA7B-702FD444E16A}"/>
    <cellStyle name="Normal 12 6 3" xfId="5078" xr:uid="{00000000-0005-0000-0000-00005D0E0000}"/>
    <cellStyle name="Normal 12 6 3 2" xfId="13528" xr:uid="{78538197-9802-4A04-AA5F-5AA7FC41E87B}"/>
    <cellStyle name="Normal 12 6 3 3" xfId="21962" xr:uid="{820B8E0D-7F4F-4AB6-B3BE-67374B4FB1B3}"/>
    <cellStyle name="Normal 12 6 4" xfId="9310" xr:uid="{C7979C55-3152-4072-AA3B-22ECB9A233D9}"/>
    <cellStyle name="Normal 12 6 5" xfId="17745" xr:uid="{D9328A1D-EEAC-4C67-9089-FB645640FBC2}"/>
    <cellStyle name="Normal 12 7" xfId="1183" xr:uid="{00000000-0005-0000-0000-00005E0E0000}"/>
    <cellStyle name="Normal 12 7 2" xfId="3414" xr:uid="{00000000-0005-0000-0000-00005F0E0000}"/>
    <cellStyle name="Normal 12 7 2 2" xfId="7636" xr:uid="{00000000-0005-0000-0000-0000600E0000}"/>
    <cellStyle name="Normal 12 7 2 2 2" xfId="16086" xr:uid="{55D4D581-6C22-4242-A05E-9AE2EE11ED77}"/>
    <cellStyle name="Normal 12 7 2 2 3" xfId="24520" xr:uid="{22A52B8A-B473-4204-A150-AD4D99B9DC87}"/>
    <cellStyle name="Normal 12 7 2 3" xfId="11868" xr:uid="{8902FD0C-7B2C-4A73-8BC5-7549100E4156}"/>
    <cellStyle name="Normal 12 7 2 4" xfId="20303" xr:uid="{D70389D5-0095-4C6F-BD41-378A8F8FC1C2}"/>
    <cellStyle name="Normal 12 7 3" xfId="5491" xr:uid="{00000000-0005-0000-0000-0000610E0000}"/>
    <cellStyle name="Normal 12 7 3 2" xfId="13941" xr:uid="{5402B2FB-CA14-41E5-B762-26BA4D385A9B}"/>
    <cellStyle name="Normal 12 7 3 3" xfId="22375" xr:uid="{10025C86-071E-45C2-A807-48053F187D47}"/>
    <cellStyle name="Normal 12 7 4" xfId="9723" xr:uid="{1642BE60-0C34-4E9D-828F-D734667C6440}"/>
    <cellStyle name="Normal 12 7 5" xfId="18158" xr:uid="{A4A7D531-F7D4-46D9-B4CB-ABC1377B2DF3}"/>
    <cellStyle name="Normal 12 8" xfId="1597" xr:uid="{00000000-0005-0000-0000-0000620E0000}"/>
    <cellStyle name="Normal 12 8 2" xfId="3827" xr:uid="{00000000-0005-0000-0000-0000630E0000}"/>
    <cellStyle name="Normal 12 8 2 2" xfId="8049" xr:uid="{00000000-0005-0000-0000-0000640E0000}"/>
    <cellStyle name="Normal 12 8 2 2 2" xfId="16499" xr:uid="{F8DD51D2-9099-40FD-9C1D-99D3EE56A248}"/>
    <cellStyle name="Normal 12 8 2 2 3" xfId="24933" xr:uid="{113170BB-7883-446F-8D0B-B33DD1C96EFA}"/>
    <cellStyle name="Normal 12 8 2 3" xfId="12281" xr:uid="{7F30946C-D34F-498D-B784-1808CF9A1B9C}"/>
    <cellStyle name="Normal 12 8 2 4" xfId="20716" xr:uid="{9278F870-BC08-4994-9B8D-D3DEB9EB85EB}"/>
    <cellStyle name="Normal 12 8 3" xfId="5904" xr:uid="{00000000-0005-0000-0000-0000650E0000}"/>
    <cellStyle name="Normal 12 8 3 2" xfId="14354" xr:uid="{215F00D0-72BB-4B86-BAAF-7B472E944DA1}"/>
    <cellStyle name="Normal 12 8 3 3" xfId="22788" xr:uid="{5FB5B630-6C08-4EC8-879C-E7B949E9B8F7}"/>
    <cellStyle name="Normal 12 8 4" xfId="10136" xr:uid="{A75B426B-BBDD-4B04-9E09-0B49690BEC02}"/>
    <cellStyle name="Normal 12 8 5" xfId="18571" xr:uid="{2627C6E4-DA37-48D4-B3EF-2FD6BBCB2678}"/>
    <cellStyle name="Normal 12 9" xfId="2011" xr:uid="{00000000-0005-0000-0000-0000660E0000}"/>
    <cellStyle name="Normal 12 9 2" xfId="4240" xr:uid="{00000000-0005-0000-0000-0000670E0000}"/>
    <cellStyle name="Normal 12 9 2 2" xfId="8462" xr:uid="{00000000-0005-0000-0000-0000680E0000}"/>
    <cellStyle name="Normal 12 9 2 2 2" xfId="16912" xr:uid="{263B79FE-7D51-4F98-A2DD-328AF39B8CB9}"/>
    <cellStyle name="Normal 12 9 2 2 3" xfId="25346" xr:uid="{DFCFF1EE-4762-486C-9242-440CAB0614CB}"/>
    <cellStyle name="Normal 12 9 2 3" xfId="12694" xr:uid="{DCDBB3EC-B5CD-4CA0-97DC-6CB0C9EFEE99}"/>
    <cellStyle name="Normal 12 9 2 4" xfId="21129" xr:uid="{A93822D4-C0C8-4139-91D7-7E9A14C62929}"/>
    <cellStyle name="Normal 12 9 3" xfId="6317" xr:uid="{00000000-0005-0000-0000-0000690E0000}"/>
    <cellStyle name="Normal 12 9 3 2" xfId="14767" xr:uid="{D7CDA51C-B1BB-4ED9-877C-A22F7EC59CE3}"/>
    <cellStyle name="Normal 12 9 3 3" xfId="23201" xr:uid="{CAC15247-CE9D-4ABF-AD4D-6C1C7B34274C}"/>
    <cellStyle name="Normal 12 9 4" xfId="10549" xr:uid="{595FF148-F102-4132-83BE-9CBCB51CAE9F}"/>
    <cellStyle name="Normal 12 9 5" xfId="18984" xr:uid="{D35B7BA2-5BEA-452F-9140-3976BC38CA7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B5F2CC6A-0504-490B-BDC0-A8A51384B98B}"/>
    <cellStyle name="Normal 14 2 2 2 3" xfId="24115" xr:uid="{32660B0B-F718-490D-B8AF-01F9C8F397AC}"/>
    <cellStyle name="Normal 14 2 2 3" xfId="11463" xr:uid="{EB46EF0B-0174-4D90-8415-B7DB4E0C057F}"/>
    <cellStyle name="Normal 14 2 2 4" xfId="19898" xr:uid="{4F2E7C45-CF82-4CF9-A6AD-0FA62BF99F46}"/>
    <cellStyle name="Normal 14 2 3" xfId="5086" xr:uid="{00000000-0005-0000-0000-0000700E0000}"/>
    <cellStyle name="Normal 14 2 3 2" xfId="13536" xr:uid="{57360F33-7DD2-43A6-BAFF-896B6112E795}"/>
    <cellStyle name="Normal 14 2 3 3" xfId="21970" xr:uid="{C39BFB7E-3763-4007-9B7B-ADB32720169F}"/>
    <cellStyle name="Normal 14 2 4" xfId="9318" xr:uid="{AC41AF5B-3E21-4D7B-ADC7-C7F63E78843B}"/>
    <cellStyle name="Normal 14 2 5" xfId="17753" xr:uid="{902C4C30-7DB9-49F6-A59C-A4218E0EBC3C}"/>
    <cellStyle name="Normal 14 3" xfId="1191" xr:uid="{00000000-0005-0000-0000-0000710E0000}"/>
    <cellStyle name="Normal 14 3 2" xfId="3422" xr:uid="{00000000-0005-0000-0000-0000720E0000}"/>
    <cellStyle name="Normal 14 3 2 2" xfId="7644" xr:uid="{00000000-0005-0000-0000-0000730E0000}"/>
    <cellStyle name="Normal 14 3 2 2 2" xfId="16094" xr:uid="{CF297AE7-5D57-4F68-BDB0-2FBCDA6C02AB}"/>
    <cellStyle name="Normal 14 3 2 2 3" xfId="24528" xr:uid="{F87E0D96-9DC5-41F6-AC49-0573230D22A7}"/>
    <cellStyle name="Normal 14 3 2 3" xfId="11876" xr:uid="{EEEFBCD1-5DE5-4F9B-8388-3CCA68610ABA}"/>
    <cellStyle name="Normal 14 3 2 4" xfId="20311" xr:uid="{FB3F33D6-61BD-49AA-90AC-2E90ACEA61BE}"/>
    <cellStyle name="Normal 14 3 3" xfId="5499" xr:uid="{00000000-0005-0000-0000-0000740E0000}"/>
    <cellStyle name="Normal 14 3 3 2" xfId="13949" xr:uid="{643AF718-1E4E-47B0-9C50-BEBDCBFFEE69}"/>
    <cellStyle name="Normal 14 3 3 3" xfId="22383" xr:uid="{608CC86A-053C-404E-BE96-6ECC21129B37}"/>
    <cellStyle name="Normal 14 3 4" xfId="9731" xr:uid="{B8F423B7-D8CC-459D-B094-D05D55D3E14D}"/>
    <cellStyle name="Normal 14 3 5" xfId="18166" xr:uid="{4EF96758-11F0-4A32-AE54-66F24C2FA92F}"/>
    <cellStyle name="Normal 14 4" xfId="1605" xr:uid="{00000000-0005-0000-0000-0000750E0000}"/>
    <cellStyle name="Normal 14 4 2" xfId="3835" xr:uid="{00000000-0005-0000-0000-0000760E0000}"/>
    <cellStyle name="Normal 14 4 2 2" xfId="8057" xr:uid="{00000000-0005-0000-0000-0000770E0000}"/>
    <cellStyle name="Normal 14 4 2 2 2" xfId="16507" xr:uid="{9E2DA32A-D502-4B62-9F3D-AD76FC6B56AD}"/>
    <cellStyle name="Normal 14 4 2 2 3" xfId="24941" xr:uid="{41E713F1-B6FD-452E-A82C-2BDA4C9B54DF}"/>
    <cellStyle name="Normal 14 4 2 3" xfId="12289" xr:uid="{D1E26AF0-98A2-4D34-8118-019255B794AD}"/>
    <cellStyle name="Normal 14 4 2 4" xfId="20724" xr:uid="{21801E19-9286-47C9-8AE2-B63DB645BEF2}"/>
    <cellStyle name="Normal 14 4 3" xfId="5912" xr:uid="{00000000-0005-0000-0000-0000780E0000}"/>
    <cellStyle name="Normal 14 4 3 2" xfId="14362" xr:uid="{C4BEDA9A-7E01-474C-9E39-65636B39BE52}"/>
    <cellStyle name="Normal 14 4 3 3" xfId="22796" xr:uid="{A0E359F8-D693-45AC-AB0E-2FAB70A14770}"/>
    <cellStyle name="Normal 14 4 4" xfId="10144" xr:uid="{3ABB32C7-BD50-4CC0-85C3-51B0BD3B72EB}"/>
    <cellStyle name="Normal 14 4 5" xfId="18579" xr:uid="{1FEEB35D-CD0F-4513-BDF9-6CB5DAEC1124}"/>
    <cellStyle name="Normal 14 5" xfId="2019" xr:uid="{00000000-0005-0000-0000-0000790E0000}"/>
    <cellStyle name="Normal 14 5 2" xfId="4248" xr:uid="{00000000-0005-0000-0000-00007A0E0000}"/>
    <cellStyle name="Normal 14 5 2 2" xfId="8470" xr:uid="{00000000-0005-0000-0000-00007B0E0000}"/>
    <cellStyle name="Normal 14 5 2 2 2" xfId="16920" xr:uid="{9B114FAD-D962-46E7-81C5-5DCA6CC7A4C9}"/>
    <cellStyle name="Normal 14 5 2 2 3" xfId="25354" xr:uid="{6AA69BD5-A9E3-4600-92A6-76955FB39B4C}"/>
    <cellStyle name="Normal 14 5 2 3" xfId="12702" xr:uid="{3CF59E88-1304-4449-92C2-514F852B0D03}"/>
    <cellStyle name="Normal 14 5 2 4" xfId="21137" xr:uid="{1CEEB0D3-AACE-44DF-B902-18381E7AE00B}"/>
    <cellStyle name="Normal 14 5 3" xfId="6325" xr:uid="{00000000-0005-0000-0000-00007C0E0000}"/>
    <cellStyle name="Normal 14 5 3 2" xfId="14775" xr:uid="{2A24CAE0-E747-4485-82AA-FBAB0C41AF6D}"/>
    <cellStyle name="Normal 14 5 3 3" xfId="23209" xr:uid="{80A4671D-4FD2-47A0-95CA-2EBB31029971}"/>
    <cellStyle name="Normal 14 5 4" xfId="10557" xr:uid="{E6C0F4D0-17CC-4967-B649-CEEA3AA01C0B}"/>
    <cellStyle name="Normal 14 5 5" xfId="18992" xr:uid="{CE9A25FB-F29A-4C75-A9FF-7FD0C5D49900}"/>
    <cellStyle name="Normal 14 6" xfId="2455" xr:uid="{00000000-0005-0000-0000-00007D0E0000}"/>
    <cellStyle name="Normal 14 6 2" xfId="6738" xr:uid="{00000000-0005-0000-0000-00007E0E0000}"/>
    <cellStyle name="Normal 14 6 2 2" xfId="15188" xr:uid="{27DE977D-F1DB-437B-930B-579B7AE48D01}"/>
    <cellStyle name="Normal 14 6 2 3" xfId="23622" xr:uid="{EF900DBA-2A53-459C-AC24-4BF07923CAB4}"/>
    <cellStyle name="Normal 14 6 3" xfId="10970" xr:uid="{457CBDD9-5036-45DC-ABB5-DFE0387138E3}"/>
    <cellStyle name="Normal 14 6 4" xfId="19405" xr:uid="{158529B1-6645-4F62-AE4B-760270B94397}"/>
    <cellStyle name="Normal 14 7" xfId="4672" xr:uid="{00000000-0005-0000-0000-00007F0E0000}"/>
    <cellStyle name="Normal 14 7 2" xfId="13122" xr:uid="{473D746B-C2B0-49FD-9328-5CD48A5212B7}"/>
    <cellStyle name="Normal 14 7 3" xfId="21556" xr:uid="{08015C64-9BF3-425F-9522-6A177348AF2E}"/>
    <cellStyle name="Normal 14 8" xfId="8904" xr:uid="{CA517618-923E-4437-9EFD-235F4BA616EE}"/>
    <cellStyle name="Normal 14 9" xfId="17339" xr:uid="{49DA8F4B-ED73-4683-A5C9-A47BCA24D20F}"/>
    <cellStyle name="Normal 15" xfId="4496" xr:uid="{00000000-0005-0000-0000-0000800E0000}"/>
    <cellStyle name="Normal 15 2" xfId="12948" xr:uid="{A245383D-D732-4FD1-9D52-6C0CAA236D30}"/>
    <cellStyle name="Normal 15 3" xfId="21382" xr:uid="{DD2F4140-DF58-47BA-B71C-1819D83C5D54}"/>
    <cellStyle name="Normal 16" xfId="4500" xr:uid="{00000000-0005-0000-0000-0000810E0000}"/>
    <cellStyle name="Normal 16 2" xfId="8715" xr:uid="{00000000-0005-0000-0000-0000820E0000}"/>
    <cellStyle name="Normal 16 2 2" xfId="17165" xr:uid="{22822D1D-DC26-46D2-B588-E131814A9CD3}"/>
    <cellStyle name="Normal 16 2 3" xfId="25599" xr:uid="{D82691CA-59B1-4DDF-8099-1B3DD27D618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3" xfId="17168" xr:uid="{38C34A48-11C6-4152-BD8E-499B81B16FC0}"/>
    <cellStyle name="Normal 16 3 4" xfId="25602" xr:uid="{8032E729-CB31-4B5D-BC5E-B9CD900BF0E1}"/>
    <cellStyle name="Normal 16 4" xfId="12951" xr:uid="{1869CC79-E830-4D0B-BC23-43B75FE971FA}"/>
    <cellStyle name="Normal 16 5" xfId="21385" xr:uid="{532DE17C-ADF8-4CE2-9D28-234728FC4CD5}"/>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E8B76C99-5F15-4FFF-A943-9E550AFAF1A5}"/>
    <cellStyle name="Normal 2 4 2 10 2 2 3" xfId="25355" xr:uid="{E9EBAEEA-4069-45E0-B3F4-38B29BF5EF1F}"/>
    <cellStyle name="Normal 2 4 2 10 2 3" xfId="12703" xr:uid="{28E3A043-566A-4870-9409-818D8062BEE9}"/>
    <cellStyle name="Normal 2 4 2 10 2 4" xfId="21138" xr:uid="{02614139-E4BA-4656-BD62-04ECCB59C107}"/>
    <cellStyle name="Normal 2 4 2 10 3" xfId="6326" xr:uid="{00000000-0005-0000-0000-0000910E0000}"/>
    <cellStyle name="Normal 2 4 2 10 3 2" xfId="14776" xr:uid="{946CB0FC-8779-4E68-83B4-B5FA4E7B3D53}"/>
    <cellStyle name="Normal 2 4 2 10 3 3" xfId="23210" xr:uid="{55150C55-2227-4F78-B3DA-2781DF47ED0F}"/>
    <cellStyle name="Normal 2 4 2 10 4" xfId="10558" xr:uid="{D361B164-4EF8-4E9F-9649-24EF56C9A70F}"/>
    <cellStyle name="Normal 2 4 2 10 5" xfId="18993" xr:uid="{A90CD993-95B8-4902-80C6-F88D140A30FB}"/>
    <cellStyle name="Normal 2 4 2 11" xfId="2456" xr:uid="{00000000-0005-0000-0000-0000920E0000}"/>
    <cellStyle name="Normal 2 4 2 11 2" xfId="6739" xr:uid="{00000000-0005-0000-0000-0000930E0000}"/>
    <cellStyle name="Normal 2 4 2 11 2 2" xfId="15189" xr:uid="{377C07FE-6FD0-4A45-9FC1-4B266D2D2FA9}"/>
    <cellStyle name="Normal 2 4 2 11 2 3" xfId="23623" xr:uid="{8920DB02-0BD4-4530-A9E6-A46B3754072A}"/>
    <cellStyle name="Normal 2 4 2 11 3" xfId="10971" xr:uid="{55D69D7E-FC12-49D5-BCD5-637F38875736}"/>
    <cellStyle name="Normal 2 4 2 11 4" xfId="19406" xr:uid="{A85E3DBC-F656-49FF-B99E-02FA927F401C}"/>
    <cellStyle name="Normal 2 4 2 12" xfId="4673" xr:uid="{00000000-0005-0000-0000-0000940E0000}"/>
    <cellStyle name="Normal 2 4 2 12 2" xfId="13123" xr:uid="{20803129-1C69-4004-A5CF-94DE5C92EAE0}"/>
    <cellStyle name="Normal 2 4 2 12 3" xfId="21557" xr:uid="{82840A65-8F94-470E-A3D0-1C2C1B670B26}"/>
    <cellStyle name="Normal 2 4 2 13" xfId="8905" xr:uid="{343DC9C1-0DFB-4702-985C-63085E41F1B7}"/>
    <cellStyle name="Normal 2 4 2 14" xfId="17340" xr:uid="{98CF1640-86B5-473D-B441-745F12F53934}"/>
    <cellStyle name="Normal 2 4 2 2" xfId="280" xr:uid="{00000000-0005-0000-0000-0000950E0000}"/>
    <cellStyle name="Normal 2 4 2 3" xfId="281" xr:uid="{00000000-0005-0000-0000-0000960E0000}"/>
    <cellStyle name="Normal 2 4 2 3 10" xfId="4674" xr:uid="{00000000-0005-0000-0000-0000970E0000}"/>
    <cellStyle name="Normal 2 4 2 3 10 2" xfId="13124" xr:uid="{79706FCC-EEBC-424B-9DB3-14D1D009C570}"/>
    <cellStyle name="Normal 2 4 2 3 10 3" xfId="21558" xr:uid="{6E15EEC3-3153-419F-8282-EFA6B8BD2F51}"/>
    <cellStyle name="Normal 2 4 2 3 11" xfId="8906" xr:uid="{33330367-80A7-492D-9C9F-D0DC9ECA22A6}"/>
    <cellStyle name="Normal 2 4 2 3 12" xfId="17341" xr:uid="{4825F642-76CC-4A8E-B4AE-B4978AB42FA4}"/>
    <cellStyle name="Normal 2 4 2 3 2" xfId="282" xr:uid="{00000000-0005-0000-0000-0000980E0000}"/>
    <cellStyle name="Normal 2 4 2 3 2 10" xfId="8907" xr:uid="{BB465A55-5C5B-4ABE-B9E1-7FEBBA07175A}"/>
    <cellStyle name="Normal 2 4 2 3 2 11" xfId="17342" xr:uid="{A67F0675-74E0-46E6-A9F8-C4FCCA85F009}"/>
    <cellStyle name="Normal 2 4 2 3 2 2" xfId="283" xr:uid="{00000000-0005-0000-0000-0000990E0000}"/>
    <cellStyle name="Normal 2 4 2 3 2 2 10" xfId="17343" xr:uid="{61BCD225-3637-422E-8431-A14C11FA2BE1}"/>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D9944765-0767-4506-A475-884F8AF6691B}"/>
    <cellStyle name="Normal 2 4 2 3 2 2 2 2 2 2 3" xfId="24120" xr:uid="{A420FD60-B4AF-4146-85B9-EB4E3FA4FB66}"/>
    <cellStyle name="Normal 2 4 2 3 2 2 2 2 2 3" xfId="11468" xr:uid="{1EE5EC06-1D72-4A44-9B94-ACB50A413103}"/>
    <cellStyle name="Normal 2 4 2 3 2 2 2 2 2 4" xfId="19903" xr:uid="{399A2BA9-85A8-499B-AFC5-48D74E75A419}"/>
    <cellStyle name="Normal 2 4 2 3 2 2 2 2 3" xfId="5091" xr:uid="{00000000-0005-0000-0000-00009E0E0000}"/>
    <cellStyle name="Normal 2 4 2 3 2 2 2 2 3 2" xfId="13541" xr:uid="{E2F21E53-C41A-4D9E-A7F8-C2C8F498CA34}"/>
    <cellStyle name="Normal 2 4 2 3 2 2 2 2 3 3" xfId="21975" xr:uid="{5E8820E1-3547-4363-BC5B-2C8615D5D411}"/>
    <cellStyle name="Normal 2 4 2 3 2 2 2 2 4" xfId="9323" xr:uid="{1DA09E95-423E-48BE-86A9-3EAEBED74719}"/>
    <cellStyle name="Normal 2 4 2 3 2 2 2 2 5" xfId="17758" xr:uid="{AE42EC88-D7E1-4141-9509-67B07EE80B79}"/>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BF7F85C3-D3F6-4328-97C9-8B6D257FB90B}"/>
    <cellStyle name="Normal 2 4 2 3 2 2 2 3 2 2 3" xfId="24533" xr:uid="{71E77549-14F3-4894-ADF5-F7B700CEC965}"/>
    <cellStyle name="Normal 2 4 2 3 2 2 2 3 2 3" xfId="11881" xr:uid="{2A5B2079-64B6-4565-B4A2-CA728E9BA5D3}"/>
    <cellStyle name="Normal 2 4 2 3 2 2 2 3 2 4" xfId="20316" xr:uid="{37EA7456-92EA-4736-B095-E43DA71EC7D6}"/>
    <cellStyle name="Normal 2 4 2 3 2 2 2 3 3" xfId="5504" xr:uid="{00000000-0005-0000-0000-0000A20E0000}"/>
    <cellStyle name="Normal 2 4 2 3 2 2 2 3 3 2" xfId="13954" xr:uid="{C9D68A85-AE1A-4FFA-B026-AAAD78AB6C81}"/>
    <cellStyle name="Normal 2 4 2 3 2 2 2 3 3 3" xfId="22388" xr:uid="{D53362D6-8922-4EA1-8751-45B5FF1F1552}"/>
    <cellStyle name="Normal 2 4 2 3 2 2 2 3 4" xfId="9736" xr:uid="{E6F84752-C260-4815-A50F-720292781A60}"/>
    <cellStyle name="Normal 2 4 2 3 2 2 2 3 5" xfId="18171" xr:uid="{013FCADC-E6A2-4978-8595-D471A03E3E8C}"/>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07F1BB57-5E3E-42B9-B269-8323C6BC474E}"/>
    <cellStyle name="Normal 2 4 2 3 2 2 2 4 2 2 3" xfId="24946" xr:uid="{F861854D-90D4-49DE-9713-1786EC72C72E}"/>
    <cellStyle name="Normal 2 4 2 3 2 2 2 4 2 3" xfId="12294" xr:uid="{35CD9052-DAD9-4E03-9F82-00E67F1673B8}"/>
    <cellStyle name="Normal 2 4 2 3 2 2 2 4 2 4" xfId="20729" xr:uid="{BF18CA78-9F99-4DB3-852C-7704048E3C5B}"/>
    <cellStyle name="Normal 2 4 2 3 2 2 2 4 3" xfId="5917" xr:uid="{00000000-0005-0000-0000-0000A60E0000}"/>
    <cellStyle name="Normal 2 4 2 3 2 2 2 4 3 2" xfId="14367" xr:uid="{F0087339-271F-4D41-921C-A6CD7E4A1F8E}"/>
    <cellStyle name="Normal 2 4 2 3 2 2 2 4 3 3" xfId="22801" xr:uid="{0D7D99FC-BEAF-4899-80DC-C4B8C72CA21B}"/>
    <cellStyle name="Normal 2 4 2 3 2 2 2 4 4" xfId="10149" xr:uid="{D88AFF4E-4845-4DB3-AF3E-46FBC58021A8}"/>
    <cellStyle name="Normal 2 4 2 3 2 2 2 4 5" xfId="18584" xr:uid="{46A3B76F-6E9C-4FA3-9CA9-55E0A317AE7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EE4B6871-C59F-45A6-A6A1-4DE2805616BC}"/>
    <cellStyle name="Normal 2 4 2 3 2 2 2 5 2 2 3" xfId="25359" xr:uid="{EAF3DD31-4880-499B-950E-ADF0B680E598}"/>
    <cellStyle name="Normal 2 4 2 3 2 2 2 5 2 3" xfId="12707" xr:uid="{C0F0186A-7BD8-48C9-9A18-B79294340051}"/>
    <cellStyle name="Normal 2 4 2 3 2 2 2 5 2 4" xfId="21142" xr:uid="{51FCEBF0-8819-4D20-A47C-876EA6E42EC0}"/>
    <cellStyle name="Normal 2 4 2 3 2 2 2 5 3" xfId="6330" xr:uid="{00000000-0005-0000-0000-0000AA0E0000}"/>
    <cellStyle name="Normal 2 4 2 3 2 2 2 5 3 2" xfId="14780" xr:uid="{4CAE178D-3C8C-422F-B404-8B17CB36A0C1}"/>
    <cellStyle name="Normal 2 4 2 3 2 2 2 5 3 3" xfId="23214" xr:uid="{325D7A71-AE98-4DE1-8F70-DB8C5EE250E0}"/>
    <cellStyle name="Normal 2 4 2 3 2 2 2 5 4" xfId="10562" xr:uid="{DB144879-64D1-4DCE-9DD1-10EABF3511ED}"/>
    <cellStyle name="Normal 2 4 2 3 2 2 2 5 5" xfId="18997" xr:uid="{4BFC5625-EAD9-4254-87C1-F0698B7CC674}"/>
    <cellStyle name="Normal 2 4 2 3 2 2 2 6" xfId="2460" xr:uid="{00000000-0005-0000-0000-0000AB0E0000}"/>
    <cellStyle name="Normal 2 4 2 3 2 2 2 6 2" xfId="6743" xr:uid="{00000000-0005-0000-0000-0000AC0E0000}"/>
    <cellStyle name="Normal 2 4 2 3 2 2 2 6 2 2" xfId="15193" xr:uid="{40D0832E-528D-45F2-B50E-75D70E02AD77}"/>
    <cellStyle name="Normal 2 4 2 3 2 2 2 6 2 3" xfId="23627" xr:uid="{1D3438C2-9FA9-4C6E-817A-5F150BEE7DC2}"/>
    <cellStyle name="Normal 2 4 2 3 2 2 2 6 3" xfId="10975" xr:uid="{41278D9D-B276-4A04-8AD8-199EBB6F52EE}"/>
    <cellStyle name="Normal 2 4 2 3 2 2 2 6 4" xfId="19410" xr:uid="{318A5C39-9D26-43AF-BFB2-8E9E26A7F69F}"/>
    <cellStyle name="Normal 2 4 2 3 2 2 2 7" xfId="4677" xr:uid="{00000000-0005-0000-0000-0000AD0E0000}"/>
    <cellStyle name="Normal 2 4 2 3 2 2 2 7 2" xfId="13127" xr:uid="{8C9BDBB7-0FC7-45DF-914C-89AB57923B3D}"/>
    <cellStyle name="Normal 2 4 2 3 2 2 2 7 3" xfId="21561" xr:uid="{79BFBD9F-D5EE-4341-BF53-9A5FB5C38284}"/>
    <cellStyle name="Normal 2 4 2 3 2 2 2 8" xfId="8909" xr:uid="{4D728723-87C1-4A81-B72F-B0B2CB5C72BC}"/>
    <cellStyle name="Normal 2 4 2 3 2 2 2 9" xfId="17344" xr:uid="{6D34D2D7-64A0-4A3B-A889-5501A756C25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D6ED201A-E433-463B-99E2-F5B9BC0AE461}"/>
    <cellStyle name="Normal 2 4 2 3 2 2 3 2 2 3" xfId="24119" xr:uid="{3BAA951B-33CA-41A4-AD76-7A7BC734DF6D}"/>
    <cellStyle name="Normal 2 4 2 3 2 2 3 2 3" xfId="11467" xr:uid="{9776FC4F-2DFB-4915-B425-27B6ABC8962D}"/>
    <cellStyle name="Normal 2 4 2 3 2 2 3 2 4" xfId="19902" xr:uid="{5A0F0B75-DD28-4BFA-81E6-464ECF9C4408}"/>
    <cellStyle name="Normal 2 4 2 3 2 2 3 3" xfId="5090" xr:uid="{00000000-0005-0000-0000-0000B10E0000}"/>
    <cellStyle name="Normal 2 4 2 3 2 2 3 3 2" xfId="13540" xr:uid="{0146930D-9921-4E02-B281-17B4C0EE86A6}"/>
    <cellStyle name="Normal 2 4 2 3 2 2 3 3 3" xfId="21974" xr:uid="{36195A07-756C-4968-8A19-1E723DC8C228}"/>
    <cellStyle name="Normal 2 4 2 3 2 2 3 4" xfId="9322" xr:uid="{2CA8922F-FEA1-41EC-9CC7-446A4085D7F6}"/>
    <cellStyle name="Normal 2 4 2 3 2 2 3 5" xfId="17757" xr:uid="{09A912DF-FAA1-420D-B14A-2C79083DAE0E}"/>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1F53862-0770-4133-9E0B-245C94C9498A}"/>
    <cellStyle name="Normal 2 4 2 3 2 2 4 2 2 3" xfId="24532" xr:uid="{E187482B-2D82-4988-9DB4-5019DD037DE2}"/>
    <cellStyle name="Normal 2 4 2 3 2 2 4 2 3" xfId="11880" xr:uid="{551AA9E8-A0D8-4D67-829B-4C2B026B8217}"/>
    <cellStyle name="Normal 2 4 2 3 2 2 4 2 4" xfId="20315" xr:uid="{F6455960-7BD9-4444-A2A2-C23C6CEBF66E}"/>
    <cellStyle name="Normal 2 4 2 3 2 2 4 3" xfId="5503" xr:uid="{00000000-0005-0000-0000-0000B50E0000}"/>
    <cellStyle name="Normal 2 4 2 3 2 2 4 3 2" xfId="13953" xr:uid="{C4627F25-41F5-4281-B6A0-943BF4D26404}"/>
    <cellStyle name="Normal 2 4 2 3 2 2 4 3 3" xfId="22387" xr:uid="{6167B3BF-4337-45FE-B8E3-595D84EF801D}"/>
    <cellStyle name="Normal 2 4 2 3 2 2 4 4" xfId="9735" xr:uid="{57C20D10-C36A-4BA0-900B-F0A86A92302D}"/>
    <cellStyle name="Normal 2 4 2 3 2 2 4 5" xfId="18170" xr:uid="{5B1D9D19-3F04-4860-9647-AAAF7CF5533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F0A1CC04-41B5-4249-B620-2FFA0736E514}"/>
    <cellStyle name="Normal 2 4 2 3 2 2 5 2 2 3" xfId="24945" xr:uid="{8691DEC9-F76B-4407-AB22-F2AA9B1DDC24}"/>
    <cellStyle name="Normal 2 4 2 3 2 2 5 2 3" xfId="12293" xr:uid="{5A049365-2EB9-4B3A-84B6-0087C7FB8688}"/>
    <cellStyle name="Normal 2 4 2 3 2 2 5 2 4" xfId="20728" xr:uid="{BB9971BF-1AA3-4B13-94FA-07756D564EAE}"/>
    <cellStyle name="Normal 2 4 2 3 2 2 5 3" xfId="5916" xr:uid="{00000000-0005-0000-0000-0000B90E0000}"/>
    <cellStyle name="Normal 2 4 2 3 2 2 5 3 2" xfId="14366" xr:uid="{9C24CC3F-A2ED-43AC-A400-D2259A8FAEAD}"/>
    <cellStyle name="Normal 2 4 2 3 2 2 5 3 3" xfId="22800" xr:uid="{24D7F3E6-B682-479E-82B7-3942D6EEE6D9}"/>
    <cellStyle name="Normal 2 4 2 3 2 2 5 4" xfId="10148" xr:uid="{5ECA2193-1189-452B-9725-8E69E28195DA}"/>
    <cellStyle name="Normal 2 4 2 3 2 2 5 5" xfId="18583" xr:uid="{4930C670-516E-43F5-BB75-EC65D474E49C}"/>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0CAFDFF9-C473-4525-955A-4E87C0B318D8}"/>
    <cellStyle name="Normal 2 4 2 3 2 2 6 2 2 3" xfId="25358" xr:uid="{F5A53C9F-EA84-456A-BE73-490D7AACD4BA}"/>
    <cellStyle name="Normal 2 4 2 3 2 2 6 2 3" xfId="12706" xr:uid="{D924B7C0-C329-4509-A0D3-DA3201754582}"/>
    <cellStyle name="Normal 2 4 2 3 2 2 6 2 4" xfId="21141" xr:uid="{C868F40D-E01F-4A8D-B727-9C783E6FA57C}"/>
    <cellStyle name="Normal 2 4 2 3 2 2 6 3" xfId="6329" xr:uid="{00000000-0005-0000-0000-0000BD0E0000}"/>
    <cellStyle name="Normal 2 4 2 3 2 2 6 3 2" xfId="14779" xr:uid="{CB122441-917F-4D3C-A773-1E37BB9F5F74}"/>
    <cellStyle name="Normal 2 4 2 3 2 2 6 3 3" xfId="23213" xr:uid="{F33FB586-1025-4748-9965-5807B90553B0}"/>
    <cellStyle name="Normal 2 4 2 3 2 2 6 4" xfId="10561" xr:uid="{0F11D4C6-8B25-46FC-856C-636AA5405B70}"/>
    <cellStyle name="Normal 2 4 2 3 2 2 6 5" xfId="18996" xr:uid="{AC6E0706-3ABB-4448-9E68-210193AD19EE}"/>
    <cellStyle name="Normal 2 4 2 3 2 2 7" xfId="2459" xr:uid="{00000000-0005-0000-0000-0000BE0E0000}"/>
    <cellStyle name="Normal 2 4 2 3 2 2 7 2" xfId="6742" xr:uid="{00000000-0005-0000-0000-0000BF0E0000}"/>
    <cellStyle name="Normal 2 4 2 3 2 2 7 2 2" xfId="15192" xr:uid="{A68BA9CA-3B02-464E-9D2C-3DD78F931FC3}"/>
    <cellStyle name="Normal 2 4 2 3 2 2 7 2 3" xfId="23626" xr:uid="{BEF2908E-9771-4DC5-A389-2F60A0FDF0B7}"/>
    <cellStyle name="Normal 2 4 2 3 2 2 7 3" xfId="10974" xr:uid="{09D0B0FD-CA15-491F-9A3A-0CF791EF425F}"/>
    <cellStyle name="Normal 2 4 2 3 2 2 7 4" xfId="19409" xr:uid="{9955C259-5488-4CFB-A2C1-4F6F0B569278}"/>
    <cellStyle name="Normal 2 4 2 3 2 2 8" xfId="4676" xr:uid="{00000000-0005-0000-0000-0000C00E0000}"/>
    <cellStyle name="Normal 2 4 2 3 2 2 8 2" xfId="13126" xr:uid="{C086ED2A-7EF3-4760-A9E8-784224AD2F2F}"/>
    <cellStyle name="Normal 2 4 2 3 2 2 8 3" xfId="21560" xr:uid="{564F48D5-CB1E-4937-8AFE-5ACC930E9A49}"/>
    <cellStyle name="Normal 2 4 2 3 2 2 9" xfId="8908" xr:uid="{063BDF7E-6CB1-44CB-BC0E-37AAC8C44CB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0975B5C4-CB9C-4345-98A3-97E354C9154F}"/>
    <cellStyle name="Normal 2 4 2 3 2 3 2 2 2 3" xfId="24121" xr:uid="{718991AB-1D7F-404D-8DA8-BFB1D0F7F6C7}"/>
    <cellStyle name="Normal 2 4 2 3 2 3 2 2 3" xfId="11469" xr:uid="{8F5E64E6-7978-4C48-AB78-04B210377E28}"/>
    <cellStyle name="Normal 2 4 2 3 2 3 2 2 4" xfId="19904" xr:uid="{4C5DDF9E-E128-4BC9-A244-75FC909DC916}"/>
    <cellStyle name="Normal 2 4 2 3 2 3 2 3" xfId="5092" xr:uid="{00000000-0005-0000-0000-0000C50E0000}"/>
    <cellStyle name="Normal 2 4 2 3 2 3 2 3 2" xfId="13542" xr:uid="{C69B5A81-F1B4-4766-87E0-3B65213533A7}"/>
    <cellStyle name="Normal 2 4 2 3 2 3 2 3 3" xfId="21976" xr:uid="{209365AE-E175-46D0-8773-92E622ACF4CC}"/>
    <cellStyle name="Normal 2 4 2 3 2 3 2 4" xfId="9324" xr:uid="{ACA1AFD1-A3E8-481F-8240-EA703439CDB5}"/>
    <cellStyle name="Normal 2 4 2 3 2 3 2 5" xfId="17759" xr:uid="{812DA344-4FEE-40E4-B9D0-4107EF045B3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B1B79E1D-1BAA-4A9D-9E5A-2B9F2E32F10D}"/>
    <cellStyle name="Normal 2 4 2 3 2 3 3 2 2 3" xfId="24534" xr:uid="{C41B4ED6-55BE-4F3B-ACE8-CD6C0C9012BC}"/>
    <cellStyle name="Normal 2 4 2 3 2 3 3 2 3" xfId="11882" xr:uid="{8B3ED834-442C-4BD9-8E23-593310CB9146}"/>
    <cellStyle name="Normal 2 4 2 3 2 3 3 2 4" xfId="20317" xr:uid="{6ECACF18-D408-425C-BE7A-745FDC42053D}"/>
    <cellStyle name="Normal 2 4 2 3 2 3 3 3" xfId="5505" xr:uid="{00000000-0005-0000-0000-0000C90E0000}"/>
    <cellStyle name="Normal 2 4 2 3 2 3 3 3 2" xfId="13955" xr:uid="{5548246A-8E53-46BE-9D78-CE40D2167FC9}"/>
    <cellStyle name="Normal 2 4 2 3 2 3 3 3 3" xfId="22389" xr:uid="{F8F7CE2F-928E-4AB4-98B7-FB5B2009956A}"/>
    <cellStyle name="Normal 2 4 2 3 2 3 3 4" xfId="9737" xr:uid="{73D37F28-B3A8-41F1-A35C-12C90477C23C}"/>
    <cellStyle name="Normal 2 4 2 3 2 3 3 5" xfId="18172" xr:uid="{77D1E7E0-A0F5-418B-A6A0-A6D4C294C3EC}"/>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1F85BE4B-8980-4F23-8AD1-811C4A568926}"/>
    <cellStyle name="Normal 2 4 2 3 2 3 4 2 2 3" xfId="24947" xr:uid="{2B0978D3-C237-4E44-8255-E4B40F316B7F}"/>
    <cellStyle name="Normal 2 4 2 3 2 3 4 2 3" xfId="12295" xr:uid="{0DE81D67-21FB-45CB-A152-85AA247F72FD}"/>
    <cellStyle name="Normal 2 4 2 3 2 3 4 2 4" xfId="20730" xr:uid="{3A1D32C6-F8B5-4059-8957-C32F766CC3C6}"/>
    <cellStyle name="Normal 2 4 2 3 2 3 4 3" xfId="5918" xr:uid="{00000000-0005-0000-0000-0000CD0E0000}"/>
    <cellStyle name="Normal 2 4 2 3 2 3 4 3 2" xfId="14368" xr:uid="{AF1018C8-70F8-46BD-896A-7988EADDFE00}"/>
    <cellStyle name="Normal 2 4 2 3 2 3 4 3 3" xfId="22802" xr:uid="{16D1EED7-59AD-4551-A256-487C05C0FF3B}"/>
    <cellStyle name="Normal 2 4 2 3 2 3 4 4" xfId="10150" xr:uid="{106423BC-D747-4057-8A78-DCC936FF3889}"/>
    <cellStyle name="Normal 2 4 2 3 2 3 4 5" xfId="18585" xr:uid="{4F0697AD-718D-4011-9119-09856E411779}"/>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63257721-381E-491F-85D7-81ADB3FD864F}"/>
    <cellStyle name="Normal 2 4 2 3 2 3 5 2 2 3" xfId="25360" xr:uid="{D5E5B864-69B2-4F31-90E6-1DE36D19DEAE}"/>
    <cellStyle name="Normal 2 4 2 3 2 3 5 2 3" xfId="12708" xr:uid="{166C608E-D143-40E5-8A6A-BAB30A0B5B53}"/>
    <cellStyle name="Normal 2 4 2 3 2 3 5 2 4" xfId="21143" xr:uid="{5C7E8AB3-7A22-44A5-805F-8A1736D4501C}"/>
    <cellStyle name="Normal 2 4 2 3 2 3 5 3" xfId="6331" xr:uid="{00000000-0005-0000-0000-0000D10E0000}"/>
    <cellStyle name="Normal 2 4 2 3 2 3 5 3 2" xfId="14781" xr:uid="{387FB21E-935D-464F-B8E6-FED660FBD79B}"/>
    <cellStyle name="Normal 2 4 2 3 2 3 5 3 3" xfId="23215" xr:uid="{8B2A72B3-10D5-4737-9EEB-9B5183CF1AD1}"/>
    <cellStyle name="Normal 2 4 2 3 2 3 5 4" xfId="10563" xr:uid="{931F47F5-DD1A-4C99-BAB1-E46C65F832AA}"/>
    <cellStyle name="Normal 2 4 2 3 2 3 5 5" xfId="18998" xr:uid="{0CBFC851-DF25-4E49-AD56-B94D47A65271}"/>
    <cellStyle name="Normal 2 4 2 3 2 3 6" xfId="2461" xr:uid="{00000000-0005-0000-0000-0000D20E0000}"/>
    <cellStyle name="Normal 2 4 2 3 2 3 6 2" xfId="6744" xr:uid="{00000000-0005-0000-0000-0000D30E0000}"/>
    <cellStyle name="Normal 2 4 2 3 2 3 6 2 2" xfId="15194" xr:uid="{6C0F38A1-689D-420C-85AF-CB70683C79A3}"/>
    <cellStyle name="Normal 2 4 2 3 2 3 6 2 3" xfId="23628" xr:uid="{F0F3C026-CEAE-4C83-8801-B5C1479D9833}"/>
    <cellStyle name="Normal 2 4 2 3 2 3 6 3" xfId="10976" xr:uid="{23EA1598-40A6-41EE-917E-6849FD568D5A}"/>
    <cellStyle name="Normal 2 4 2 3 2 3 6 4" xfId="19411" xr:uid="{B365E1B9-D1C3-4DF4-A8AE-FB63A76BCA49}"/>
    <cellStyle name="Normal 2 4 2 3 2 3 7" xfId="4678" xr:uid="{00000000-0005-0000-0000-0000D40E0000}"/>
    <cellStyle name="Normal 2 4 2 3 2 3 7 2" xfId="13128" xr:uid="{DA2C1D95-AE02-4A1E-8775-EB06A366B3FE}"/>
    <cellStyle name="Normal 2 4 2 3 2 3 7 3" xfId="21562" xr:uid="{5FAC71AF-E156-4FFB-9890-19ECE864E902}"/>
    <cellStyle name="Normal 2 4 2 3 2 3 8" xfId="8910" xr:uid="{51B1522F-7AE6-49F9-B405-B67B2800F329}"/>
    <cellStyle name="Normal 2 4 2 3 2 3 9" xfId="17345" xr:uid="{7A3A5DEB-B72D-4577-AA0C-1EB399C4CC11}"/>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FCF1E4DF-A905-44D9-B798-848B437D1F43}"/>
    <cellStyle name="Normal 2 4 2 3 2 4 2 2 3" xfId="24118" xr:uid="{6730B774-300A-4850-976C-866078BC7132}"/>
    <cellStyle name="Normal 2 4 2 3 2 4 2 3" xfId="11466" xr:uid="{A6D424A2-80F1-43DE-B7A8-75C874982368}"/>
    <cellStyle name="Normal 2 4 2 3 2 4 2 4" xfId="19901" xr:uid="{85B3EB40-E1B2-43FD-880F-3A2FE0FCD5AD}"/>
    <cellStyle name="Normal 2 4 2 3 2 4 3" xfId="5089" xr:uid="{00000000-0005-0000-0000-0000D80E0000}"/>
    <cellStyle name="Normal 2 4 2 3 2 4 3 2" xfId="13539" xr:uid="{02F73A82-1903-4EE6-B4DE-B5D5D86557A2}"/>
    <cellStyle name="Normal 2 4 2 3 2 4 3 3" xfId="21973" xr:uid="{39FBB91B-485A-45E9-B39C-435F9ADC6801}"/>
    <cellStyle name="Normal 2 4 2 3 2 4 4" xfId="9321" xr:uid="{DFC35DB3-35E0-40FA-B315-4495BD4D7250}"/>
    <cellStyle name="Normal 2 4 2 3 2 4 5" xfId="17756" xr:uid="{8D311B9D-A935-4569-9BB5-3CFD661F3F1C}"/>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8FEB723A-6AF1-4D6F-B139-C5C08FD6E245}"/>
    <cellStyle name="Normal 2 4 2 3 2 5 2 2 3" xfId="24531" xr:uid="{DD012E13-FE78-439D-BA66-5B424DC410E4}"/>
    <cellStyle name="Normal 2 4 2 3 2 5 2 3" xfId="11879" xr:uid="{416079EC-DCFD-4AF2-9960-2DEDB4C9D269}"/>
    <cellStyle name="Normal 2 4 2 3 2 5 2 4" xfId="20314" xr:uid="{1DD2EDCD-C521-40BB-861F-BF4EDE69A632}"/>
    <cellStyle name="Normal 2 4 2 3 2 5 3" xfId="5502" xr:uid="{00000000-0005-0000-0000-0000DC0E0000}"/>
    <cellStyle name="Normal 2 4 2 3 2 5 3 2" xfId="13952" xr:uid="{C5C18318-BD83-4B2A-8B58-FD8AAAA01B83}"/>
    <cellStyle name="Normal 2 4 2 3 2 5 3 3" xfId="22386" xr:uid="{D18B62D4-76B1-4A62-B307-59BEE93253A8}"/>
    <cellStyle name="Normal 2 4 2 3 2 5 4" xfId="9734" xr:uid="{AC981BEB-E52B-4523-8EFE-504DA19CB3A1}"/>
    <cellStyle name="Normal 2 4 2 3 2 5 5" xfId="18169" xr:uid="{7A9829C7-484B-469B-920A-CD4E873A201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695BAD72-A2EE-47A3-8DE9-11AAAACAC95C}"/>
    <cellStyle name="Normal 2 4 2 3 2 6 2 2 3" xfId="24944" xr:uid="{A228F984-C0DA-4E5F-A6A9-403CA8D70D76}"/>
    <cellStyle name="Normal 2 4 2 3 2 6 2 3" xfId="12292" xr:uid="{F1BCD988-370B-44CA-BFB3-1575298B6D5C}"/>
    <cellStyle name="Normal 2 4 2 3 2 6 2 4" xfId="20727" xr:uid="{7CA64BB7-8D2F-4D20-A25D-D244F6EF16B4}"/>
    <cellStyle name="Normal 2 4 2 3 2 6 3" xfId="5915" xr:uid="{00000000-0005-0000-0000-0000E00E0000}"/>
    <cellStyle name="Normal 2 4 2 3 2 6 3 2" xfId="14365" xr:uid="{48CE87A0-9D8B-4C4E-A478-C3096522471C}"/>
    <cellStyle name="Normal 2 4 2 3 2 6 3 3" xfId="22799" xr:uid="{20EFC86E-38AB-40B5-8BC6-A73247243FF7}"/>
    <cellStyle name="Normal 2 4 2 3 2 6 4" xfId="10147" xr:uid="{5D2855C6-7F37-4E83-9670-0CCA6711F48B}"/>
    <cellStyle name="Normal 2 4 2 3 2 6 5" xfId="18582" xr:uid="{EF9B7320-8DBF-4801-87CF-04CEA025688E}"/>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12F71E49-0D02-448E-9B06-E2C4BB805D23}"/>
    <cellStyle name="Normal 2 4 2 3 2 7 2 2 3" xfId="25357" xr:uid="{8A61307B-7A5C-4F53-BEDC-4766D4CA8668}"/>
    <cellStyle name="Normal 2 4 2 3 2 7 2 3" xfId="12705" xr:uid="{3C47014F-57A2-4E17-8EC0-23A0B14B23C6}"/>
    <cellStyle name="Normal 2 4 2 3 2 7 2 4" xfId="21140" xr:uid="{8E4413FD-5F9B-482E-98E3-19FC28A53AEC}"/>
    <cellStyle name="Normal 2 4 2 3 2 7 3" xfId="6328" xr:uid="{00000000-0005-0000-0000-0000E40E0000}"/>
    <cellStyle name="Normal 2 4 2 3 2 7 3 2" xfId="14778" xr:uid="{0A877020-3D54-4478-BD58-32166F06D982}"/>
    <cellStyle name="Normal 2 4 2 3 2 7 3 3" xfId="23212" xr:uid="{DD2BF057-EFC4-4204-AD4D-AE99B5F6FCCD}"/>
    <cellStyle name="Normal 2 4 2 3 2 7 4" xfId="10560" xr:uid="{782F1C12-0871-45BA-9F99-6CCF4AD486F7}"/>
    <cellStyle name="Normal 2 4 2 3 2 7 5" xfId="18995" xr:uid="{923CBC56-F9DB-4F6C-87C6-B7DE538816F9}"/>
    <cellStyle name="Normal 2 4 2 3 2 8" xfId="2458" xr:uid="{00000000-0005-0000-0000-0000E50E0000}"/>
    <cellStyle name="Normal 2 4 2 3 2 8 2" xfId="6741" xr:uid="{00000000-0005-0000-0000-0000E60E0000}"/>
    <cellStyle name="Normal 2 4 2 3 2 8 2 2" xfId="15191" xr:uid="{23963E3D-EC93-4F83-81C7-467CABB35345}"/>
    <cellStyle name="Normal 2 4 2 3 2 8 2 3" xfId="23625" xr:uid="{C5DAC206-BF14-414F-941A-8843E692C4C1}"/>
    <cellStyle name="Normal 2 4 2 3 2 8 3" xfId="10973" xr:uid="{9CFCB17D-226B-4997-989A-A990DD367282}"/>
    <cellStyle name="Normal 2 4 2 3 2 8 4" xfId="19408" xr:uid="{A353AAE9-528D-4722-9F26-78644AB1BFB7}"/>
    <cellStyle name="Normal 2 4 2 3 2 9" xfId="4675" xr:uid="{00000000-0005-0000-0000-0000E70E0000}"/>
    <cellStyle name="Normal 2 4 2 3 2 9 2" xfId="13125" xr:uid="{E4FCBD4A-694B-4F52-BFB3-E03C7E529B94}"/>
    <cellStyle name="Normal 2 4 2 3 2 9 3" xfId="21559" xr:uid="{A8D291AE-AC2B-4522-918C-65C960B8DD85}"/>
    <cellStyle name="Normal 2 4 2 3 3" xfId="286" xr:uid="{00000000-0005-0000-0000-0000E80E0000}"/>
    <cellStyle name="Normal 2 4 2 3 3 10" xfId="17346" xr:uid="{48BD91BC-9CB1-4FB0-80C4-2C4478C3D8A6}"/>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A258F29E-B48C-48E8-930C-855D31C100BA}"/>
    <cellStyle name="Normal 2 4 2 3 3 2 2 2 2 3" xfId="24123" xr:uid="{86E646EA-A7C8-47C9-9D0E-406EA6A7FBDD}"/>
    <cellStyle name="Normal 2 4 2 3 3 2 2 2 3" xfId="11471" xr:uid="{C18C8800-A9D4-4612-B771-B81FE82F84EB}"/>
    <cellStyle name="Normal 2 4 2 3 3 2 2 2 4" xfId="19906" xr:uid="{BC68C855-81B1-4884-96CA-B144B35BA878}"/>
    <cellStyle name="Normal 2 4 2 3 3 2 2 3" xfId="5094" xr:uid="{00000000-0005-0000-0000-0000ED0E0000}"/>
    <cellStyle name="Normal 2 4 2 3 3 2 2 3 2" xfId="13544" xr:uid="{A0F3FF91-A67B-44A3-A65A-F39756D5A055}"/>
    <cellStyle name="Normal 2 4 2 3 3 2 2 3 3" xfId="21978" xr:uid="{2A40068A-E19F-4FED-B4A0-BEE540B4820A}"/>
    <cellStyle name="Normal 2 4 2 3 3 2 2 4" xfId="9326" xr:uid="{7649E506-B3E6-4D6E-8BCD-A8BBB6645F46}"/>
    <cellStyle name="Normal 2 4 2 3 3 2 2 5" xfId="17761" xr:uid="{756124C5-F50F-432D-BE74-6AB2031EAAB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1B8030E8-9FFC-4E32-A161-DA5C09E51E30}"/>
    <cellStyle name="Normal 2 4 2 3 3 2 3 2 2 3" xfId="24536" xr:uid="{0C53BB54-C5BB-4485-A366-CE87E2FE50FA}"/>
    <cellStyle name="Normal 2 4 2 3 3 2 3 2 3" xfId="11884" xr:uid="{13394353-6A30-4BED-8481-A1BF3634179F}"/>
    <cellStyle name="Normal 2 4 2 3 3 2 3 2 4" xfId="20319" xr:uid="{D6C372A9-2219-4ED9-9B1E-C7CBA8A8DD36}"/>
    <cellStyle name="Normal 2 4 2 3 3 2 3 3" xfId="5507" xr:uid="{00000000-0005-0000-0000-0000F10E0000}"/>
    <cellStyle name="Normal 2 4 2 3 3 2 3 3 2" xfId="13957" xr:uid="{E07B537E-C73E-4A34-B348-FE58B2F3192D}"/>
    <cellStyle name="Normal 2 4 2 3 3 2 3 3 3" xfId="22391" xr:uid="{324239F8-C344-4462-8CEC-AA8919DD2511}"/>
    <cellStyle name="Normal 2 4 2 3 3 2 3 4" xfId="9739" xr:uid="{F9F7FC95-9BF0-462C-811D-C7AAAA67198F}"/>
    <cellStyle name="Normal 2 4 2 3 3 2 3 5" xfId="18174" xr:uid="{B2A4FA16-0AC5-4B42-99ED-FCD245EB30D1}"/>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807F4F0C-B975-4F0A-9F83-FB2D8D58B3D1}"/>
    <cellStyle name="Normal 2 4 2 3 3 2 4 2 2 3" xfId="24949" xr:uid="{82495291-2F06-4DD6-8DFF-F72FED9FD2D2}"/>
    <cellStyle name="Normal 2 4 2 3 3 2 4 2 3" xfId="12297" xr:uid="{E9B5E1F1-4814-4567-9EFC-30A30888130C}"/>
    <cellStyle name="Normal 2 4 2 3 3 2 4 2 4" xfId="20732" xr:uid="{9F92F244-87AA-4625-A928-3B1AC201492F}"/>
    <cellStyle name="Normal 2 4 2 3 3 2 4 3" xfId="5920" xr:uid="{00000000-0005-0000-0000-0000F50E0000}"/>
    <cellStyle name="Normal 2 4 2 3 3 2 4 3 2" xfId="14370" xr:uid="{8416D063-D5C2-4886-8348-7A517980A525}"/>
    <cellStyle name="Normal 2 4 2 3 3 2 4 3 3" xfId="22804" xr:uid="{88C86D3A-A021-48BA-AC49-4B952FF71BC4}"/>
    <cellStyle name="Normal 2 4 2 3 3 2 4 4" xfId="10152" xr:uid="{7D1F1618-6033-44D6-AA8C-0F9472E20865}"/>
    <cellStyle name="Normal 2 4 2 3 3 2 4 5" xfId="18587" xr:uid="{841C43AA-1BDC-4597-8C28-F101806A9FBE}"/>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22CA4440-1912-490B-B950-ADFFDC2E7F6F}"/>
    <cellStyle name="Normal 2 4 2 3 3 2 5 2 2 3" xfId="25362" xr:uid="{4D474A6D-305D-474D-BE26-F62C93A6FE45}"/>
    <cellStyle name="Normal 2 4 2 3 3 2 5 2 3" xfId="12710" xr:uid="{340811ED-9486-4563-8B78-F4025A16440C}"/>
    <cellStyle name="Normal 2 4 2 3 3 2 5 2 4" xfId="21145" xr:uid="{4801F406-1807-4B15-B956-3050CA6C378A}"/>
    <cellStyle name="Normal 2 4 2 3 3 2 5 3" xfId="6333" xr:uid="{00000000-0005-0000-0000-0000F90E0000}"/>
    <cellStyle name="Normal 2 4 2 3 3 2 5 3 2" xfId="14783" xr:uid="{4A240A17-7FA6-4006-9CDA-263A08A1711D}"/>
    <cellStyle name="Normal 2 4 2 3 3 2 5 3 3" xfId="23217" xr:uid="{3B38C636-7675-4332-8B07-993E9BD65CDF}"/>
    <cellStyle name="Normal 2 4 2 3 3 2 5 4" xfId="10565" xr:uid="{92C40BA4-D77A-412E-87A2-272D78648C17}"/>
    <cellStyle name="Normal 2 4 2 3 3 2 5 5" xfId="19000" xr:uid="{6F9F2302-CD30-433B-B8E9-9BE423E21CBA}"/>
    <cellStyle name="Normal 2 4 2 3 3 2 6" xfId="2463" xr:uid="{00000000-0005-0000-0000-0000FA0E0000}"/>
    <cellStyle name="Normal 2 4 2 3 3 2 6 2" xfId="6746" xr:uid="{00000000-0005-0000-0000-0000FB0E0000}"/>
    <cellStyle name="Normal 2 4 2 3 3 2 6 2 2" xfId="15196" xr:uid="{FF2F79EE-22AD-4C2F-82A4-705FF3D22897}"/>
    <cellStyle name="Normal 2 4 2 3 3 2 6 2 3" xfId="23630" xr:uid="{4A762C09-82E3-4AAF-A257-3A580C8A7BAA}"/>
    <cellStyle name="Normal 2 4 2 3 3 2 6 3" xfId="10978" xr:uid="{1F702C5B-7F6C-4BA6-8F42-EE3B89D912B6}"/>
    <cellStyle name="Normal 2 4 2 3 3 2 6 4" xfId="19413" xr:uid="{74C1F6A6-9123-40FA-BA62-5B19DD96F720}"/>
    <cellStyle name="Normal 2 4 2 3 3 2 7" xfId="4680" xr:uid="{00000000-0005-0000-0000-0000FC0E0000}"/>
    <cellStyle name="Normal 2 4 2 3 3 2 7 2" xfId="13130" xr:uid="{E9054E61-CDFE-4268-BFBE-7CED14808B15}"/>
    <cellStyle name="Normal 2 4 2 3 3 2 7 3" xfId="21564" xr:uid="{178C8218-DF88-4227-8C6D-ADD6F54458BA}"/>
    <cellStyle name="Normal 2 4 2 3 3 2 8" xfId="8912" xr:uid="{2C7B41D2-6F8F-4A17-80AD-5DF4209F4ED1}"/>
    <cellStyle name="Normal 2 4 2 3 3 2 9" xfId="17347" xr:uid="{F02CA50F-7A7A-4DA5-AD03-572F1C42EE53}"/>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655F5911-64E0-42B1-83BD-4D52338ABEE0}"/>
    <cellStyle name="Normal 2 4 2 3 3 3 2 2 3" xfId="24122" xr:uid="{173BDEEE-0613-4D2E-AFEF-C78B48EBB107}"/>
    <cellStyle name="Normal 2 4 2 3 3 3 2 3" xfId="11470" xr:uid="{6B071E62-0C32-44F6-9A94-8CE17356F18E}"/>
    <cellStyle name="Normal 2 4 2 3 3 3 2 4" xfId="19905" xr:uid="{7410198E-5D7D-460B-AB69-C142C1385CA0}"/>
    <cellStyle name="Normal 2 4 2 3 3 3 3" xfId="5093" xr:uid="{00000000-0005-0000-0000-0000000F0000}"/>
    <cellStyle name="Normal 2 4 2 3 3 3 3 2" xfId="13543" xr:uid="{26CC5EA8-4203-41ED-9366-1F988FAC4208}"/>
    <cellStyle name="Normal 2 4 2 3 3 3 3 3" xfId="21977" xr:uid="{F6F5E54E-C4F7-4DB6-BB05-F051DB779D68}"/>
    <cellStyle name="Normal 2 4 2 3 3 3 4" xfId="9325" xr:uid="{FB868E74-7A8C-451D-8E35-7625E897F729}"/>
    <cellStyle name="Normal 2 4 2 3 3 3 5" xfId="17760" xr:uid="{7E34A0CE-357D-472C-B534-8D66BC9E2A83}"/>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0FAF5CFA-5D83-4837-A5B3-0944FC42907D}"/>
    <cellStyle name="Normal 2 4 2 3 3 4 2 2 3" xfId="24535" xr:uid="{2B466DEF-2448-4C21-BF85-8DD3D996100D}"/>
    <cellStyle name="Normal 2 4 2 3 3 4 2 3" xfId="11883" xr:uid="{0605CF79-2535-450A-93EC-1F8A19C8049D}"/>
    <cellStyle name="Normal 2 4 2 3 3 4 2 4" xfId="20318" xr:uid="{42C2C175-C7FA-411C-B692-D4F5A18F0A60}"/>
    <cellStyle name="Normal 2 4 2 3 3 4 3" xfId="5506" xr:uid="{00000000-0005-0000-0000-0000040F0000}"/>
    <cellStyle name="Normal 2 4 2 3 3 4 3 2" xfId="13956" xr:uid="{A035B7EF-07F0-4662-9966-10BA76023429}"/>
    <cellStyle name="Normal 2 4 2 3 3 4 3 3" xfId="22390" xr:uid="{22EBBF30-677A-472A-A469-E036750709DC}"/>
    <cellStyle name="Normal 2 4 2 3 3 4 4" xfId="9738" xr:uid="{4FD0E52B-25DD-4CA5-9D65-5C935C807E87}"/>
    <cellStyle name="Normal 2 4 2 3 3 4 5" xfId="18173" xr:uid="{43F4A382-545C-4247-B278-C139F80253E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55C2ACA1-30EC-42AF-AA60-398E26BEDC1A}"/>
    <cellStyle name="Normal 2 4 2 3 3 5 2 2 3" xfId="24948" xr:uid="{A661ADC4-B0DB-4ADA-836E-CB5F279B08DF}"/>
    <cellStyle name="Normal 2 4 2 3 3 5 2 3" xfId="12296" xr:uid="{8FBA0A74-902C-415C-AFE8-8D46D7CD7A6B}"/>
    <cellStyle name="Normal 2 4 2 3 3 5 2 4" xfId="20731" xr:uid="{85124BFF-C330-4FB7-ADBB-D56B20B32A30}"/>
    <cellStyle name="Normal 2 4 2 3 3 5 3" xfId="5919" xr:uid="{00000000-0005-0000-0000-0000080F0000}"/>
    <cellStyle name="Normal 2 4 2 3 3 5 3 2" xfId="14369" xr:uid="{681B7008-0D24-4CEF-9E16-E35DE18213FE}"/>
    <cellStyle name="Normal 2 4 2 3 3 5 3 3" xfId="22803" xr:uid="{889422CE-02BE-4376-971F-BF426DCE48F0}"/>
    <cellStyle name="Normal 2 4 2 3 3 5 4" xfId="10151" xr:uid="{C5A9630F-28D4-4705-BA84-3F41D19B5572}"/>
    <cellStyle name="Normal 2 4 2 3 3 5 5" xfId="18586" xr:uid="{98D00002-1D60-479B-B998-2476AFA32882}"/>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37238C26-F7CC-48BD-8DC8-0990D3CEC97C}"/>
    <cellStyle name="Normal 2 4 2 3 3 6 2 2 3" xfId="25361" xr:uid="{30BACDDA-C24B-4B45-AF30-F2F31AFCEA0B}"/>
    <cellStyle name="Normal 2 4 2 3 3 6 2 3" xfId="12709" xr:uid="{005FC04B-EC6E-4476-BF1B-9C3F6E058251}"/>
    <cellStyle name="Normal 2 4 2 3 3 6 2 4" xfId="21144" xr:uid="{067F0B4D-67E7-4E74-B32B-6F87F3B85AA6}"/>
    <cellStyle name="Normal 2 4 2 3 3 6 3" xfId="6332" xr:uid="{00000000-0005-0000-0000-00000C0F0000}"/>
    <cellStyle name="Normal 2 4 2 3 3 6 3 2" xfId="14782" xr:uid="{D645F393-4A2D-4C14-B70E-11B2418ECCE0}"/>
    <cellStyle name="Normal 2 4 2 3 3 6 3 3" xfId="23216" xr:uid="{1E7BC735-CDAF-461A-86EA-E66EC543E6EC}"/>
    <cellStyle name="Normal 2 4 2 3 3 6 4" xfId="10564" xr:uid="{F0FCDD68-B91C-4CC5-A965-707BE6C2B149}"/>
    <cellStyle name="Normal 2 4 2 3 3 6 5" xfId="18999" xr:uid="{1CAEA53B-9269-472F-8F19-947236957C40}"/>
    <cellStyle name="Normal 2 4 2 3 3 7" xfId="2462" xr:uid="{00000000-0005-0000-0000-00000D0F0000}"/>
    <cellStyle name="Normal 2 4 2 3 3 7 2" xfId="6745" xr:uid="{00000000-0005-0000-0000-00000E0F0000}"/>
    <cellStyle name="Normal 2 4 2 3 3 7 2 2" xfId="15195" xr:uid="{3DD7CC46-0C58-45FF-980A-C866D26F13FE}"/>
    <cellStyle name="Normal 2 4 2 3 3 7 2 3" xfId="23629" xr:uid="{AEF474D0-EC18-440E-B27B-373104E21B65}"/>
    <cellStyle name="Normal 2 4 2 3 3 7 3" xfId="10977" xr:uid="{A785E7ED-BF6A-49C2-84DB-D1FB137EF4F4}"/>
    <cellStyle name="Normal 2 4 2 3 3 7 4" xfId="19412" xr:uid="{C6A1114E-67BC-40B9-A6A3-371C021E5BBF}"/>
    <cellStyle name="Normal 2 4 2 3 3 8" xfId="4679" xr:uid="{00000000-0005-0000-0000-00000F0F0000}"/>
    <cellStyle name="Normal 2 4 2 3 3 8 2" xfId="13129" xr:uid="{6C32C6A7-539B-42F1-B747-4C5CB3DF5DD2}"/>
    <cellStyle name="Normal 2 4 2 3 3 8 3" xfId="21563" xr:uid="{02ED318A-EA3A-43CA-8DB1-CA9173CBFC03}"/>
    <cellStyle name="Normal 2 4 2 3 3 9" xfId="8911" xr:uid="{5AE6F2C9-EAD4-4D39-89E4-D07F334A6B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56E14BC0-2123-4FF2-83E8-6DBE2F2BAD7C}"/>
    <cellStyle name="Normal 2 4 2 3 4 2 2 2 3" xfId="24124" xr:uid="{FF5A0DEC-53BD-4E13-9821-6A77712FE4CD}"/>
    <cellStyle name="Normal 2 4 2 3 4 2 2 3" xfId="11472" xr:uid="{7DBC72D0-B42D-42E4-924A-DDAF0E685A0F}"/>
    <cellStyle name="Normal 2 4 2 3 4 2 2 4" xfId="19907" xr:uid="{2EF07B71-D6B4-40AC-9029-CC6E6531F3E4}"/>
    <cellStyle name="Normal 2 4 2 3 4 2 3" xfId="5095" xr:uid="{00000000-0005-0000-0000-0000140F0000}"/>
    <cellStyle name="Normal 2 4 2 3 4 2 3 2" xfId="13545" xr:uid="{2BD858BD-0163-41A6-8A4A-0867DF3FBE8D}"/>
    <cellStyle name="Normal 2 4 2 3 4 2 3 3" xfId="21979" xr:uid="{A18CBBFD-080E-46F9-B920-5E9650E8021B}"/>
    <cellStyle name="Normal 2 4 2 3 4 2 4" xfId="9327" xr:uid="{9E0D83E3-BAC5-4948-8F5D-C088A3DD1817}"/>
    <cellStyle name="Normal 2 4 2 3 4 2 5" xfId="17762" xr:uid="{15D4E656-FAF9-4533-BD39-48B9A8B6F828}"/>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D02819A7-86F7-4FA9-9E82-F6F62F8785B3}"/>
    <cellStyle name="Normal 2 4 2 3 4 3 2 2 3" xfId="24537" xr:uid="{8644586F-015A-4FB7-B54A-503BBFCDD2B1}"/>
    <cellStyle name="Normal 2 4 2 3 4 3 2 3" xfId="11885" xr:uid="{925D7788-236D-476D-91E1-DC89EF4FD6E6}"/>
    <cellStyle name="Normal 2 4 2 3 4 3 2 4" xfId="20320" xr:uid="{377A4D13-418F-4253-9DEC-01B9F2D51155}"/>
    <cellStyle name="Normal 2 4 2 3 4 3 3" xfId="5508" xr:uid="{00000000-0005-0000-0000-0000180F0000}"/>
    <cellStyle name="Normal 2 4 2 3 4 3 3 2" xfId="13958" xr:uid="{125402DB-2096-44FB-A284-92E2226CA82C}"/>
    <cellStyle name="Normal 2 4 2 3 4 3 3 3" xfId="22392" xr:uid="{8F9DD9E9-71B8-4063-B8B6-862A81FA56B5}"/>
    <cellStyle name="Normal 2 4 2 3 4 3 4" xfId="9740" xr:uid="{6A96170C-3AAB-4AC3-B0FE-BAB0ABD9E96F}"/>
    <cellStyle name="Normal 2 4 2 3 4 3 5" xfId="18175" xr:uid="{3A1FC3BF-1D3B-41CA-84CE-77EF5E82BA5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9469351E-2438-42EB-A88A-52B0C3E30804}"/>
    <cellStyle name="Normal 2 4 2 3 4 4 2 2 3" xfId="24950" xr:uid="{D8558E5B-5340-41C0-B1C9-89AC910C7E8D}"/>
    <cellStyle name="Normal 2 4 2 3 4 4 2 3" xfId="12298" xr:uid="{3416F17F-FF8E-47D9-8593-40229663A1FB}"/>
    <cellStyle name="Normal 2 4 2 3 4 4 2 4" xfId="20733" xr:uid="{CE736E08-79AF-409A-B347-19A618B2B157}"/>
    <cellStyle name="Normal 2 4 2 3 4 4 3" xfId="5921" xr:uid="{00000000-0005-0000-0000-00001C0F0000}"/>
    <cellStyle name="Normal 2 4 2 3 4 4 3 2" xfId="14371" xr:uid="{16AE364F-0528-48B8-8FB4-8572D833EE11}"/>
    <cellStyle name="Normal 2 4 2 3 4 4 3 3" xfId="22805" xr:uid="{A96160C4-9589-4C0A-9D28-8BD8074F36E7}"/>
    <cellStyle name="Normal 2 4 2 3 4 4 4" xfId="10153" xr:uid="{81604EBC-9784-4233-A9CC-3C2F59C12982}"/>
    <cellStyle name="Normal 2 4 2 3 4 4 5" xfId="18588" xr:uid="{AE83A0E7-3BE1-498D-87EE-0A5DF95D467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A17343C0-EA7F-477D-8A06-A56562F81DE0}"/>
    <cellStyle name="Normal 2 4 2 3 4 5 2 2 3" xfId="25363" xr:uid="{1717E708-6C92-4649-AAA1-D10041B36D61}"/>
    <cellStyle name="Normal 2 4 2 3 4 5 2 3" xfId="12711" xr:uid="{D1C6F3BB-4501-4002-B083-0BB57E2C409E}"/>
    <cellStyle name="Normal 2 4 2 3 4 5 2 4" xfId="21146" xr:uid="{E7679A90-C58A-4B0D-98AB-5E4A891E37D8}"/>
    <cellStyle name="Normal 2 4 2 3 4 5 3" xfId="6334" xr:uid="{00000000-0005-0000-0000-0000200F0000}"/>
    <cellStyle name="Normal 2 4 2 3 4 5 3 2" xfId="14784" xr:uid="{3C9E25D1-433C-425A-8F5F-DE6C8DDF00F4}"/>
    <cellStyle name="Normal 2 4 2 3 4 5 3 3" xfId="23218" xr:uid="{68962BC3-4CF1-4C84-9DAC-3FC830216B7E}"/>
    <cellStyle name="Normal 2 4 2 3 4 5 4" xfId="10566" xr:uid="{64262FD9-39C7-482B-9E86-15536C946770}"/>
    <cellStyle name="Normal 2 4 2 3 4 5 5" xfId="19001" xr:uid="{18A1112A-A2CD-4D8A-86DA-422212A50C92}"/>
    <cellStyle name="Normal 2 4 2 3 4 6" xfId="2464" xr:uid="{00000000-0005-0000-0000-0000210F0000}"/>
    <cellStyle name="Normal 2 4 2 3 4 6 2" xfId="6747" xr:uid="{00000000-0005-0000-0000-0000220F0000}"/>
    <cellStyle name="Normal 2 4 2 3 4 6 2 2" xfId="15197" xr:uid="{FDB41056-B637-4930-BBF8-030A2C5EC416}"/>
    <cellStyle name="Normal 2 4 2 3 4 6 2 3" xfId="23631" xr:uid="{CBAB48DF-5012-4661-926E-F5823049B899}"/>
    <cellStyle name="Normal 2 4 2 3 4 6 3" xfId="10979" xr:uid="{BFB590A4-B654-4834-B08B-0658C1AD027E}"/>
    <cellStyle name="Normal 2 4 2 3 4 6 4" xfId="19414" xr:uid="{6FA46D5A-9D95-44F6-B1D5-F40CCDE41879}"/>
    <cellStyle name="Normal 2 4 2 3 4 7" xfId="4681" xr:uid="{00000000-0005-0000-0000-0000230F0000}"/>
    <cellStyle name="Normal 2 4 2 3 4 7 2" xfId="13131" xr:uid="{FFD06434-8F33-46AA-9027-C11973753E6F}"/>
    <cellStyle name="Normal 2 4 2 3 4 7 3" xfId="21565" xr:uid="{30B95554-FD9B-49BA-BCA8-10373EF24AB6}"/>
    <cellStyle name="Normal 2 4 2 3 4 8" xfId="8913" xr:uid="{7B190A69-6A41-46D5-A772-3F1852311645}"/>
    <cellStyle name="Normal 2 4 2 3 4 9" xfId="17348" xr:uid="{79889DAD-421B-49C0-A2F2-D67F59676672}"/>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C0101B50-C801-4379-BA57-344BD59E13CD}"/>
    <cellStyle name="Normal 2 4 2 3 5 2 2 3" xfId="24117" xr:uid="{F3E3CCBF-558E-46CE-A075-57D4D02B9390}"/>
    <cellStyle name="Normal 2 4 2 3 5 2 3" xfId="11465" xr:uid="{56B91E6D-72D5-49AE-A72D-AC6534D06154}"/>
    <cellStyle name="Normal 2 4 2 3 5 2 4" xfId="19900" xr:uid="{563E24EC-286C-4477-B48F-DE09F2CD29F0}"/>
    <cellStyle name="Normal 2 4 2 3 5 3" xfId="5088" xr:uid="{00000000-0005-0000-0000-0000270F0000}"/>
    <cellStyle name="Normal 2 4 2 3 5 3 2" xfId="13538" xr:uid="{9DAFE8EE-E3FB-435C-AB61-93139E6C596F}"/>
    <cellStyle name="Normal 2 4 2 3 5 3 3" xfId="21972" xr:uid="{E35D2F28-9AF5-4DE7-A49E-E771E825518B}"/>
    <cellStyle name="Normal 2 4 2 3 5 4" xfId="9320" xr:uid="{5646D9AB-1115-46EA-B6AE-6329A22BE19A}"/>
    <cellStyle name="Normal 2 4 2 3 5 5" xfId="17755" xr:uid="{EA4DF21C-EA85-4BC8-8736-E3925D8523BE}"/>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89F42697-F86C-44DB-BEDC-C1CF5922B0BC}"/>
    <cellStyle name="Normal 2 4 2 3 6 2 2 3" xfId="24530" xr:uid="{B7999079-AB86-47C9-9561-65EFCCD7D8A4}"/>
    <cellStyle name="Normal 2 4 2 3 6 2 3" xfId="11878" xr:uid="{0F395463-C71A-47D3-B795-C2DC2D5752F2}"/>
    <cellStyle name="Normal 2 4 2 3 6 2 4" xfId="20313" xr:uid="{080E2C14-3A16-4860-A69C-9813F37845E5}"/>
    <cellStyle name="Normal 2 4 2 3 6 3" xfId="5501" xr:uid="{00000000-0005-0000-0000-00002B0F0000}"/>
    <cellStyle name="Normal 2 4 2 3 6 3 2" xfId="13951" xr:uid="{FD2733FA-1872-4089-B526-9CECB97755F0}"/>
    <cellStyle name="Normal 2 4 2 3 6 3 3" xfId="22385" xr:uid="{99F8B401-A6ED-4785-B24D-188319B80E49}"/>
    <cellStyle name="Normal 2 4 2 3 6 4" xfId="9733" xr:uid="{AC217B0D-C404-4763-8370-CFFE52A21902}"/>
    <cellStyle name="Normal 2 4 2 3 6 5" xfId="18168" xr:uid="{56437278-953F-4816-9984-14893CE0C3DB}"/>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3AF79AE8-4A9F-4AC5-A56C-EAE767CF1740}"/>
    <cellStyle name="Normal 2 4 2 3 7 2 2 3" xfId="24943" xr:uid="{28D21F23-4E99-4AD9-BF6C-C6983A57DECF}"/>
    <cellStyle name="Normal 2 4 2 3 7 2 3" xfId="12291" xr:uid="{27DAAB5B-1C49-426F-9131-7A0E04CA41B2}"/>
    <cellStyle name="Normal 2 4 2 3 7 2 4" xfId="20726" xr:uid="{E71A1B48-04CB-4172-8900-836A85CF1265}"/>
    <cellStyle name="Normal 2 4 2 3 7 3" xfId="5914" xr:uid="{00000000-0005-0000-0000-00002F0F0000}"/>
    <cellStyle name="Normal 2 4 2 3 7 3 2" xfId="14364" xr:uid="{E21CD8E4-6EA6-434F-8E20-D6091B94ED36}"/>
    <cellStyle name="Normal 2 4 2 3 7 3 3" xfId="22798" xr:uid="{63A24EEC-806F-4BA6-A70A-1D762A36274C}"/>
    <cellStyle name="Normal 2 4 2 3 7 4" xfId="10146" xr:uid="{307EFFAA-EFE3-4A65-9F93-84E613564D43}"/>
    <cellStyle name="Normal 2 4 2 3 7 5" xfId="18581" xr:uid="{698D6E6A-E421-449E-A0A3-26991D5135D1}"/>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8BEE4C15-1E1B-4CCD-B129-77FE8836E32B}"/>
    <cellStyle name="Normal 2 4 2 3 8 2 2 3" xfId="25356" xr:uid="{D8C76EEC-9121-486D-83D2-AAEDAA1E69E5}"/>
    <cellStyle name="Normal 2 4 2 3 8 2 3" xfId="12704" xr:uid="{726F7929-8F99-4F8B-A79D-CC8439E3AB28}"/>
    <cellStyle name="Normal 2 4 2 3 8 2 4" xfId="21139" xr:uid="{CC1F7761-6815-4D19-B476-73D0E6CD4439}"/>
    <cellStyle name="Normal 2 4 2 3 8 3" xfId="6327" xr:uid="{00000000-0005-0000-0000-0000330F0000}"/>
    <cellStyle name="Normal 2 4 2 3 8 3 2" xfId="14777" xr:uid="{4900F9F1-AE78-4AC3-94B3-4FFDFD68CB46}"/>
    <cellStyle name="Normal 2 4 2 3 8 3 3" xfId="23211" xr:uid="{644FD8C9-9608-47FB-B547-A350D4ACFF8D}"/>
    <cellStyle name="Normal 2 4 2 3 8 4" xfId="10559" xr:uid="{D2E0A82A-1967-42C8-9B66-9C1A36FF8423}"/>
    <cellStyle name="Normal 2 4 2 3 8 5" xfId="18994" xr:uid="{8AB15CEE-DA36-43A2-9FA0-E6BE88927522}"/>
    <cellStyle name="Normal 2 4 2 3 9" xfId="2457" xr:uid="{00000000-0005-0000-0000-0000340F0000}"/>
    <cellStyle name="Normal 2 4 2 3 9 2" xfId="6740" xr:uid="{00000000-0005-0000-0000-0000350F0000}"/>
    <cellStyle name="Normal 2 4 2 3 9 2 2" xfId="15190" xr:uid="{6EF4FD93-61E4-4EE8-85FE-CBF26BBA05A9}"/>
    <cellStyle name="Normal 2 4 2 3 9 2 3" xfId="23624" xr:uid="{422C9248-0EE5-4F5D-8CD8-53EBA5741D76}"/>
    <cellStyle name="Normal 2 4 2 3 9 3" xfId="10972" xr:uid="{6B44D096-4A1C-4FC9-986F-25B739E5F80E}"/>
    <cellStyle name="Normal 2 4 2 3 9 4" xfId="19407" xr:uid="{8F8B4CE0-1BC0-4618-8A4E-6525B0BAFD75}"/>
    <cellStyle name="Normal 2 4 2 4" xfId="289" xr:uid="{00000000-0005-0000-0000-0000360F0000}"/>
    <cellStyle name="Normal 2 4 2 4 10" xfId="8914" xr:uid="{6E18D375-A0C3-45D8-B57C-78D8DAB3B855}"/>
    <cellStyle name="Normal 2 4 2 4 11" xfId="17349" xr:uid="{97994743-AED5-434E-AD84-53D7BDDD5B39}"/>
    <cellStyle name="Normal 2 4 2 4 2" xfId="290" xr:uid="{00000000-0005-0000-0000-0000370F0000}"/>
    <cellStyle name="Normal 2 4 2 4 2 10" xfId="17350" xr:uid="{0E9ED000-8035-4DA6-A9F1-CF26F492A4E1}"/>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E8E824CE-678E-46AE-A9B9-4820BFE25FF2}"/>
    <cellStyle name="Normal 2 4 2 4 2 2 2 2 2 3" xfId="24127" xr:uid="{5C0B7A0E-9963-403C-B345-EBF6BF8317EA}"/>
    <cellStyle name="Normal 2 4 2 4 2 2 2 2 3" xfId="11475" xr:uid="{71B52099-95FD-415B-B1EA-799000D85A24}"/>
    <cellStyle name="Normal 2 4 2 4 2 2 2 2 4" xfId="19910" xr:uid="{F6607CEF-E84D-47B0-B0EA-853D89F1FC84}"/>
    <cellStyle name="Normal 2 4 2 4 2 2 2 3" xfId="5098" xr:uid="{00000000-0005-0000-0000-00003C0F0000}"/>
    <cellStyle name="Normal 2 4 2 4 2 2 2 3 2" xfId="13548" xr:uid="{6D4D0E5E-7B31-4B7D-A605-F759DBFF9C72}"/>
    <cellStyle name="Normal 2 4 2 4 2 2 2 3 3" xfId="21982" xr:uid="{3411A644-5BAB-4C00-87BE-374FA3A7C3B7}"/>
    <cellStyle name="Normal 2 4 2 4 2 2 2 4" xfId="9330" xr:uid="{E121698C-A6FB-44C0-AC20-0F9FDBF1A81C}"/>
    <cellStyle name="Normal 2 4 2 4 2 2 2 5" xfId="17765" xr:uid="{D47EC506-A4AC-4475-82AA-3C6ACF2C977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CD280F61-FC54-4D5C-A399-335AC8BA94D0}"/>
    <cellStyle name="Normal 2 4 2 4 2 2 3 2 2 3" xfId="24540" xr:uid="{95359BAD-320A-49D2-B1D3-BC9546CB5A7B}"/>
    <cellStyle name="Normal 2 4 2 4 2 2 3 2 3" xfId="11888" xr:uid="{FED92E15-3156-439A-947C-8138BEE44655}"/>
    <cellStyle name="Normal 2 4 2 4 2 2 3 2 4" xfId="20323" xr:uid="{23FE46B6-DAA9-42B0-9ED2-CA9ACB828440}"/>
    <cellStyle name="Normal 2 4 2 4 2 2 3 3" xfId="5511" xr:uid="{00000000-0005-0000-0000-0000400F0000}"/>
    <cellStyle name="Normal 2 4 2 4 2 2 3 3 2" xfId="13961" xr:uid="{1A722FB8-58CA-4490-A9F2-DCC798F8B148}"/>
    <cellStyle name="Normal 2 4 2 4 2 2 3 3 3" xfId="22395" xr:uid="{721D2CCE-5529-4F3D-BF5A-E42DBCB46BB3}"/>
    <cellStyle name="Normal 2 4 2 4 2 2 3 4" xfId="9743" xr:uid="{9AE61BB4-DD57-4244-8035-EB767DC26F34}"/>
    <cellStyle name="Normal 2 4 2 4 2 2 3 5" xfId="18178" xr:uid="{E0EA17FF-5CFF-4022-B3A3-A00880B0344C}"/>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B76C99F4-A7D5-41FF-9E23-83618E43F1A7}"/>
    <cellStyle name="Normal 2 4 2 4 2 2 4 2 2 3" xfId="24953" xr:uid="{7D9742EA-BC9C-4C35-BBEE-A6B2303B0534}"/>
    <cellStyle name="Normal 2 4 2 4 2 2 4 2 3" xfId="12301" xr:uid="{02760D27-52A6-430A-AF7C-9A0B452D68F5}"/>
    <cellStyle name="Normal 2 4 2 4 2 2 4 2 4" xfId="20736" xr:uid="{3417BA11-489A-45C2-9794-7BF5D52FE48E}"/>
    <cellStyle name="Normal 2 4 2 4 2 2 4 3" xfId="5924" xr:uid="{00000000-0005-0000-0000-0000440F0000}"/>
    <cellStyle name="Normal 2 4 2 4 2 2 4 3 2" xfId="14374" xr:uid="{6ADB67E0-A202-4DB5-BE64-B52BCDEBDF2F}"/>
    <cellStyle name="Normal 2 4 2 4 2 2 4 3 3" xfId="22808" xr:uid="{7CC002D7-9091-47ED-A273-47DD2041C62C}"/>
    <cellStyle name="Normal 2 4 2 4 2 2 4 4" xfId="10156" xr:uid="{321DF6E5-2386-4BE7-916F-D173C73C6F8A}"/>
    <cellStyle name="Normal 2 4 2 4 2 2 4 5" xfId="18591" xr:uid="{2C9F846D-E594-4F06-888C-AEF1A29B50B6}"/>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DD34B8F6-9174-4C2E-9631-276AF61924FE}"/>
    <cellStyle name="Normal 2 4 2 4 2 2 5 2 2 3" xfId="25366" xr:uid="{E19CE360-C259-4A53-8A95-72F190D43452}"/>
    <cellStyle name="Normal 2 4 2 4 2 2 5 2 3" xfId="12714" xr:uid="{22877D4F-51C5-4729-B54E-01C8FC3867F4}"/>
    <cellStyle name="Normal 2 4 2 4 2 2 5 2 4" xfId="21149" xr:uid="{92A41F17-1F7D-43DE-B8A8-0A92F05B4392}"/>
    <cellStyle name="Normal 2 4 2 4 2 2 5 3" xfId="6337" xr:uid="{00000000-0005-0000-0000-0000480F0000}"/>
    <cellStyle name="Normal 2 4 2 4 2 2 5 3 2" xfId="14787" xr:uid="{19EA4586-44BA-4F09-8E74-79F9318FA8DF}"/>
    <cellStyle name="Normal 2 4 2 4 2 2 5 3 3" xfId="23221" xr:uid="{85414846-0F51-4708-A5E5-842AA33A4B42}"/>
    <cellStyle name="Normal 2 4 2 4 2 2 5 4" xfId="10569" xr:uid="{5F019BCF-8D1B-471E-ACBE-DC736BE3CC5F}"/>
    <cellStyle name="Normal 2 4 2 4 2 2 5 5" xfId="19004" xr:uid="{B5464A3F-ACE3-4814-9732-BE5A412C8ABF}"/>
    <cellStyle name="Normal 2 4 2 4 2 2 6" xfId="2467" xr:uid="{00000000-0005-0000-0000-0000490F0000}"/>
    <cellStyle name="Normal 2 4 2 4 2 2 6 2" xfId="6750" xr:uid="{00000000-0005-0000-0000-00004A0F0000}"/>
    <cellStyle name="Normal 2 4 2 4 2 2 6 2 2" xfId="15200" xr:uid="{D8408136-6645-40FB-92FB-402E8034658C}"/>
    <cellStyle name="Normal 2 4 2 4 2 2 6 2 3" xfId="23634" xr:uid="{AA188A3C-FCFC-4F82-8623-1DBFC44FEDA2}"/>
    <cellStyle name="Normal 2 4 2 4 2 2 6 3" xfId="10982" xr:uid="{24475EEC-D8C1-4ED7-8B1F-158E953CB1DC}"/>
    <cellStyle name="Normal 2 4 2 4 2 2 6 4" xfId="19417" xr:uid="{69C9282F-D198-47FF-A785-E2FF447B9EAA}"/>
    <cellStyle name="Normal 2 4 2 4 2 2 7" xfId="4684" xr:uid="{00000000-0005-0000-0000-00004B0F0000}"/>
    <cellStyle name="Normal 2 4 2 4 2 2 7 2" xfId="13134" xr:uid="{EC3B6150-6F03-477C-BA78-87D670FECC48}"/>
    <cellStyle name="Normal 2 4 2 4 2 2 7 3" xfId="21568" xr:uid="{45F3C9F0-A489-49C7-B537-4021E19A28D0}"/>
    <cellStyle name="Normal 2 4 2 4 2 2 8" xfId="8916" xr:uid="{0E5A34EC-36AE-4DE3-95D6-3724D488D3A3}"/>
    <cellStyle name="Normal 2 4 2 4 2 2 9" xfId="17351" xr:uid="{A0628204-A3CC-4217-AB9D-EF9ED1562DA6}"/>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F3B1A5D3-CB51-4C2C-8C09-D45EE490E7B9}"/>
    <cellStyle name="Normal 2 4 2 4 2 3 2 2 3" xfId="24126" xr:uid="{10120E8D-14BB-40FB-921E-5DBCA6FA61CF}"/>
    <cellStyle name="Normal 2 4 2 4 2 3 2 3" xfId="11474" xr:uid="{0B7C2806-EC30-4088-BCCC-9840A3D63D06}"/>
    <cellStyle name="Normal 2 4 2 4 2 3 2 4" xfId="19909" xr:uid="{B2A27976-489E-47B0-82D7-88837FC7A693}"/>
    <cellStyle name="Normal 2 4 2 4 2 3 3" xfId="5097" xr:uid="{00000000-0005-0000-0000-00004F0F0000}"/>
    <cellStyle name="Normal 2 4 2 4 2 3 3 2" xfId="13547" xr:uid="{8FD9DC5B-DB88-4FD6-9FB7-3834940446B6}"/>
    <cellStyle name="Normal 2 4 2 4 2 3 3 3" xfId="21981" xr:uid="{2A375BD6-C7CE-4572-8B67-A335BF235D64}"/>
    <cellStyle name="Normal 2 4 2 4 2 3 4" xfId="9329" xr:uid="{E658D1EC-83C8-45FA-BF5D-B3F306DB840D}"/>
    <cellStyle name="Normal 2 4 2 4 2 3 5" xfId="17764" xr:uid="{F2BF2D7D-C186-4268-B020-74108D1CE02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739E453-6F86-448A-900B-B8C8301B5097}"/>
    <cellStyle name="Normal 2 4 2 4 2 4 2 2 3" xfId="24539" xr:uid="{CA93D1E0-3605-4DDF-8E75-1681107B3744}"/>
    <cellStyle name="Normal 2 4 2 4 2 4 2 3" xfId="11887" xr:uid="{453F29F8-AC43-43D7-9BF6-6603E679AF0A}"/>
    <cellStyle name="Normal 2 4 2 4 2 4 2 4" xfId="20322" xr:uid="{84DE2439-CFD4-4097-AB63-9EE44AE82BD3}"/>
    <cellStyle name="Normal 2 4 2 4 2 4 3" xfId="5510" xr:uid="{00000000-0005-0000-0000-0000530F0000}"/>
    <cellStyle name="Normal 2 4 2 4 2 4 3 2" xfId="13960" xr:uid="{DAE0873E-91C9-4576-A426-69DF9835E30B}"/>
    <cellStyle name="Normal 2 4 2 4 2 4 3 3" xfId="22394" xr:uid="{785980D4-D1AE-4056-A7D9-4C5D3363430B}"/>
    <cellStyle name="Normal 2 4 2 4 2 4 4" xfId="9742" xr:uid="{E6439E34-57C1-497A-93EF-F33BD0C29DD4}"/>
    <cellStyle name="Normal 2 4 2 4 2 4 5" xfId="18177" xr:uid="{D421A9D9-5E1F-4A36-A160-8D7EB2BD3EC4}"/>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215D2090-855C-433C-9E56-505E3C306A8A}"/>
    <cellStyle name="Normal 2 4 2 4 2 5 2 2 3" xfId="24952" xr:uid="{00202B13-0F58-43EE-9ADC-27A705B5AF90}"/>
    <cellStyle name="Normal 2 4 2 4 2 5 2 3" xfId="12300" xr:uid="{780A9108-44A9-4B24-9BED-DE1B52BC4944}"/>
    <cellStyle name="Normal 2 4 2 4 2 5 2 4" xfId="20735" xr:uid="{9CB1C6B8-1F15-499F-9FF6-D33B55B9671C}"/>
    <cellStyle name="Normal 2 4 2 4 2 5 3" xfId="5923" xr:uid="{00000000-0005-0000-0000-0000570F0000}"/>
    <cellStyle name="Normal 2 4 2 4 2 5 3 2" xfId="14373" xr:uid="{D98C0477-652E-4F02-981A-D7B8878F429E}"/>
    <cellStyle name="Normal 2 4 2 4 2 5 3 3" xfId="22807" xr:uid="{76B2025A-FF5B-4154-815E-F219993B2822}"/>
    <cellStyle name="Normal 2 4 2 4 2 5 4" xfId="10155" xr:uid="{977A866C-EFD1-4B66-9F23-678F389375CD}"/>
    <cellStyle name="Normal 2 4 2 4 2 5 5" xfId="18590" xr:uid="{AB4BD1C5-037A-48E4-B864-937C6B000797}"/>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1C786797-4F79-4859-9FF9-518C5B30124F}"/>
    <cellStyle name="Normal 2 4 2 4 2 6 2 2 3" xfId="25365" xr:uid="{C8211B99-24E5-44CC-8BB6-D9C68F3FE8A8}"/>
    <cellStyle name="Normal 2 4 2 4 2 6 2 3" xfId="12713" xr:uid="{383CC4B3-85AC-4B7C-808B-65E59577D0CA}"/>
    <cellStyle name="Normal 2 4 2 4 2 6 2 4" xfId="21148" xr:uid="{0DAC0206-3C55-4D0A-BCB1-6506FC979104}"/>
    <cellStyle name="Normal 2 4 2 4 2 6 3" xfId="6336" xr:uid="{00000000-0005-0000-0000-00005B0F0000}"/>
    <cellStyle name="Normal 2 4 2 4 2 6 3 2" xfId="14786" xr:uid="{323E9638-A9AF-4601-BDB8-453822C16BCD}"/>
    <cellStyle name="Normal 2 4 2 4 2 6 3 3" xfId="23220" xr:uid="{47655F9F-70ED-47A4-B92A-411378D4544F}"/>
    <cellStyle name="Normal 2 4 2 4 2 6 4" xfId="10568" xr:uid="{4E61AB8D-B3D1-4344-9668-63850B51CBFD}"/>
    <cellStyle name="Normal 2 4 2 4 2 6 5" xfId="19003" xr:uid="{927EE60E-415E-4F08-ABB3-A4C1B2A0A163}"/>
    <cellStyle name="Normal 2 4 2 4 2 7" xfId="2466" xr:uid="{00000000-0005-0000-0000-00005C0F0000}"/>
    <cellStyle name="Normal 2 4 2 4 2 7 2" xfId="6749" xr:uid="{00000000-0005-0000-0000-00005D0F0000}"/>
    <cellStyle name="Normal 2 4 2 4 2 7 2 2" xfId="15199" xr:uid="{12FAE612-F7CE-4BFF-AA8C-34F6B19AB774}"/>
    <cellStyle name="Normal 2 4 2 4 2 7 2 3" xfId="23633" xr:uid="{0CD2C794-4714-4FFB-A49D-7954EC974B28}"/>
    <cellStyle name="Normal 2 4 2 4 2 7 3" xfId="10981" xr:uid="{67016264-D55A-4AF8-BAF8-438A1BCC5E12}"/>
    <cellStyle name="Normal 2 4 2 4 2 7 4" xfId="19416" xr:uid="{0BB5A3E8-70D2-47F9-8EB8-392E6F297704}"/>
    <cellStyle name="Normal 2 4 2 4 2 8" xfId="4683" xr:uid="{00000000-0005-0000-0000-00005E0F0000}"/>
    <cellStyle name="Normal 2 4 2 4 2 8 2" xfId="13133" xr:uid="{9FBCB0F6-8B29-486D-BDA2-E4A943B85755}"/>
    <cellStyle name="Normal 2 4 2 4 2 8 3" xfId="21567" xr:uid="{CFDF52AD-08F5-4454-8C25-8C39135E3DB6}"/>
    <cellStyle name="Normal 2 4 2 4 2 9" xfId="8915" xr:uid="{D2491362-239A-4212-BDB1-E2359BE21A3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C032CBF2-DA5E-401B-B522-0F21F9D26DE7}"/>
    <cellStyle name="Normal 2 4 2 4 3 2 2 2 3" xfId="24128" xr:uid="{9933B5F1-6755-484E-99F7-087C1D72FCE4}"/>
    <cellStyle name="Normal 2 4 2 4 3 2 2 3" xfId="11476" xr:uid="{4ED47E76-14B6-4A32-9124-0532334C8FC5}"/>
    <cellStyle name="Normal 2 4 2 4 3 2 2 4" xfId="19911" xr:uid="{3366D9BC-7EE0-4460-A24A-EE0FEFC5941B}"/>
    <cellStyle name="Normal 2 4 2 4 3 2 3" xfId="5099" xr:uid="{00000000-0005-0000-0000-0000630F0000}"/>
    <cellStyle name="Normal 2 4 2 4 3 2 3 2" xfId="13549" xr:uid="{540F3679-62CB-4FDD-8F6C-09A898701DD3}"/>
    <cellStyle name="Normal 2 4 2 4 3 2 3 3" xfId="21983" xr:uid="{4CA9092C-6BE7-489D-B36C-6E8D52DF7C6D}"/>
    <cellStyle name="Normal 2 4 2 4 3 2 4" xfId="9331" xr:uid="{A8C799F3-7CAF-4929-B35A-D70C5297F0FC}"/>
    <cellStyle name="Normal 2 4 2 4 3 2 5" xfId="17766" xr:uid="{B6F8E91F-9F59-4F39-8502-D1E5B122EF0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65136BF6-3B0A-4CEB-8D57-0827FCCE76BD}"/>
    <cellStyle name="Normal 2 4 2 4 3 3 2 2 3" xfId="24541" xr:uid="{6C7C9A5C-4021-435C-A91B-CF3E5EDD4C11}"/>
    <cellStyle name="Normal 2 4 2 4 3 3 2 3" xfId="11889" xr:uid="{F12DDEF5-A477-4593-84AC-BCE6D4303666}"/>
    <cellStyle name="Normal 2 4 2 4 3 3 2 4" xfId="20324" xr:uid="{6CC5FA4C-4498-40AF-A595-0E18D7E9AFFB}"/>
    <cellStyle name="Normal 2 4 2 4 3 3 3" xfId="5512" xr:uid="{00000000-0005-0000-0000-0000670F0000}"/>
    <cellStyle name="Normal 2 4 2 4 3 3 3 2" xfId="13962" xr:uid="{3D929195-733D-47E6-B51A-08CA024025A7}"/>
    <cellStyle name="Normal 2 4 2 4 3 3 3 3" xfId="22396" xr:uid="{E628E68B-DF2B-458A-A858-C8229FEDC038}"/>
    <cellStyle name="Normal 2 4 2 4 3 3 4" xfId="9744" xr:uid="{14BCD841-7522-4E00-8D9B-CBB68D017605}"/>
    <cellStyle name="Normal 2 4 2 4 3 3 5" xfId="18179" xr:uid="{9EF9C3B9-A189-499D-BE78-FBC688EE21A1}"/>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105C8FB3-8944-4B1C-AE48-54783E1DEDE0}"/>
    <cellStyle name="Normal 2 4 2 4 3 4 2 2 3" xfId="24954" xr:uid="{D7B14AF3-C29C-4FEA-A878-0C2C350EA5E4}"/>
    <cellStyle name="Normal 2 4 2 4 3 4 2 3" xfId="12302" xr:uid="{8B813F53-CD85-48C9-A6AB-1B8FBF1FD984}"/>
    <cellStyle name="Normal 2 4 2 4 3 4 2 4" xfId="20737" xr:uid="{5899F019-1F41-4E3C-82EE-B09174599B70}"/>
    <cellStyle name="Normal 2 4 2 4 3 4 3" xfId="5925" xr:uid="{00000000-0005-0000-0000-00006B0F0000}"/>
    <cellStyle name="Normal 2 4 2 4 3 4 3 2" xfId="14375" xr:uid="{912B8BEA-1A42-452D-B507-739A215FE3F9}"/>
    <cellStyle name="Normal 2 4 2 4 3 4 3 3" xfId="22809" xr:uid="{AFDD17FA-A8B0-4CB4-805F-BB820A3C90A6}"/>
    <cellStyle name="Normal 2 4 2 4 3 4 4" xfId="10157" xr:uid="{383AFD78-3C05-4C04-8485-ACADF4853106}"/>
    <cellStyle name="Normal 2 4 2 4 3 4 5" xfId="18592" xr:uid="{1C0C92AC-4EB7-450E-A205-814905695E9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5E1565BE-B187-47DD-904F-B3B4EEBC7964}"/>
    <cellStyle name="Normal 2 4 2 4 3 5 2 2 3" xfId="25367" xr:uid="{33201BE4-6B50-4E39-9960-87C391E3AB75}"/>
    <cellStyle name="Normal 2 4 2 4 3 5 2 3" xfId="12715" xr:uid="{5513ED3B-A17D-44CC-B20F-48B598F47743}"/>
    <cellStyle name="Normal 2 4 2 4 3 5 2 4" xfId="21150" xr:uid="{10A08C6D-426B-4947-85D7-11EB60499917}"/>
    <cellStyle name="Normal 2 4 2 4 3 5 3" xfId="6338" xr:uid="{00000000-0005-0000-0000-00006F0F0000}"/>
    <cellStyle name="Normal 2 4 2 4 3 5 3 2" xfId="14788" xr:uid="{9DA9E9F8-E6BE-4A5D-A035-AD87E2B8F87E}"/>
    <cellStyle name="Normal 2 4 2 4 3 5 3 3" xfId="23222" xr:uid="{10BB2F80-FAF4-46E3-81A3-C5A84DFBDF19}"/>
    <cellStyle name="Normal 2 4 2 4 3 5 4" xfId="10570" xr:uid="{9B07CA31-5F6C-438B-B3DC-9EA63BC601C1}"/>
    <cellStyle name="Normal 2 4 2 4 3 5 5" xfId="19005" xr:uid="{1DA1645E-3FB8-45FC-96F3-04C283168EDB}"/>
    <cellStyle name="Normal 2 4 2 4 3 6" xfId="2468" xr:uid="{00000000-0005-0000-0000-0000700F0000}"/>
    <cellStyle name="Normal 2 4 2 4 3 6 2" xfId="6751" xr:uid="{00000000-0005-0000-0000-0000710F0000}"/>
    <cellStyle name="Normal 2 4 2 4 3 6 2 2" xfId="15201" xr:uid="{ECEFEC56-BC38-44D5-89C9-B82EEE04F9B4}"/>
    <cellStyle name="Normal 2 4 2 4 3 6 2 3" xfId="23635" xr:uid="{45F6B0C7-1B94-4614-B003-56CD1AA96F9B}"/>
    <cellStyle name="Normal 2 4 2 4 3 6 3" xfId="10983" xr:uid="{20345F10-AB84-4D43-AFD9-9EB16CCE64AB}"/>
    <cellStyle name="Normal 2 4 2 4 3 6 4" xfId="19418" xr:uid="{9BF54FAC-7E5C-4C24-95EB-90BCF6B70D0C}"/>
    <cellStyle name="Normal 2 4 2 4 3 7" xfId="4685" xr:uid="{00000000-0005-0000-0000-0000720F0000}"/>
    <cellStyle name="Normal 2 4 2 4 3 7 2" xfId="13135" xr:uid="{E0A6188D-EF4F-4F9D-B843-037968987F90}"/>
    <cellStyle name="Normal 2 4 2 4 3 7 3" xfId="21569" xr:uid="{48CABE43-1053-498E-8738-EC4A0195A5C7}"/>
    <cellStyle name="Normal 2 4 2 4 3 8" xfId="8917" xr:uid="{92EC872D-2FCE-49FC-8870-C02CBDB62287}"/>
    <cellStyle name="Normal 2 4 2 4 3 9" xfId="17352" xr:uid="{7CD9D8CF-D0FF-4BD3-B3E9-F380A4882166}"/>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FB72FBF7-DB3F-4FD4-8E8A-6A215E4AEFDD}"/>
    <cellStyle name="Normal 2 4 2 4 4 2 2 3" xfId="24125" xr:uid="{285AFE36-3F2E-4C81-A725-3494380DF7E7}"/>
    <cellStyle name="Normal 2 4 2 4 4 2 3" xfId="11473" xr:uid="{8CAC4B4A-4711-4F72-AB17-8A8AF1250F1D}"/>
    <cellStyle name="Normal 2 4 2 4 4 2 4" xfId="19908" xr:uid="{A00DC1DD-107B-422A-A3F9-A0EF44763831}"/>
    <cellStyle name="Normal 2 4 2 4 4 3" xfId="5096" xr:uid="{00000000-0005-0000-0000-0000760F0000}"/>
    <cellStyle name="Normal 2 4 2 4 4 3 2" xfId="13546" xr:uid="{771101E1-B9E6-47F1-92D3-36FBAF9167DD}"/>
    <cellStyle name="Normal 2 4 2 4 4 3 3" xfId="21980" xr:uid="{7366D95B-5CBA-4C8A-ACC0-AE4C519B010D}"/>
    <cellStyle name="Normal 2 4 2 4 4 4" xfId="9328" xr:uid="{D2E0A0D5-45E0-4F97-96E0-F9CAFF10A5F8}"/>
    <cellStyle name="Normal 2 4 2 4 4 5" xfId="17763" xr:uid="{CA6F050A-7333-4C23-A53B-FAF53D0B7BE1}"/>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344A2493-25F1-47C6-AB3E-7A929B8649B4}"/>
    <cellStyle name="Normal 2 4 2 4 5 2 2 3" xfId="24538" xr:uid="{D3777AEE-8A51-46DE-AA52-0B5AE59B9CC6}"/>
    <cellStyle name="Normal 2 4 2 4 5 2 3" xfId="11886" xr:uid="{DAA2F895-D5F1-44AA-986C-0E2F67030886}"/>
    <cellStyle name="Normal 2 4 2 4 5 2 4" xfId="20321" xr:uid="{0CF875A7-6372-4B51-8EE5-23B427C0DB41}"/>
    <cellStyle name="Normal 2 4 2 4 5 3" xfId="5509" xr:uid="{00000000-0005-0000-0000-00007A0F0000}"/>
    <cellStyle name="Normal 2 4 2 4 5 3 2" xfId="13959" xr:uid="{9F9B40D8-31AC-43CB-BC5D-C96E1AEF7BFC}"/>
    <cellStyle name="Normal 2 4 2 4 5 3 3" xfId="22393" xr:uid="{0C4405B9-71C9-4462-8AD8-5D41C5EBDB5B}"/>
    <cellStyle name="Normal 2 4 2 4 5 4" xfId="9741" xr:uid="{4B88066D-4B97-485C-93A6-E8F68398DAEC}"/>
    <cellStyle name="Normal 2 4 2 4 5 5" xfId="18176" xr:uid="{10E48E81-D205-453B-9A9E-0D03AC38419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F7B12B60-DA78-4BF4-8395-2CA8C92458A7}"/>
    <cellStyle name="Normal 2 4 2 4 6 2 2 3" xfId="24951" xr:uid="{3310357F-D818-4153-9A8C-939D28BAA792}"/>
    <cellStyle name="Normal 2 4 2 4 6 2 3" xfId="12299" xr:uid="{8F2702D6-BB93-4825-9492-DAD49E7F1630}"/>
    <cellStyle name="Normal 2 4 2 4 6 2 4" xfId="20734" xr:uid="{684F110E-7579-44E1-836D-8EA73E65857B}"/>
    <cellStyle name="Normal 2 4 2 4 6 3" xfId="5922" xr:uid="{00000000-0005-0000-0000-00007E0F0000}"/>
    <cellStyle name="Normal 2 4 2 4 6 3 2" xfId="14372" xr:uid="{97D8D2F5-87CF-4B57-BDB6-E60EF9F8F962}"/>
    <cellStyle name="Normal 2 4 2 4 6 3 3" xfId="22806" xr:uid="{A7309601-6D03-4E25-953D-C4A941371F8B}"/>
    <cellStyle name="Normal 2 4 2 4 6 4" xfId="10154" xr:uid="{3F8B1F8D-8A89-4093-B66A-BBE7DD467BBD}"/>
    <cellStyle name="Normal 2 4 2 4 6 5" xfId="18589" xr:uid="{0A90B122-1B78-4144-923A-DCF2E722725E}"/>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E48BCA41-68CF-43C8-B060-8CBD332F6569}"/>
    <cellStyle name="Normal 2 4 2 4 7 2 2 3" xfId="25364" xr:uid="{2939692C-957C-446C-A815-2408368C049E}"/>
    <cellStyle name="Normal 2 4 2 4 7 2 3" xfId="12712" xr:uid="{543CE894-846E-47BC-ADD3-3CA219B35DF0}"/>
    <cellStyle name="Normal 2 4 2 4 7 2 4" xfId="21147" xr:uid="{75A4A4AE-B7AB-4B70-A81C-90361717541B}"/>
    <cellStyle name="Normal 2 4 2 4 7 3" xfId="6335" xr:uid="{00000000-0005-0000-0000-0000820F0000}"/>
    <cellStyle name="Normal 2 4 2 4 7 3 2" xfId="14785" xr:uid="{7948F33D-666D-47BC-B7B3-020A1EBD8203}"/>
    <cellStyle name="Normal 2 4 2 4 7 3 3" xfId="23219" xr:uid="{78D6B596-FCFB-4989-BC32-A056F9F94465}"/>
    <cellStyle name="Normal 2 4 2 4 7 4" xfId="10567" xr:uid="{C102C403-9A03-4934-84BF-AA1C2133A720}"/>
    <cellStyle name="Normal 2 4 2 4 7 5" xfId="19002" xr:uid="{31DE5F1B-6DC1-4566-9A6E-7B96A37043B5}"/>
    <cellStyle name="Normal 2 4 2 4 8" xfId="2465" xr:uid="{00000000-0005-0000-0000-0000830F0000}"/>
    <cellStyle name="Normal 2 4 2 4 8 2" xfId="6748" xr:uid="{00000000-0005-0000-0000-0000840F0000}"/>
    <cellStyle name="Normal 2 4 2 4 8 2 2" xfId="15198" xr:uid="{B670C84B-A916-43EF-88EE-CB63ECA4F855}"/>
    <cellStyle name="Normal 2 4 2 4 8 2 3" xfId="23632" xr:uid="{83123C6C-8C22-46E0-9067-3715DDF65BD8}"/>
    <cellStyle name="Normal 2 4 2 4 8 3" xfId="10980" xr:uid="{670965C9-BD47-42AB-AA64-CF69D0E39FB8}"/>
    <cellStyle name="Normal 2 4 2 4 8 4" xfId="19415" xr:uid="{BC5AD072-3151-45A6-9292-D0E861FD9412}"/>
    <cellStyle name="Normal 2 4 2 4 9" xfId="4682" xr:uid="{00000000-0005-0000-0000-0000850F0000}"/>
    <cellStyle name="Normal 2 4 2 4 9 2" xfId="13132" xr:uid="{94D8E9D9-D490-41D0-8D58-67A609A88860}"/>
    <cellStyle name="Normal 2 4 2 4 9 3" xfId="21566" xr:uid="{31FC75DC-DCEF-449D-8BCD-DB1AED0D1FF1}"/>
    <cellStyle name="Normal 2 4 2 5" xfId="293" xr:uid="{00000000-0005-0000-0000-0000860F0000}"/>
    <cellStyle name="Normal 2 4 2 5 10" xfId="17353" xr:uid="{CE41738D-1426-4ECD-8A0D-D8457994384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E961D642-C09B-4589-8038-056FD20434F4}"/>
    <cellStyle name="Normal 2 4 2 5 2 2 2 2 3" xfId="24130" xr:uid="{871063D5-E458-4669-9285-1C90B3132CCB}"/>
    <cellStyle name="Normal 2 4 2 5 2 2 2 3" xfId="11478" xr:uid="{C3CF5A72-85E4-4167-A638-256A81C5E688}"/>
    <cellStyle name="Normal 2 4 2 5 2 2 2 4" xfId="19913" xr:uid="{5967F97E-1486-4565-AC1D-66C875FB2051}"/>
    <cellStyle name="Normal 2 4 2 5 2 2 3" xfId="5101" xr:uid="{00000000-0005-0000-0000-00008B0F0000}"/>
    <cellStyle name="Normal 2 4 2 5 2 2 3 2" xfId="13551" xr:uid="{551AEC60-C52A-4B47-8AD7-6FB318CEE2E7}"/>
    <cellStyle name="Normal 2 4 2 5 2 2 3 3" xfId="21985" xr:uid="{8BE2DEF2-3D62-4CA7-A619-DCB39A9A5C4B}"/>
    <cellStyle name="Normal 2 4 2 5 2 2 4" xfId="9333" xr:uid="{16981DBD-088C-42E5-AF6E-5A8AF99B0FE4}"/>
    <cellStyle name="Normal 2 4 2 5 2 2 5" xfId="17768" xr:uid="{3E4D675B-73E2-4F1B-93C9-9C443D5CCFBB}"/>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A8B8A700-959D-415B-AB9A-DC423DAA6F3F}"/>
    <cellStyle name="Normal 2 4 2 5 2 3 2 2 3" xfId="24543" xr:uid="{F775B8C0-DF40-49A8-8F50-987CB3646737}"/>
    <cellStyle name="Normal 2 4 2 5 2 3 2 3" xfId="11891" xr:uid="{861FFB81-41CA-4371-994E-EEB6D140BE72}"/>
    <cellStyle name="Normal 2 4 2 5 2 3 2 4" xfId="20326" xr:uid="{5D3EDD64-D6D5-4A4F-AAA9-FF16C11FC326}"/>
    <cellStyle name="Normal 2 4 2 5 2 3 3" xfId="5514" xr:uid="{00000000-0005-0000-0000-00008F0F0000}"/>
    <cellStyle name="Normal 2 4 2 5 2 3 3 2" xfId="13964" xr:uid="{BD27F8D1-1C31-48D3-81E7-CC59A7511B67}"/>
    <cellStyle name="Normal 2 4 2 5 2 3 3 3" xfId="22398" xr:uid="{E0EBBBB4-475A-4413-B126-C1E9BBCE5232}"/>
    <cellStyle name="Normal 2 4 2 5 2 3 4" xfId="9746" xr:uid="{FFB14542-DE71-45B8-B59D-FDB4F979DA2F}"/>
    <cellStyle name="Normal 2 4 2 5 2 3 5" xfId="18181" xr:uid="{C83DA3B1-9247-4A95-B5E0-F5975A9EAF02}"/>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5ED3E094-29BB-4025-971F-CA413284CA28}"/>
    <cellStyle name="Normal 2 4 2 5 2 4 2 2 3" xfId="24956" xr:uid="{8DBD8D62-431B-4F99-8DCA-59C2AE49E9BE}"/>
    <cellStyle name="Normal 2 4 2 5 2 4 2 3" xfId="12304" xr:uid="{CCED5EA9-A9E6-4161-A308-79CD623A1CE8}"/>
    <cellStyle name="Normal 2 4 2 5 2 4 2 4" xfId="20739" xr:uid="{5CB99102-58DD-4650-AB60-E9953139D3A4}"/>
    <cellStyle name="Normal 2 4 2 5 2 4 3" xfId="5927" xr:uid="{00000000-0005-0000-0000-0000930F0000}"/>
    <cellStyle name="Normal 2 4 2 5 2 4 3 2" xfId="14377" xr:uid="{179F102A-529D-4EDB-BD73-DCDAB85A4A42}"/>
    <cellStyle name="Normal 2 4 2 5 2 4 3 3" xfId="22811" xr:uid="{254CBD45-7C9D-4577-96EA-DC099EDB5FB3}"/>
    <cellStyle name="Normal 2 4 2 5 2 4 4" xfId="10159" xr:uid="{454A9124-B4A5-445E-A514-CC980B390E54}"/>
    <cellStyle name="Normal 2 4 2 5 2 4 5" xfId="18594" xr:uid="{27157F93-2D26-46B9-9CB5-12B98B54B62A}"/>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ABEFCA62-D9BF-475A-9CD9-6D8DE3920649}"/>
    <cellStyle name="Normal 2 4 2 5 2 5 2 2 3" xfId="25369" xr:uid="{5379135D-71F1-4C7F-81D6-169EFA5037F1}"/>
    <cellStyle name="Normal 2 4 2 5 2 5 2 3" xfId="12717" xr:uid="{FE5C21AD-04A6-4F88-91EA-19F4E1495547}"/>
    <cellStyle name="Normal 2 4 2 5 2 5 2 4" xfId="21152" xr:uid="{0E348E39-DA41-43F0-B6DD-91C182B64926}"/>
    <cellStyle name="Normal 2 4 2 5 2 5 3" xfId="6340" xr:uid="{00000000-0005-0000-0000-0000970F0000}"/>
    <cellStyle name="Normal 2 4 2 5 2 5 3 2" xfId="14790" xr:uid="{A5491C46-943D-4D0D-8568-9C3664DF91D3}"/>
    <cellStyle name="Normal 2 4 2 5 2 5 3 3" xfId="23224" xr:uid="{5DB5BC05-7054-4074-9247-028F97D4CE72}"/>
    <cellStyle name="Normal 2 4 2 5 2 5 4" xfId="10572" xr:uid="{D34D9F49-E02C-44FB-9985-A4A7301049D2}"/>
    <cellStyle name="Normal 2 4 2 5 2 5 5" xfId="19007" xr:uid="{89312E39-FC00-43CA-B8FE-43FF375DA9E4}"/>
    <cellStyle name="Normal 2 4 2 5 2 6" xfId="2470" xr:uid="{00000000-0005-0000-0000-0000980F0000}"/>
    <cellStyle name="Normal 2 4 2 5 2 6 2" xfId="6753" xr:uid="{00000000-0005-0000-0000-0000990F0000}"/>
    <cellStyle name="Normal 2 4 2 5 2 6 2 2" xfId="15203" xr:uid="{6852C865-64F1-4380-80AD-3C02F9FC4DDD}"/>
    <cellStyle name="Normal 2 4 2 5 2 6 2 3" xfId="23637" xr:uid="{61F45E0F-F972-4587-A9D5-39414F81DB09}"/>
    <cellStyle name="Normal 2 4 2 5 2 6 3" xfId="10985" xr:uid="{E624505D-0983-4B17-B537-2D4A7BE87F6F}"/>
    <cellStyle name="Normal 2 4 2 5 2 6 4" xfId="19420" xr:uid="{C9D70522-2642-48A1-A354-25959474CA35}"/>
    <cellStyle name="Normal 2 4 2 5 2 7" xfId="4687" xr:uid="{00000000-0005-0000-0000-00009A0F0000}"/>
    <cellStyle name="Normal 2 4 2 5 2 7 2" xfId="13137" xr:uid="{502D7070-6EEB-4098-856F-CAC14F3CC00F}"/>
    <cellStyle name="Normal 2 4 2 5 2 7 3" xfId="21571" xr:uid="{78024A71-5B69-41EE-996B-A84010F31D7E}"/>
    <cellStyle name="Normal 2 4 2 5 2 8" xfId="8919" xr:uid="{7D9F6CBC-45D9-4663-B071-38C2FE8F38F9}"/>
    <cellStyle name="Normal 2 4 2 5 2 9" xfId="17354" xr:uid="{92B8B9F4-972E-4991-BDDB-271D4829531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28668997-43E4-4B8B-B081-FC225B004784}"/>
    <cellStyle name="Normal 2 4 2 5 3 2 2 3" xfId="24129" xr:uid="{12B06B51-13AD-4DE3-BF5C-62BD0EDC50A1}"/>
    <cellStyle name="Normal 2 4 2 5 3 2 3" xfId="11477" xr:uid="{C4A06AC9-98A3-4C5F-8FDC-4723329379F8}"/>
    <cellStyle name="Normal 2 4 2 5 3 2 4" xfId="19912" xr:uid="{F06E5C2A-D711-45C0-A930-ADA0A7B094B6}"/>
    <cellStyle name="Normal 2 4 2 5 3 3" xfId="5100" xr:uid="{00000000-0005-0000-0000-00009E0F0000}"/>
    <cellStyle name="Normal 2 4 2 5 3 3 2" xfId="13550" xr:uid="{BF4E4975-3D36-4D61-9CC7-73D6BD0F1114}"/>
    <cellStyle name="Normal 2 4 2 5 3 3 3" xfId="21984" xr:uid="{5638D610-7DA1-431C-A43F-5E78A98021EB}"/>
    <cellStyle name="Normal 2 4 2 5 3 4" xfId="9332" xr:uid="{29239352-085E-437C-BCC8-79566CF658D1}"/>
    <cellStyle name="Normal 2 4 2 5 3 5" xfId="17767" xr:uid="{A46C9DC8-3B10-4B63-A5E6-BCA2C6B5D26E}"/>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395A1BAF-4325-4222-83CC-B696086321C9}"/>
    <cellStyle name="Normal 2 4 2 5 4 2 2 3" xfId="24542" xr:uid="{CF563D0B-6821-4C7E-B898-1C7CAAD76369}"/>
    <cellStyle name="Normal 2 4 2 5 4 2 3" xfId="11890" xr:uid="{E3F09423-D4E9-473E-A440-485338B1FFC3}"/>
    <cellStyle name="Normal 2 4 2 5 4 2 4" xfId="20325" xr:uid="{60EF7232-80C8-447E-8B6C-7AB3BF6C2CB9}"/>
    <cellStyle name="Normal 2 4 2 5 4 3" xfId="5513" xr:uid="{00000000-0005-0000-0000-0000A20F0000}"/>
    <cellStyle name="Normal 2 4 2 5 4 3 2" xfId="13963" xr:uid="{8E5FD7BD-83E8-4B39-945F-E2F0CEEAEF48}"/>
    <cellStyle name="Normal 2 4 2 5 4 3 3" xfId="22397" xr:uid="{FAFE71DC-6436-43B9-9939-D3D3757EE082}"/>
    <cellStyle name="Normal 2 4 2 5 4 4" xfId="9745" xr:uid="{F8F14E8F-0668-44F6-BE61-10BFF06CBD6C}"/>
    <cellStyle name="Normal 2 4 2 5 4 5" xfId="18180" xr:uid="{FC4CC8D7-0992-46AB-9866-352E039E9A79}"/>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22776605-D690-40DA-9442-6DA8A4C82415}"/>
    <cellStyle name="Normal 2 4 2 5 5 2 2 3" xfId="24955" xr:uid="{7169A2D3-3CF8-4184-A1A7-98D10FD88220}"/>
    <cellStyle name="Normal 2 4 2 5 5 2 3" xfId="12303" xr:uid="{096004F3-3D52-44CA-899D-F4246514CA6F}"/>
    <cellStyle name="Normal 2 4 2 5 5 2 4" xfId="20738" xr:uid="{E92C9BEC-D4E4-4EA7-B2FD-3327D7C0C74A}"/>
    <cellStyle name="Normal 2 4 2 5 5 3" xfId="5926" xr:uid="{00000000-0005-0000-0000-0000A60F0000}"/>
    <cellStyle name="Normal 2 4 2 5 5 3 2" xfId="14376" xr:uid="{F6F64F4D-4CB4-4E64-AB1F-F7E22CEC1CC6}"/>
    <cellStyle name="Normal 2 4 2 5 5 3 3" xfId="22810" xr:uid="{8122E84D-6DD9-4E3E-8AB8-1F2F7D6351D5}"/>
    <cellStyle name="Normal 2 4 2 5 5 4" xfId="10158" xr:uid="{22478569-99E3-432C-8511-A7B86E7A3977}"/>
    <cellStyle name="Normal 2 4 2 5 5 5" xfId="18593" xr:uid="{59A6844B-EDFE-4AA1-9EA6-B4801C825A47}"/>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A74D0D4E-F9BE-4F42-8A4A-FEA83856C8F2}"/>
    <cellStyle name="Normal 2 4 2 5 6 2 2 3" xfId="25368" xr:uid="{D30B9EDA-189B-45B0-862F-142C98E65EA2}"/>
    <cellStyle name="Normal 2 4 2 5 6 2 3" xfId="12716" xr:uid="{681D5203-9974-4609-A47F-C983A81E0EF1}"/>
    <cellStyle name="Normal 2 4 2 5 6 2 4" xfId="21151" xr:uid="{51B9C8D3-1029-4AD8-A061-C0B156652E2C}"/>
    <cellStyle name="Normal 2 4 2 5 6 3" xfId="6339" xr:uid="{00000000-0005-0000-0000-0000AA0F0000}"/>
    <cellStyle name="Normal 2 4 2 5 6 3 2" xfId="14789" xr:uid="{0E6BF1FC-AC7E-40C6-8985-26655719EEA9}"/>
    <cellStyle name="Normal 2 4 2 5 6 3 3" xfId="23223" xr:uid="{FE5F331F-EE43-458B-8121-C3862EA12AE1}"/>
    <cellStyle name="Normal 2 4 2 5 6 4" xfId="10571" xr:uid="{5F91037E-05B0-4AA3-A8E2-A4D45FA75BCE}"/>
    <cellStyle name="Normal 2 4 2 5 6 5" xfId="19006" xr:uid="{7743E07C-9ED9-4E86-B33D-70B8C2920257}"/>
    <cellStyle name="Normal 2 4 2 5 7" xfId="2469" xr:uid="{00000000-0005-0000-0000-0000AB0F0000}"/>
    <cellStyle name="Normal 2 4 2 5 7 2" xfId="6752" xr:uid="{00000000-0005-0000-0000-0000AC0F0000}"/>
    <cellStyle name="Normal 2 4 2 5 7 2 2" xfId="15202" xr:uid="{64A81DCF-C837-4CD0-BE55-566CCBEC8EA7}"/>
    <cellStyle name="Normal 2 4 2 5 7 2 3" xfId="23636" xr:uid="{C93F5E94-3484-4389-8D7D-83789C2EDF5C}"/>
    <cellStyle name="Normal 2 4 2 5 7 3" xfId="10984" xr:uid="{89E13336-43E1-42D2-861A-D9261E164CCF}"/>
    <cellStyle name="Normal 2 4 2 5 7 4" xfId="19419" xr:uid="{F3B62CB1-824C-48A5-BAA1-533D05BA0060}"/>
    <cellStyle name="Normal 2 4 2 5 8" xfId="4686" xr:uid="{00000000-0005-0000-0000-0000AD0F0000}"/>
    <cellStyle name="Normal 2 4 2 5 8 2" xfId="13136" xr:uid="{0C907881-CEB0-4107-8110-A96C7FC44EF2}"/>
    <cellStyle name="Normal 2 4 2 5 8 3" xfId="21570" xr:uid="{10C0781B-3E9E-49B3-BA4F-F439C1754455}"/>
    <cellStyle name="Normal 2 4 2 5 9" xfId="8918" xr:uid="{E93DF993-A980-4C20-B51A-BA7D49441015}"/>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C0E3F96D-B705-4D97-958B-9023B27DDA03}"/>
    <cellStyle name="Normal 2 4 2 6 2 2 2 3" xfId="24131" xr:uid="{1C1A7C25-186C-40D3-8F26-8A61602D67D1}"/>
    <cellStyle name="Normal 2 4 2 6 2 2 3" xfId="11479" xr:uid="{A55271C2-1365-49FD-BFE7-7935D99C3D9F}"/>
    <cellStyle name="Normal 2 4 2 6 2 2 4" xfId="19914" xr:uid="{34461AF3-6B59-43F9-BFCB-7689C93C3234}"/>
    <cellStyle name="Normal 2 4 2 6 2 3" xfId="5102" xr:uid="{00000000-0005-0000-0000-0000B20F0000}"/>
    <cellStyle name="Normal 2 4 2 6 2 3 2" xfId="13552" xr:uid="{4F786B3C-8C3A-4619-BE39-81D80FE4A5C9}"/>
    <cellStyle name="Normal 2 4 2 6 2 3 3" xfId="21986" xr:uid="{9FEB8168-C1EE-483F-B9EA-FD4053FB0337}"/>
    <cellStyle name="Normal 2 4 2 6 2 4" xfId="9334" xr:uid="{C02A56DB-0FBD-4059-B1DA-8F9E2D8C0EFC}"/>
    <cellStyle name="Normal 2 4 2 6 2 5" xfId="17769" xr:uid="{E76D57EB-8493-48C8-BD99-1DE46239C67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09BF605E-417E-42F2-94CE-F0E33CD785B6}"/>
    <cellStyle name="Normal 2 4 2 6 3 2 2 3" xfId="24544" xr:uid="{C195431C-FC6B-4362-9E1E-43110E9EF8CF}"/>
    <cellStyle name="Normal 2 4 2 6 3 2 3" xfId="11892" xr:uid="{8167BAD4-16CB-47B8-9BF9-F14F0B6116B8}"/>
    <cellStyle name="Normal 2 4 2 6 3 2 4" xfId="20327" xr:uid="{D25822D2-2525-4133-95BA-89633B5CF7FB}"/>
    <cellStyle name="Normal 2 4 2 6 3 3" xfId="5515" xr:uid="{00000000-0005-0000-0000-0000B60F0000}"/>
    <cellStyle name="Normal 2 4 2 6 3 3 2" xfId="13965" xr:uid="{DF2FEB7D-3A57-4113-9116-67D8ED43416E}"/>
    <cellStyle name="Normal 2 4 2 6 3 3 3" xfId="22399" xr:uid="{F4F992F7-DC94-4D37-9233-386F5AD6F4B4}"/>
    <cellStyle name="Normal 2 4 2 6 3 4" xfId="9747" xr:uid="{F7BFA991-13A4-428E-BC2E-3AA9FA1EC4D3}"/>
    <cellStyle name="Normal 2 4 2 6 3 5" xfId="18182" xr:uid="{1720B7BF-91AA-4548-AE9B-613794B7361F}"/>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3D3F9807-E477-4A67-9787-196B9C943B16}"/>
    <cellStyle name="Normal 2 4 2 6 4 2 2 3" xfId="24957" xr:uid="{A2741A44-24D4-49C1-87DF-129DDD812CC3}"/>
    <cellStyle name="Normal 2 4 2 6 4 2 3" xfId="12305" xr:uid="{6DBF447B-0E8C-40C3-B223-D907E4C4F366}"/>
    <cellStyle name="Normal 2 4 2 6 4 2 4" xfId="20740" xr:uid="{CD194BBB-C122-4D38-8319-BB590EB41478}"/>
    <cellStyle name="Normal 2 4 2 6 4 3" xfId="5928" xr:uid="{00000000-0005-0000-0000-0000BA0F0000}"/>
    <cellStyle name="Normal 2 4 2 6 4 3 2" xfId="14378" xr:uid="{57B170DB-B8C0-4779-B75B-8B8232A01383}"/>
    <cellStyle name="Normal 2 4 2 6 4 3 3" xfId="22812" xr:uid="{FCA0F5B4-1CC9-481E-A16B-CEDD6E930946}"/>
    <cellStyle name="Normal 2 4 2 6 4 4" xfId="10160" xr:uid="{B60E3F40-A33E-40BB-A054-90B4CDFF0CBE}"/>
    <cellStyle name="Normal 2 4 2 6 4 5" xfId="18595" xr:uid="{16704419-60FB-408E-BCF5-044FE6AE332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F86784AB-65CD-4B1B-A4C3-D401A5F2E495}"/>
    <cellStyle name="Normal 2 4 2 6 5 2 2 3" xfId="25370" xr:uid="{A273D716-2FBD-4E82-8974-D93DA7B87D1C}"/>
    <cellStyle name="Normal 2 4 2 6 5 2 3" xfId="12718" xr:uid="{965468E5-3A78-4485-A873-5CC6535909AF}"/>
    <cellStyle name="Normal 2 4 2 6 5 2 4" xfId="21153" xr:uid="{279A8AE4-4831-479A-8354-1FF399FF052F}"/>
    <cellStyle name="Normal 2 4 2 6 5 3" xfId="6341" xr:uid="{00000000-0005-0000-0000-0000BE0F0000}"/>
    <cellStyle name="Normal 2 4 2 6 5 3 2" xfId="14791" xr:uid="{695F2C34-D43B-4147-A894-1D2ECEB777EB}"/>
    <cellStyle name="Normal 2 4 2 6 5 3 3" xfId="23225" xr:uid="{E5AAB1B5-3F1A-43C9-A774-9326EE9028B1}"/>
    <cellStyle name="Normal 2 4 2 6 5 4" xfId="10573" xr:uid="{D110B60E-9771-489A-9852-F1BFAFB3B220}"/>
    <cellStyle name="Normal 2 4 2 6 5 5" xfId="19008" xr:uid="{EE31884A-D8AA-42FE-97F4-7354AC1A94F2}"/>
    <cellStyle name="Normal 2 4 2 6 6" xfId="2471" xr:uid="{00000000-0005-0000-0000-0000BF0F0000}"/>
    <cellStyle name="Normal 2 4 2 6 6 2" xfId="6754" xr:uid="{00000000-0005-0000-0000-0000C00F0000}"/>
    <cellStyle name="Normal 2 4 2 6 6 2 2" xfId="15204" xr:uid="{533446FF-585E-4EAC-8E5A-9EBA50D1D5B0}"/>
    <cellStyle name="Normal 2 4 2 6 6 2 3" xfId="23638" xr:uid="{D3C6677F-2D37-44D2-B529-3B97644C70B3}"/>
    <cellStyle name="Normal 2 4 2 6 6 3" xfId="10986" xr:uid="{3D0DB131-9529-4CCE-97CE-2D00AD1DD392}"/>
    <cellStyle name="Normal 2 4 2 6 6 4" xfId="19421" xr:uid="{70F40063-036A-45AC-BBCB-C5FAE919CB48}"/>
    <cellStyle name="Normal 2 4 2 6 7" xfId="4688" xr:uid="{00000000-0005-0000-0000-0000C10F0000}"/>
    <cellStyle name="Normal 2 4 2 6 7 2" xfId="13138" xr:uid="{5380F5E8-3DCC-4E2E-9FCD-778ADFEC9754}"/>
    <cellStyle name="Normal 2 4 2 6 7 3" xfId="21572" xr:uid="{2ABDCB4A-D97F-4BE9-9EEB-29966C065678}"/>
    <cellStyle name="Normal 2 4 2 6 8" xfId="8920" xr:uid="{791D8ED0-D75B-46AB-8BDD-C0E7123508FD}"/>
    <cellStyle name="Normal 2 4 2 6 9" xfId="17355" xr:uid="{6B08A3EC-BABE-48CB-BFCE-2EDDA77AADBE}"/>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56D50931-F48C-4F84-B421-6AA93E2D91C5}"/>
    <cellStyle name="Normal 2 4 2 7 2 2 3" xfId="24116" xr:uid="{8E824D6E-3609-43FF-AC34-9987F7537240}"/>
    <cellStyle name="Normal 2 4 2 7 2 3" xfId="11464" xr:uid="{12D678D8-5E20-4940-8DAF-2FE05B737F26}"/>
    <cellStyle name="Normal 2 4 2 7 2 4" xfId="19899" xr:uid="{2426ED4D-5F0D-4C46-ACFE-D39A01E68311}"/>
    <cellStyle name="Normal 2 4 2 7 3" xfId="5087" xr:uid="{00000000-0005-0000-0000-0000C50F0000}"/>
    <cellStyle name="Normal 2 4 2 7 3 2" xfId="13537" xr:uid="{988B9952-B7AA-4A68-B9CD-27F1044100BD}"/>
    <cellStyle name="Normal 2 4 2 7 3 3" xfId="21971" xr:uid="{A3E59716-4FDE-4C99-AD2D-721F7EE1E5CB}"/>
    <cellStyle name="Normal 2 4 2 7 4" xfId="9319" xr:uid="{D2C18F4E-33B1-4DD9-A3CB-A0E3943D0066}"/>
    <cellStyle name="Normal 2 4 2 7 5" xfId="17754" xr:uid="{B7FA4C99-0F24-465E-B4DF-9BC8EBD95907}"/>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E8D7C78F-6850-4907-AD87-D7C4BA25BDA1}"/>
    <cellStyle name="Normal 2 4 2 8 2 2 3" xfId="24529" xr:uid="{75F42091-1F5E-448B-A1EE-3680E15B7BC3}"/>
    <cellStyle name="Normal 2 4 2 8 2 3" xfId="11877" xr:uid="{11A77A1A-84D4-4C6E-A6DB-0E2FCC872BD9}"/>
    <cellStyle name="Normal 2 4 2 8 2 4" xfId="20312" xr:uid="{2E88349A-8331-4506-8F1E-262BEE46E413}"/>
    <cellStyle name="Normal 2 4 2 8 3" xfId="5500" xr:uid="{00000000-0005-0000-0000-0000C90F0000}"/>
    <cellStyle name="Normal 2 4 2 8 3 2" xfId="13950" xr:uid="{D68ABD5D-92B4-416B-B785-F12188F6826B}"/>
    <cellStyle name="Normal 2 4 2 8 3 3" xfId="22384" xr:uid="{06D6E581-0D8E-497F-AE83-F12F8F481A77}"/>
    <cellStyle name="Normal 2 4 2 8 4" xfId="9732" xr:uid="{B85CBC40-8CC3-4850-A3B2-D29EAB7FA6B7}"/>
    <cellStyle name="Normal 2 4 2 8 5" xfId="18167" xr:uid="{A288A090-26C9-4BE0-8397-CCBCAE551907}"/>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8DD06283-FBB3-4786-9A40-4B1776FC3CCE}"/>
    <cellStyle name="Normal 2 4 2 9 2 2 3" xfId="24942" xr:uid="{B9B4824B-29A9-420A-BE59-734B31BD088A}"/>
    <cellStyle name="Normal 2 4 2 9 2 3" xfId="12290" xr:uid="{1D892DC0-8B21-48B2-911F-92D90A66652C}"/>
    <cellStyle name="Normal 2 4 2 9 2 4" xfId="20725" xr:uid="{CF9C3A37-4528-4335-8800-54FCD3FA0D7B}"/>
    <cellStyle name="Normal 2 4 2 9 3" xfId="5913" xr:uid="{00000000-0005-0000-0000-0000CD0F0000}"/>
    <cellStyle name="Normal 2 4 2 9 3 2" xfId="14363" xr:uid="{485755AF-9350-4EFA-B3AC-37B2D78CDDC5}"/>
    <cellStyle name="Normal 2 4 2 9 3 3" xfId="22797" xr:uid="{F83BAF04-18A6-4015-9C56-971BC18ED5FC}"/>
    <cellStyle name="Normal 2 4 2 9 4" xfId="10145" xr:uid="{85A16659-57F5-4B8E-B19B-B1322760C585}"/>
    <cellStyle name="Normal 2 4 2 9 5" xfId="18580" xr:uid="{99C50C91-8D9F-4FC7-90BB-9990DD06871D}"/>
    <cellStyle name="Normal 2 4 3" xfId="296" xr:uid="{00000000-0005-0000-0000-0000CE0F0000}"/>
    <cellStyle name="Normal 2 4 3 10" xfId="8921" xr:uid="{2424B6FD-5D63-48DC-B936-26279172822E}"/>
    <cellStyle name="Normal 2 4 3 11" xfId="17356" xr:uid="{52A2303B-1D95-49F4-91AA-FA5A642FA85D}"/>
    <cellStyle name="Normal 2 4 3 2" xfId="297" xr:uid="{00000000-0005-0000-0000-0000CF0F0000}"/>
    <cellStyle name="Normal 2 4 3 3" xfId="298" xr:uid="{00000000-0005-0000-0000-0000D00F0000}"/>
    <cellStyle name="Normal 2 4 3 3 10" xfId="8922" xr:uid="{78F2AC74-B15A-45F3-9641-F07394184958}"/>
    <cellStyle name="Normal 2 4 3 3 11" xfId="17357" xr:uid="{30EF0119-7408-439B-97CF-A0A779E903AC}"/>
    <cellStyle name="Normal 2 4 3 3 2" xfId="299" xr:uid="{00000000-0005-0000-0000-0000D10F0000}"/>
    <cellStyle name="Normal 2 4 3 3 2 10" xfId="17358" xr:uid="{6421B824-F597-4463-9F22-936AC2E19408}"/>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72975FA1-0307-4405-BC13-7C9F7D9CD794}"/>
    <cellStyle name="Normal 2 4 3 3 2 2 2 2 2 3" xfId="24135" xr:uid="{89831F8F-C79C-426F-ACFB-1F2B0318D9B1}"/>
    <cellStyle name="Normal 2 4 3 3 2 2 2 2 3" xfId="11483" xr:uid="{98D9575A-F316-4546-A993-9D300DB4C703}"/>
    <cellStyle name="Normal 2 4 3 3 2 2 2 2 4" xfId="19918" xr:uid="{B7F75827-AFB7-41CE-A43B-D86109D5554A}"/>
    <cellStyle name="Normal 2 4 3 3 2 2 2 3" xfId="5106" xr:uid="{00000000-0005-0000-0000-0000D60F0000}"/>
    <cellStyle name="Normal 2 4 3 3 2 2 2 3 2" xfId="13556" xr:uid="{F5C83296-8F75-4922-95B6-0AAC8F7CE094}"/>
    <cellStyle name="Normal 2 4 3 3 2 2 2 3 3" xfId="21990" xr:uid="{4C7C2CDF-2954-4CA3-8BE7-CD23C75936C0}"/>
    <cellStyle name="Normal 2 4 3 3 2 2 2 4" xfId="9338" xr:uid="{7851FF6E-249D-4183-83E5-C8D227AE7CE7}"/>
    <cellStyle name="Normal 2 4 3 3 2 2 2 5" xfId="17773" xr:uid="{58F3EA8B-E1D1-4E8F-B84B-49555154C566}"/>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2F7ABDB-6D88-4623-844A-B427E21E4AB3}"/>
    <cellStyle name="Normal 2 4 3 3 2 2 3 2 2 3" xfId="24548" xr:uid="{63B90BA3-4F86-4816-A679-05AC5FC24D1D}"/>
    <cellStyle name="Normal 2 4 3 3 2 2 3 2 3" xfId="11896" xr:uid="{563754D6-D0D8-4EE6-A96E-BCD2C92FB0F6}"/>
    <cellStyle name="Normal 2 4 3 3 2 2 3 2 4" xfId="20331" xr:uid="{D9DFB223-94DE-43C4-BA36-81492F8423CC}"/>
    <cellStyle name="Normal 2 4 3 3 2 2 3 3" xfId="5519" xr:uid="{00000000-0005-0000-0000-0000DA0F0000}"/>
    <cellStyle name="Normal 2 4 3 3 2 2 3 3 2" xfId="13969" xr:uid="{D621C6E3-ED06-4066-9852-78C9062B11DB}"/>
    <cellStyle name="Normal 2 4 3 3 2 2 3 3 3" xfId="22403" xr:uid="{DE274C40-5CAF-485A-99CA-293F5DA76A8F}"/>
    <cellStyle name="Normal 2 4 3 3 2 2 3 4" xfId="9751" xr:uid="{A6B7271D-6C2E-4718-9262-B9E4B50B644D}"/>
    <cellStyle name="Normal 2 4 3 3 2 2 3 5" xfId="18186" xr:uid="{AEE000F6-BFC2-4FB8-9BEF-7A0AE179CC4B}"/>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A474EA28-0B3C-4F24-A1CD-F7CE391E0D85}"/>
    <cellStyle name="Normal 2 4 3 3 2 2 4 2 2 3" xfId="24961" xr:uid="{37187266-4FB4-4DB3-95F8-EB637B12BBAC}"/>
    <cellStyle name="Normal 2 4 3 3 2 2 4 2 3" xfId="12309" xr:uid="{47DD6519-97E5-48EA-A5C8-212700743E09}"/>
    <cellStyle name="Normal 2 4 3 3 2 2 4 2 4" xfId="20744" xr:uid="{09BECD46-E0C3-4203-9E7A-326F0C6DB154}"/>
    <cellStyle name="Normal 2 4 3 3 2 2 4 3" xfId="5932" xr:uid="{00000000-0005-0000-0000-0000DE0F0000}"/>
    <cellStyle name="Normal 2 4 3 3 2 2 4 3 2" xfId="14382" xr:uid="{8CF8EF25-3506-43E6-B0B2-4563EC3B0900}"/>
    <cellStyle name="Normal 2 4 3 3 2 2 4 3 3" xfId="22816" xr:uid="{A6675B0F-DC17-4E9A-9E8D-6AA5625D4058}"/>
    <cellStyle name="Normal 2 4 3 3 2 2 4 4" xfId="10164" xr:uid="{576576E0-EC30-4DCE-8D05-E6F2CB118911}"/>
    <cellStyle name="Normal 2 4 3 3 2 2 4 5" xfId="18599" xr:uid="{56BDFEF9-589D-4BD2-9C6A-BB62C6FFA75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0AF9F416-E03E-497E-904D-E1A99CAD2D05}"/>
    <cellStyle name="Normal 2 4 3 3 2 2 5 2 2 3" xfId="25374" xr:uid="{DB3CFB58-51A2-4150-AC43-CFF766B2BD5A}"/>
    <cellStyle name="Normal 2 4 3 3 2 2 5 2 3" xfId="12722" xr:uid="{3B0100E1-8520-4F11-8720-4715D543DC19}"/>
    <cellStyle name="Normal 2 4 3 3 2 2 5 2 4" xfId="21157" xr:uid="{1802C65E-A5B2-400E-A552-BBDC7F820893}"/>
    <cellStyle name="Normal 2 4 3 3 2 2 5 3" xfId="6345" xr:uid="{00000000-0005-0000-0000-0000E20F0000}"/>
    <cellStyle name="Normal 2 4 3 3 2 2 5 3 2" xfId="14795" xr:uid="{DEB92DCD-2DFC-4104-B165-E0D84C3D9646}"/>
    <cellStyle name="Normal 2 4 3 3 2 2 5 3 3" xfId="23229" xr:uid="{BFE030E4-8476-483A-AE48-874C7E3FD6C4}"/>
    <cellStyle name="Normal 2 4 3 3 2 2 5 4" xfId="10577" xr:uid="{E59F22A8-2F1E-440D-A11D-1F37281041EB}"/>
    <cellStyle name="Normal 2 4 3 3 2 2 5 5" xfId="19012" xr:uid="{93C64062-6FD6-4E93-B562-1B0F8B14DDC8}"/>
    <cellStyle name="Normal 2 4 3 3 2 2 6" xfId="2475" xr:uid="{00000000-0005-0000-0000-0000E30F0000}"/>
    <cellStyle name="Normal 2 4 3 3 2 2 6 2" xfId="6758" xr:uid="{00000000-0005-0000-0000-0000E40F0000}"/>
    <cellStyle name="Normal 2 4 3 3 2 2 6 2 2" xfId="15208" xr:uid="{5A082CDD-D95C-4E28-8D16-6AF1446A6622}"/>
    <cellStyle name="Normal 2 4 3 3 2 2 6 2 3" xfId="23642" xr:uid="{E9A04927-66EF-47EE-88E3-AB4B670850FF}"/>
    <cellStyle name="Normal 2 4 3 3 2 2 6 3" xfId="10990" xr:uid="{EA3DA2BE-18C0-40EA-A544-696080436689}"/>
    <cellStyle name="Normal 2 4 3 3 2 2 6 4" xfId="19425" xr:uid="{0D59B22B-AF25-4921-813D-D3EFBD0D842A}"/>
    <cellStyle name="Normal 2 4 3 3 2 2 7" xfId="4692" xr:uid="{00000000-0005-0000-0000-0000E50F0000}"/>
    <cellStyle name="Normal 2 4 3 3 2 2 7 2" xfId="13142" xr:uid="{BDFD4D99-FA5D-48D5-AFBA-8F2F5A5CD5AC}"/>
    <cellStyle name="Normal 2 4 3 3 2 2 7 3" xfId="21576" xr:uid="{CD76D8D1-5E91-439E-9925-72B49B773BBA}"/>
    <cellStyle name="Normal 2 4 3 3 2 2 8" xfId="8924" xr:uid="{831AAA33-B3C9-4600-8F55-951BB6489791}"/>
    <cellStyle name="Normal 2 4 3 3 2 2 9" xfId="17359" xr:uid="{0E678BB4-8DFD-4E90-89CC-684D472DAA06}"/>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A75D5473-2B2B-48A5-B012-3CD98E5051AF}"/>
    <cellStyle name="Normal 2 4 3 3 2 3 2 2 3" xfId="24134" xr:uid="{7AD52E96-A53C-47FA-965D-6F6BB2DD6016}"/>
    <cellStyle name="Normal 2 4 3 3 2 3 2 3" xfId="11482" xr:uid="{84A1F10B-807E-4423-91D9-CE26111B38F7}"/>
    <cellStyle name="Normal 2 4 3 3 2 3 2 4" xfId="19917" xr:uid="{D1EF81FB-2F0F-4FF3-B711-9BF62FB7C8D7}"/>
    <cellStyle name="Normal 2 4 3 3 2 3 3" xfId="5105" xr:uid="{00000000-0005-0000-0000-0000E90F0000}"/>
    <cellStyle name="Normal 2 4 3 3 2 3 3 2" xfId="13555" xr:uid="{655AA1F5-5EC8-439F-9876-684DD6C93F6B}"/>
    <cellStyle name="Normal 2 4 3 3 2 3 3 3" xfId="21989" xr:uid="{C17B8425-12A0-4EEC-BFC9-A0C872FAE4E5}"/>
    <cellStyle name="Normal 2 4 3 3 2 3 4" xfId="9337" xr:uid="{EFE77C59-8A2A-46C0-8B63-C61506A7A41D}"/>
    <cellStyle name="Normal 2 4 3 3 2 3 5" xfId="17772" xr:uid="{AD84885D-9F37-47DA-A839-CACC207DEF67}"/>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C1454D96-F70D-401D-A0FB-7D4DBB9C22CF}"/>
    <cellStyle name="Normal 2 4 3 3 2 4 2 2 3" xfId="24547" xr:uid="{0C622F49-EBB6-4E7B-B805-4757BA0D45B4}"/>
    <cellStyle name="Normal 2 4 3 3 2 4 2 3" xfId="11895" xr:uid="{19FEBB04-58E3-4155-BC65-2D8A4D5CC7CB}"/>
    <cellStyle name="Normal 2 4 3 3 2 4 2 4" xfId="20330" xr:uid="{44C37B31-021B-403B-9FC7-B7A400F33DB3}"/>
    <cellStyle name="Normal 2 4 3 3 2 4 3" xfId="5518" xr:uid="{00000000-0005-0000-0000-0000ED0F0000}"/>
    <cellStyle name="Normal 2 4 3 3 2 4 3 2" xfId="13968" xr:uid="{53F2CC4B-AA9A-4F68-BEDD-ED18770DDBC7}"/>
    <cellStyle name="Normal 2 4 3 3 2 4 3 3" xfId="22402" xr:uid="{3ADE570F-5598-4C5B-A89C-42FB05401EA7}"/>
    <cellStyle name="Normal 2 4 3 3 2 4 4" xfId="9750" xr:uid="{E169F7BD-B54D-4CE6-80CD-7CB73FC878A6}"/>
    <cellStyle name="Normal 2 4 3 3 2 4 5" xfId="18185" xr:uid="{6F0723BF-A3FA-4EB1-8521-AFF8CCD2183D}"/>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21F2C2F5-48B2-44E0-9C21-0CD9247DFE9B}"/>
    <cellStyle name="Normal 2 4 3 3 2 5 2 2 3" xfId="24960" xr:uid="{AB2DF5EC-A8E7-425E-9534-115BCEB5A064}"/>
    <cellStyle name="Normal 2 4 3 3 2 5 2 3" xfId="12308" xr:uid="{18C67A52-2EEB-4CD0-9D43-5D064088281D}"/>
    <cellStyle name="Normal 2 4 3 3 2 5 2 4" xfId="20743" xr:uid="{39749E87-E748-40AF-875C-17B6324A9A86}"/>
    <cellStyle name="Normal 2 4 3 3 2 5 3" xfId="5931" xr:uid="{00000000-0005-0000-0000-0000F10F0000}"/>
    <cellStyle name="Normal 2 4 3 3 2 5 3 2" xfId="14381" xr:uid="{54195483-63C5-4831-A7D9-DE3F9F9FA81E}"/>
    <cellStyle name="Normal 2 4 3 3 2 5 3 3" xfId="22815" xr:uid="{53D64B59-10D4-45CF-8FEE-76F5C02E05DA}"/>
    <cellStyle name="Normal 2 4 3 3 2 5 4" xfId="10163" xr:uid="{D0F8DFE1-89F6-4BA9-B5EC-D311BFCAE105}"/>
    <cellStyle name="Normal 2 4 3 3 2 5 5" xfId="18598" xr:uid="{04275DA5-35D5-4748-91E1-2CF03257409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29446545-964A-4477-8399-AD2F992A57E6}"/>
    <cellStyle name="Normal 2 4 3 3 2 6 2 2 3" xfId="25373" xr:uid="{C701197A-E4F5-45DF-9B11-F64D1325678C}"/>
    <cellStyle name="Normal 2 4 3 3 2 6 2 3" xfId="12721" xr:uid="{E81124CD-87BE-4408-A7D4-2898715B4629}"/>
    <cellStyle name="Normal 2 4 3 3 2 6 2 4" xfId="21156" xr:uid="{59A8EC38-B5D3-4656-879E-583F22F19EC0}"/>
    <cellStyle name="Normal 2 4 3 3 2 6 3" xfId="6344" xr:uid="{00000000-0005-0000-0000-0000F50F0000}"/>
    <cellStyle name="Normal 2 4 3 3 2 6 3 2" xfId="14794" xr:uid="{1C6A184C-B135-4CCA-82F3-69B54348CD3F}"/>
    <cellStyle name="Normal 2 4 3 3 2 6 3 3" xfId="23228" xr:uid="{CEDA8221-2E3F-48A4-BBD8-D72CC73F9386}"/>
    <cellStyle name="Normal 2 4 3 3 2 6 4" xfId="10576" xr:uid="{B8322174-4712-451C-8D55-678CEB48BB27}"/>
    <cellStyle name="Normal 2 4 3 3 2 6 5" xfId="19011" xr:uid="{37645E78-E33C-4C75-89AA-4A444210D462}"/>
    <cellStyle name="Normal 2 4 3 3 2 7" xfId="2474" xr:uid="{00000000-0005-0000-0000-0000F60F0000}"/>
    <cellStyle name="Normal 2 4 3 3 2 7 2" xfId="6757" xr:uid="{00000000-0005-0000-0000-0000F70F0000}"/>
    <cellStyle name="Normal 2 4 3 3 2 7 2 2" xfId="15207" xr:uid="{DA880B6B-E3F2-494C-BADB-C684704EAAA8}"/>
    <cellStyle name="Normal 2 4 3 3 2 7 2 3" xfId="23641" xr:uid="{606FE531-69B7-4AAB-B4A4-F17CD455CE07}"/>
    <cellStyle name="Normal 2 4 3 3 2 7 3" xfId="10989" xr:uid="{D9D396EA-50F6-41BA-92F8-D0FB12C9A871}"/>
    <cellStyle name="Normal 2 4 3 3 2 7 4" xfId="19424" xr:uid="{7915A449-5160-4E09-86AA-F9F670ABF83D}"/>
    <cellStyle name="Normal 2 4 3 3 2 8" xfId="4691" xr:uid="{00000000-0005-0000-0000-0000F80F0000}"/>
    <cellStyle name="Normal 2 4 3 3 2 8 2" xfId="13141" xr:uid="{A81B638A-AAC6-4EBF-A00E-ADD5A767FB42}"/>
    <cellStyle name="Normal 2 4 3 3 2 8 3" xfId="21575" xr:uid="{719A51EF-B099-41AB-B202-DABB674E6086}"/>
    <cellStyle name="Normal 2 4 3 3 2 9" xfId="8923" xr:uid="{4A7645D4-A10A-4820-99FC-F76181339E53}"/>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97462A57-1FA9-4791-A4FE-2B84DBCAC858}"/>
    <cellStyle name="Normal 2 4 3 3 3 2 2 2 3" xfId="24136" xr:uid="{FB872AC5-DF1F-4FA5-9D5C-AD7C14085F32}"/>
    <cellStyle name="Normal 2 4 3 3 3 2 2 3" xfId="11484" xr:uid="{F581CCDB-6DE5-4EBA-9D6D-EC6DF39716FF}"/>
    <cellStyle name="Normal 2 4 3 3 3 2 2 4" xfId="19919" xr:uid="{438DD252-ACB0-4033-A5CC-615F9D782628}"/>
    <cellStyle name="Normal 2 4 3 3 3 2 3" xfId="5107" xr:uid="{00000000-0005-0000-0000-0000FD0F0000}"/>
    <cellStyle name="Normal 2 4 3 3 3 2 3 2" xfId="13557" xr:uid="{23D3FB1F-603B-4C32-BD75-6C9287D54A56}"/>
    <cellStyle name="Normal 2 4 3 3 3 2 3 3" xfId="21991" xr:uid="{B615EB07-B551-4F6C-AFA6-A800FB30AAD2}"/>
    <cellStyle name="Normal 2 4 3 3 3 2 4" xfId="9339" xr:uid="{9F377ED2-67C2-46D3-828A-E1F1C39A8734}"/>
    <cellStyle name="Normal 2 4 3 3 3 2 5" xfId="17774" xr:uid="{08FA53A8-3BB8-4B35-8603-75D97468CBA6}"/>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14B1C21D-8544-435D-B0C0-AE9849AD084E}"/>
    <cellStyle name="Normal 2 4 3 3 3 3 2 2 3" xfId="24549" xr:uid="{080DCA91-F8E3-4B8A-9D7D-D4626F7C49BC}"/>
    <cellStyle name="Normal 2 4 3 3 3 3 2 3" xfId="11897" xr:uid="{039741DD-AC8E-4070-9DCE-6177DAE63497}"/>
    <cellStyle name="Normal 2 4 3 3 3 3 2 4" xfId="20332" xr:uid="{F84CEC41-8992-479A-BF49-C3A75412C9DD}"/>
    <cellStyle name="Normal 2 4 3 3 3 3 3" xfId="5520" xr:uid="{00000000-0005-0000-0000-000001100000}"/>
    <cellStyle name="Normal 2 4 3 3 3 3 3 2" xfId="13970" xr:uid="{46B74579-A5F9-43D9-B03D-130E2285AA4F}"/>
    <cellStyle name="Normal 2 4 3 3 3 3 3 3" xfId="22404" xr:uid="{9CAA43E3-BC88-466F-B217-691A25D82204}"/>
    <cellStyle name="Normal 2 4 3 3 3 3 4" xfId="9752" xr:uid="{642DBEA7-87E8-42A4-9DD1-4A3AAFBC628C}"/>
    <cellStyle name="Normal 2 4 3 3 3 3 5" xfId="18187" xr:uid="{3DD0F3AE-4E46-49C7-AF73-C9E9CFB35EE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EBF063C8-AC53-4F9A-A145-6CA92B401DE0}"/>
    <cellStyle name="Normal 2 4 3 3 3 4 2 2 3" xfId="24962" xr:uid="{CF6BB41B-1DCC-4E5F-9969-F608A11F9F02}"/>
    <cellStyle name="Normal 2 4 3 3 3 4 2 3" xfId="12310" xr:uid="{BDC07095-6D51-4BAE-B624-C24133E60E2B}"/>
    <cellStyle name="Normal 2 4 3 3 3 4 2 4" xfId="20745" xr:uid="{C6148CF4-7C73-46B5-9085-CA6BEE0E82E1}"/>
    <cellStyle name="Normal 2 4 3 3 3 4 3" xfId="5933" xr:uid="{00000000-0005-0000-0000-000005100000}"/>
    <cellStyle name="Normal 2 4 3 3 3 4 3 2" xfId="14383" xr:uid="{1EDF5AA9-3133-4333-9F6D-56B3FF91C563}"/>
    <cellStyle name="Normal 2 4 3 3 3 4 3 3" xfId="22817" xr:uid="{1956A1F9-14D2-4787-92D8-8FD5E864EC39}"/>
    <cellStyle name="Normal 2 4 3 3 3 4 4" xfId="10165" xr:uid="{DD8D934C-978F-4685-A942-C80C83262A13}"/>
    <cellStyle name="Normal 2 4 3 3 3 4 5" xfId="18600" xr:uid="{C2946A8A-E9B2-4B26-BE39-9B2972A7F02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AC59FCB4-1B2C-4E4C-BEDE-DFC06CDD5CC5}"/>
    <cellStyle name="Normal 2 4 3 3 3 5 2 2 3" xfId="25375" xr:uid="{9733A9DB-B8C9-4B48-A22F-B3ADC750536B}"/>
    <cellStyle name="Normal 2 4 3 3 3 5 2 3" xfId="12723" xr:uid="{4CE78118-5738-45F8-BB10-246E4F4BCC68}"/>
    <cellStyle name="Normal 2 4 3 3 3 5 2 4" xfId="21158" xr:uid="{276B4C30-D6A1-4B7B-99A5-38C7B5233513}"/>
    <cellStyle name="Normal 2 4 3 3 3 5 3" xfId="6346" xr:uid="{00000000-0005-0000-0000-000009100000}"/>
    <cellStyle name="Normal 2 4 3 3 3 5 3 2" xfId="14796" xr:uid="{A5AB80CD-4EB0-4E75-9AD4-E2C1C64A11DF}"/>
    <cellStyle name="Normal 2 4 3 3 3 5 3 3" xfId="23230" xr:uid="{1825A264-FADD-4FBC-9F88-56EDC671B9C9}"/>
    <cellStyle name="Normal 2 4 3 3 3 5 4" xfId="10578" xr:uid="{3DE43DFF-70D4-49FE-8ACE-82FE93989688}"/>
    <cellStyle name="Normal 2 4 3 3 3 5 5" xfId="19013" xr:uid="{9270C870-93D9-4863-B8A8-9EBB51B17D1B}"/>
    <cellStyle name="Normal 2 4 3 3 3 6" xfId="2476" xr:uid="{00000000-0005-0000-0000-00000A100000}"/>
    <cellStyle name="Normal 2 4 3 3 3 6 2" xfId="6759" xr:uid="{00000000-0005-0000-0000-00000B100000}"/>
    <cellStyle name="Normal 2 4 3 3 3 6 2 2" xfId="15209" xr:uid="{BE7A6BD4-576C-42E5-9FEF-A66B4DEB6407}"/>
    <cellStyle name="Normal 2 4 3 3 3 6 2 3" xfId="23643" xr:uid="{59897EE7-81C8-4C4E-91C0-A79FBEE7265B}"/>
    <cellStyle name="Normal 2 4 3 3 3 6 3" xfId="10991" xr:uid="{36C707D0-90C5-44AF-AF91-1F24988FCB9A}"/>
    <cellStyle name="Normal 2 4 3 3 3 6 4" xfId="19426" xr:uid="{CAE71604-668F-4F1F-9B85-FC404A72AF37}"/>
    <cellStyle name="Normal 2 4 3 3 3 7" xfId="4693" xr:uid="{00000000-0005-0000-0000-00000C100000}"/>
    <cellStyle name="Normal 2 4 3 3 3 7 2" xfId="13143" xr:uid="{6668C29C-AA4B-4637-9443-BBA63F04CDA9}"/>
    <cellStyle name="Normal 2 4 3 3 3 7 3" xfId="21577" xr:uid="{EAC98852-793C-4F7E-A07C-5B17E872B7A1}"/>
    <cellStyle name="Normal 2 4 3 3 3 8" xfId="8925" xr:uid="{6727CA08-60A7-4883-A0A9-5CFEF4F78E41}"/>
    <cellStyle name="Normal 2 4 3 3 3 9" xfId="17360" xr:uid="{21DCB5AA-BF59-4150-B3B8-6D82E483263D}"/>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B74269DC-D1B4-4A91-9A1C-041EE13D9E54}"/>
    <cellStyle name="Normal 2 4 3 3 4 2 2 3" xfId="24133" xr:uid="{92A76B0F-0467-4A23-BDD7-63A074C6143A}"/>
    <cellStyle name="Normal 2 4 3 3 4 2 3" xfId="11481" xr:uid="{2E11AC55-C08A-4E5F-BDF5-D708FF902938}"/>
    <cellStyle name="Normal 2 4 3 3 4 2 4" xfId="19916" xr:uid="{7EFA8697-6921-45C3-91A6-6F3DA06B8F10}"/>
    <cellStyle name="Normal 2 4 3 3 4 3" xfId="5104" xr:uid="{00000000-0005-0000-0000-000010100000}"/>
    <cellStyle name="Normal 2 4 3 3 4 3 2" xfId="13554" xr:uid="{5AC521A6-0C2B-4215-ADEB-01CF9D0FA3B7}"/>
    <cellStyle name="Normal 2 4 3 3 4 3 3" xfId="21988" xr:uid="{3F282093-AD9B-4496-BDB7-19C3DCFAC5D3}"/>
    <cellStyle name="Normal 2 4 3 3 4 4" xfId="9336" xr:uid="{FD5D5B4F-C9B0-4E1F-A3DD-746A37A19D57}"/>
    <cellStyle name="Normal 2 4 3 3 4 5" xfId="17771" xr:uid="{F6F8F94D-C545-4723-B1B7-35089F87D031}"/>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FCAF3E52-F716-4CB8-908C-3D7AA76F645D}"/>
    <cellStyle name="Normal 2 4 3 3 5 2 2 3" xfId="24546" xr:uid="{91B60984-DDA4-45E2-A204-11B997B7AD8F}"/>
    <cellStyle name="Normal 2 4 3 3 5 2 3" xfId="11894" xr:uid="{3A92C90E-4350-4081-9297-F88FD1C1FA2F}"/>
    <cellStyle name="Normal 2 4 3 3 5 2 4" xfId="20329" xr:uid="{60C07E1F-0461-43FB-A0E7-E36152F0075F}"/>
    <cellStyle name="Normal 2 4 3 3 5 3" xfId="5517" xr:uid="{00000000-0005-0000-0000-000014100000}"/>
    <cellStyle name="Normal 2 4 3 3 5 3 2" xfId="13967" xr:uid="{836D36C8-DD6E-409F-A77C-0C9AD76E60BF}"/>
    <cellStyle name="Normal 2 4 3 3 5 3 3" xfId="22401" xr:uid="{3FA26D87-90AB-4006-AA9F-58857BB19E2C}"/>
    <cellStyle name="Normal 2 4 3 3 5 4" xfId="9749" xr:uid="{A5CAC085-66F5-4EA4-ACF2-CD2600E6E8A6}"/>
    <cellStyle name="Normal 2 4 3 3 5 5" xfId="18184" xr:uid="{93DF3168-48EA-474B-BA2B-E3409B234F8D}"/>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D5620E56-700A-4F1F-8BF2-BEAE6DEC57DD}"/>
    <cellStyle name="Normal 2 4 3 3 6 2 2 3" xfId="24959" xr:uid="{7E5AEBAF-8C9D-4F7A-8C7A-4A67406A8E5F}"/>
    <cellStyle name="Normal 2 4 3 3 6 2 3" xfId="12307" xr:uid="{C1749596-5CD1-46D1-B23D-D779B0A321AF}"/>
    <cellStyle name="Normal 2 4 3 3 6 2 4" xfId="20742" xr:uid="{33642A38-4E46-4473-BE04-75F2685E326F}"/>
    <cellStyle name="Normal 2 4 3 3 6 3" xfId="5930" xr:uid="{00000000-0005-0000-0000-000018100000}"/>
    <cellStyle name="Normal 2 4 3 3 6 3 2" xfId="14380" xr:uid="{FA92448E-D3DA-4DDB-95AF-4C705802C60E}"/>
    <cellStyle name="Normal 2 4 3 3 6 3 3" xfId="22814" xr:uid="{F58FEA15-B85C-44F3-BB11-6D319FC7F1CD}"/>
    <cellStyle name="Normal 2 4 3 3 6 4" xfId="10162" xr:uid="{6B1C8A33-4AB6-4647-92A4-DFC0292CDBF6}"/>
    <cellStyle name="Normal 2 4 3 3 6 5" xfId="18597" xr:uid="{CCB35E01-1D37-474C-AF64-E799604673B8}"/>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71D11DDE-72E4-432C-B575-096E441F5F61}"/>
    <cellStyle name="Normal 2 4 3 3 7 2 2 3" xfId="25372" xr:uid="{FB63C0E9-3D89-4AFB-8DD1-4EE074F4B5BF}"/>
    <cellStyle name="Normal 2 4 3 3 7 2 3" xfId="12720" xr:uid="{5A5AAE35-408F-47CA-91B2-A6B15222D55B}"/>
    <cellStyle name="Normal 2 4 3 3 7 2 4" xfId="21155" xr:uid="{DFFE563B-920A-4291-9C0F-37EB0BAD2AD7}"/>
    <cellStyle name="Normal 2 4 3 3 7 3" xfId="6343" xr:uid="{00000000-0005-0000-0000-00001C100000}"/>
    <cellStyle name="Normal 2 4 3 3 7 3 2" xfId="14793" xr:uid="{AB3E67BA-F8B7-473E-BCFC-1FA99286C76D}"/>
    <cellStyle name="Normal 2 4 3 3 7 3 3" xfId="23227" xr:uid="{AAA65726-45E0-454B-9E6C-204C1AF3F5B8}"/>
    <cellStyle name="Normal 2 4 3 3 7 4" xfId="10575" xr:uid="{F652F0B6-55FF-466D-8788-15DA47698DC8}"/>
    <cellStyle name="Normal 2 4 3 3 7 5" xfId="19010" xr:uid="{5B62D60D-18F6-410D-8312-DD20B636349D}"/>
    <cellStyle name="Normal 2 4 3 3 8" xfId="2473" xr:uid="{00000000-0005-0000-0000-00001D100000}"/>
    <cellStyle name="Normal 2 4 3 3 8 2" xfId="6756" xr:uid="{00000000-0005-0000-0000-00001E100000}"/>
    <cellStyle name="Normal 2 4 3 3 8 2 2" xfId="15206" xr:uid="{9E390B9B-3AB3-4A0C-874A-435DF699665E}"/>
    <cellStyle name="Normal 2 4 3 3 8 2 3" xfId="23640" xr:uid="{B163CA90-2551-40AD-A2E7-4C1D2752E180}"/>
    <cellStyle name="Normal 2 4 3 3 8 3" xfId="10988" xr:uid="{C3333047-BC3A-4FA1-9E49-88FA2F982E37}"/>
    <cellStyle name="Normal 2 4 3 3 8 4" xfId="19423" xr:uid="{06B950D5-0258-442B-9446-7D1CB494AC39}"/>
    <cellStyle name="Normal 2 4 3 3 9" xfId="4690" xr:uid="{00000000-0005-0000-0000-00001F100000}"/>
    <cellStyle name="Normal 2 4 3 3 9 2" xfId="13140" xr:uid="{52477EF3-2122-47F3-820B-66D91BAB767A}"/>
    <cellStyle name="Normal 2 4 3 3 9 3" xfId="21574" xr:uid="{2CB91A60-D3DD-4412-BA88-B9A0E1E3E0CA}"/>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5EBF4E4A-616A-4E3A-AD04-B5E404B205A4}"/>
    <cellStyle name="Normal 2 4 3 4 2 2 3" xfId="24132" xr:uid="{990364AA-D22A-4917-A3C6-D919136634FC}"/>
    <cellStyle name="Normal 2 4 3 4 2 3" xfId="11480" xr:uid="{D10C52E2-E8B5-444C-82F4-D77183AEFAD1}"/>
    <cellStyle name="Normal 2 4 3 4 2 4" xfId="19915" xr:uid="{B156C447-CF21-46F8-BDBB-89F6F8E911F1}"/>
    <cellStyle name="Normal 2 4 3 4 3" xfId="5103" xr:uid="{00000000-0005-0000-0000-000023100000}"/>
    <cellStyle name="Normal 2 4 3 4 3 2" xfId="13553" xr:uid="{8A8DCBBF-3B4B-41FF-A201-D6B532C87AA5}"/>
    <cellStyle name="Normal 2 4 3 4 3 3" xfId="21987" xr:uid="{76D4DAE1-C626-4D85-B298-671FA729542D}"/>
    <cellStyle name="Normal 2 4 3 4 4" xfId="9335" xr:uid="{6F790479-0F69-4D55-BA78-E47BF57D827B}"/>
    <cellStyle name="Normal 2 4 3 4 5" xfId="17770" xr:uid="{301020B7-2D6D-45CA-98C7-4A9C7FD856A4}"/>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A29025C0-2E4A-448D-9BDB-A1AA1FC61890}"/>
    <cellStyle name="Normal 2 4 3 5 2 2 3" xfId="24545" xr:uid="{149B0FEF-B6CB-4F55-865B-006C1B46588D}"/>
    <cellStyle name="Normal 2 4 3 5 2 3" xfId="11893" xr:uid="{0DD9A1FE-5A73-4B9E-BF60-FDD734DD40B8}"/>
    <cellStyle name="Normal 2 4 3 5 2 4" xfId="20328" xr:uid="{1CC2A838-27D7-4721-B13C-FAB6B33C9CDA}"/>
    <cellStyle name="Normal 2 4 3 5 3" xfId="5516" xr:uid="{00000000-0005-0000-0000-000027100000}"/>
    <cellStyle name="Normal 2 4 3 5 3 2" xfId="13966" xr:uid="{A98EB989-A496-48E0-AF09-CEB1D9CCE537}"/>
    <cellStyle name="Normal 2 4 3 5 3 3" xfId="22400" xr:uid="{0CECBA61-F96B-4BD2-B71E-AF2DCB16255C}"/>
    <cellStyle name="Normal 2 4 3 5 4" xfId="9748" xr:uid="{77D56236-DAA8-49A7-8C27-7DB22192852B}"/>
    <cellStyle name="Normal 2 4 3 5 5" xfId="18183" xr:uid="{54C3D738-720B-4855-87FD-AFEDCB38D653}"/>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13083BF1-FB9E-4FAA-BBD8-D76F5E7C3A52}"/>
    <cellStyle name="Normal 2 4 3 6 2 2 3" xfId="24958" xr:uid="{C6792B2C-E40C-40BB-946C-BE722FB6E85C}"/>
    <cellStyle name="Normal 2 4 3 6 2 3" xfId="12306" xr:uid="{1CCF2933-2962-4523-AB2A-2992D3A9FE55}"/>
    <cellStyle name="Normal 2 4 3 6 2 4" xfId="20741" xr:uid="{40DA4848-2F21-4A41-9A5E-184C199ABD62}"/>
    <cellStyle name="Normal 2 4 3 6 3" xfId="5929" xr:uid="{00000000-0005-0000-0000-00002B100000}"/>
    <cellStyle name="Normal 2 4 3 6 3 2" xfId="14379" xr:uid="{C194955B-3B7E-42B1-ABEA-E5FEE1030084}"/>
    <cellStyle name="Normal 2 4 3 6 3 3" xfId="22813" xr:uid="{0736694D-BEE2-4B0C-9B07-A9F9B49D3795}"/>
    <cellStyle name="Normal 2 4 3 6 4" xfId="10161" xr:uid="{E95ECCF9-00A6-47B9-B9FC-C5F1FEBF74A5}"/>
    <cellStyle name="Normal 2 4 3 6 5" xfId="18596" xr:uid="{523706E5-5926-40B8-A70F-1134BA42C997}"/>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1EBA6034-961D-498B-9224-F69CD52FD773}"/>
    <cellStyle name="Normal 2 4 3 7 2 2 3" xfId="25371" xr:uid="{E2344075-FEAD-47B8-A1C7-A26B1B971FEE}"/>
    <cellStyle name="Normal 2 4 3 7 2 3" xfId="12719" xr:uid="{34704F54-84FE-4D22-84A6-AC4C61285772}"/>
    <cellStyle name="Normal 2 4 3 7 2 4" xfId="21154" xr:uid="{50C65D40-BC2A-4363-8347-E88FA4F515C9}"/>
    <cellStyle name="Normal 2 4 3 7 3" xfId="6342" xr:uid="{00000000-0005-0000-0000-00002F100000}"/>
    <cellStyle name="Normal 2 4 3 7 3 2" xfId="14792" xr:uid="{B53286AA-FDA1-4B5E-A259-8394A1A73858}"/>
    <cellStyle name="Normal 2 4 3 7 3 3" xfId="23226" xr:uid="{21CF17F8-C98F-4CA0-A3BD-D4A1294FAC91}"/>
    <cellStyle name="Normal 2 4 3 7 4" xfId="10574" xr:uid="{3FB603B5-6ABD-4E0D-83B3-41513E87D9F3}"/>
    <cellStyle name="Normal 2 4 3 7 5" xfId="19009" xr:uid="{50F45CA5-9F76-44F2-927A-074F36F9AA4F}"/>
    <cellStyle name="Normal 2 4 3 8" xfId="2472" xr:uid="{00000000-0005-0000-0000-000030100000}"/>
    <cellStyle name="Normal 2 4 3 8 2" xfId="6755" xr:uid="{00000000-0005-0000-0000-000031100000}"/>
    <cellStyle name="Normal 2 4 3 8 2 2" xfId="15205" xr:uid="{8EEE9417-E1E4-45F0-A1DB-8EC648527E99}"/>
    <cellStyle name="Normal 2 4 3 8 2 3" xfId="23639" xr:uid="{7385F7A7-3393-4663-84E0-FE6A13E29D9A}"/>
    <cellStyle name="Normal 2 4 3 8 3" xfId="10987" xr:uid="{C86E1491-7A1B-4F88-8BFA-9761B8B74BD9}"/>
    <cellStyle name="Normal 2 4 3 8 4" xfId="19422" xr:uid="{782C04E6-5C7E-4317-AB1F-B57C42895E7A}"/>
    <cellStyle name="Normal 2 4 3 9" xfId="4689" xr:uid="{00000000-0005-0000-0000-000032100000}"/>
    <cellStyle name="Normal 2 4 3 9 2" xfId="13139" xr:uid="{341DAF13-AF95-41E6-A999-DC59FAF59D66}"/>
    <cellStyle name="Normal 2 4 3 9 3" xfId="21573" xr:uid="{DF930A87-2C3E-491E-B707-569AADC7A200}"/>
    <cellStyle name="Normal 2 4 4" xfId="302" xr:uid="{00000000-0005-0000-0000-000033100000}"/>
    <cellStyle name="Normal 2 4 5" xfId="303" xr:uid="{00000000-0005-0000-0000-000034100000}"/>
    <cellStyle name="Normal 2 4 5 10" xfId="4694" xr:uid="{00000000-0005-0000-0000-000035100000}"/>
    <cellStyle name="Normal 2 4 5 10 2" xfId="13144" xr:uid="{E8AE0CDC-22A9-42C4-9F9C-312B67B52DC3}"/>
    <cellStyle name="Normal 2 4 5 10 3" xfId="21578" xr:uid="{F98E31B6-594A-48CD-A1C4-866DF00AF852}"/>
    <cellStyle name="Normal 2 4 5 11" xfId="8926" xr:uid="{8A1B498B-110D-4C50-BAFA-F138C3C6FF0F}"/>
    <cellStyle name="Normal 2 4 5 12" xfId="17361" xr:uid="{BD00EF28-2C9A-4A65-9AE3-66A0AB41AE92}"/>
    <cellStyle name="Normal 2 4 5 2" xfId="304" xr:uid="{00000000-0005-0000-0000-000036100000}"/>
    <cellStyle name="Normal 2 4 5 2 10" xfId="8927" xr:uid="{AAADD0ED-8F1A-4E02-91DE-6E54089E7AC5}"/>
    <cellStyle name="Normal 2 4 5 2 11" xfId="17362" xr:uid="{D8540E19-A4B8-460D-AF4B-9F6B554779B8}"/>
    <cellStyle name="Normal 2 4 5 2 2" xfId="305" xr:uid="{00000000-0005-0000-0000-000037100000}"/>
    <cellStyle name="Normal 2 4 5 2 2 10" xfId="17363" xr:uid="{9AD9BE0F-80A5-4239-A5BF-64145E30E22E}"/>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474AABE8-4BFC-47C0-AF11-2F582C8B1175}"/>
    <cellStyle name="Normal 2 4 5 2 2 2 2 2 2 3" xfId="24140" xr:uid="{EEB7849D-1B2F-474E-AE79-264F1F84D5FD}"/>
    <cellStyle name="Normal 2 4 5 2 2 2 2 2 3" xfId="11488" xr:uid="{A92AADEF-2E16-49FD-A583-E81E1989B95D}"/>
    <cellStyle name="Normal 2 4 5 2 2 2 2 2 4" xfId="19923" xr:uid="{3E924760-BDA1-416D-8B12-3634F46052BF}"/>
    <cellStyle name="Normal 2 4 5 2 2 2 2 3" xfId="5111" xr:uid="{00000000-0005-0000-0000-00003C100000}"/>
    <cellStyle name="Normal 2 4 5 2 2 2 2 3 2" xfId="13561" xr:uid="{5C7D3AA2-DFC3-47A7-81D5-CC574D414A34}"/>
    <cellStyle name="Normal 2 4 5 2 2 2 2 3 3" xfId="21995" xr:uid="{10FFAC21-63C7-405C-AA70-7E45EC4E4AA5}"/>
    <cellStyle name="Normal 2 4 5 2 2 2 2 4" xfId="9343" xr:uid="{6BCC3A9A-5D40-4CF5-AE48-1B71C7057A2B}"/>
    <cellStyle name="Normal 2 4 5 2 2 2 2 5" xfId="17778" xr:uid="{05DFD271-63BC-432F-B663-A026EB2A6EFA}"/>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1558ACDE-277F-40E7-B973-48619A7E778C}"/>
    <cellStyle name="Normal 2 4 5 2 2 2 3 2 2 3" xfId="24553" xr:uid="{DA8FF77E-80EF-4E20-8B74-5505AA445AB6}"/>
    <cellStyle name="Normal 2 4 5 2 2 2 3 2 3" xfId="11901" xr:uid="{2C1A5F1F-B1D0-42A8-8410-5B2A42CEEB63}"/>
    <cellStyle name="Normal 2 4 5 2 2 2 3 2 4" xfId="20336" xr:uid="{8F0CA294-038F-490B-9C26-FFB6B00A6129}"/>
    <cellStyle name="Normal 2 4 5 2 2 2 3 3" xfId="5524" xr:uid="{00000000-0005-0000-0000-000040100000}"/>
    <cellStyle name="Normal 2 4 5 2 2 2 3 3 2" xfId="13974" xr:uid="{73EDFF17-B02A-4F31-8A33-2CC4F3960024}"/>
    <cellStyle name="Normal 2 4 5 2 2 2 3 3 3" xfId="22408" xr:uid="{BA2B55F3-CF4B-4E43-A26F-11C8DC386CBB}"/>
    <cellStyle name="Normal 2 4 5 2 2 2 3 4" xfId="9756" xr:uid="{1D750F82-8E68-4C88-95D6-784607F2997E}"/>
    <cellStyle name="Normal 2 4 5 2 2 2 3 5" xfId="18191" xr:uid="{CA4DE62C-EED2-4E87-AC8E-A1A25A8890A3}"/>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B8D2DFE0-4F4C-44CB-A1A5-55EFB19EC28F}"/>
    <cellStyle name="Normal 2 4 5 2 2 2 4 2 2 3" xfId="24966" xr:uid="{A209EE41-0EA6-411D-A9A5-0583C02B0B43}"/>
    <cellStyle name="Normal 2 4 5 2 2 2 4 2 3" xfId="12314" xr:uid="{2548B555-6BA3-4EEB-B33E-E47E132CDBA5}"/>
    <cellStyle name="Normal 2 4 5 2 2 2 4 2 4" xfId="20749" xr:uid="{8D1783F1-2AB0-409E-90C4-1D1FF1800649}"/>
    <cellStyle name="Normal 2 4 5 2 2 2 4 3" xfId="5937" xr:uid="{00000000-0005-0000-0000-000044100000}"/>
    <cellStyle name="Normal 2 4 5 2 2 2 4 3 2" xfId="14387" xr:uid="{4E8BE9DF-1F9E-4579-B8AB-694639A20D83}"/>
    <cellStyle name="Normal 2 4 5 2 2 2 4 3 3" xfId="22821" xr:uid="{6993F297-A763-46F6-92FD-E810F2A23943}"/>
    <cellStyle name="Normal 2 4 5 2 2 2 4 4" xfId="10169" xr:uid="{0D6C32E9-707F-4BD0-B44B-8ED48AA13BDD}"/>
    <cellStyle name="Normal 2 4 5 2 2 2 4 5" xfId="18604" xr:uid="{ECA0399F-46AD-47F2-946A-F55023418C64}"/>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10B7DE5E-5CF2-437E-B94F-F0E5F2EE3577}"/>
    <cellStyle name="Normal 2 4 5 2 2 2 5 2 2 3" xfId="25379" xr:uid="{93458265-C1D9-4E66-8DD5-F3255B1EB12D}"/>
    <cellStyle name="Normal 2 4 5 2 2 2 5 2 3" xfId="12727" xr:uid="{6899C8D6-5C3B-4FF5-9FD3-B8A60733C525}"/>
    <cellStyle name="Normal 2 4 5 2 2 2 5 2 4" xfId="21162" xr:uid="{DECD02C2-A378-4050-9AA2-4534B9C49F59}"/>
    <cellStyle name="Normal 2 4 5 2 2 2 5 3" xfId="6350" xr:uid="{00000000-0005-0000-0000-000048100000}"/>
    <cellStyle name="Normal 2 4 5 2 2 2 5 3 2" xfId="14800" xr:uid="{74111E6B-1A3E-4FE7-ABCF-8937B5621793}"/>
    <cellStyle name="Normal 2 4 5 2 2 2 5 3 3" xfId="23234" xr:uid="{99B40B89-5E4A-4E72-B0BF-E9C8474C2382}"/>
    <cellStyle name="Normal 2 4 5 2 2 2 5 4" xfId="10582" xr:uid="{7D53B42F-07F3-4A95-9600-435FD1BF7E8C}"/>
    <cellStyle name="Normal 2 4 5 2 2 2 5 5" xfId="19017" xr:uid="{71E20F49-4C60-40B4-9BA5-33BC7278534D}"/>
    <cellStyle name="Normal 2 4 5 2 2 2 6" xfId="2480" xr:uid="{00000000-0005-0000-0000-000049100000}"/>
    <cellStyle name="Normal 2 4 5 2 2 2 6 2" xfId="6763" xr:uid="{00000000-0005-0000-0000-00004A100000}"/>
    <cellStyle name="Normal 2 4 5 2 2 2 6 2 2" xfId="15213" xr:uid="{93FC7797-CF0F-4B74-BD02-21324D8EB8AE}"/>
    <cellStyle name="Normal 2 4 5 2 2 2 6 2 3" xfId="23647" xr:uid="{703200B6-F4E1-441C-8F94-002CD0BCB736}"/>
    <cellStyle name="Normal 2 4 5 2 2 2 6 3" xfId="10995" xr:uid="{C0ACCC98-9068-474D-A518-24B72A24E9D0}"/>
    <cellStyle name="Normal 2 4 5 2 2 2 6 4" xfId="19430" xr:uid="{71282C52-825C-4313-80A5-45FCBE3E26CB}"/>
    <cellStyle name="Normal 2 4 5 2 2 2 7" xfId="4697" xr:uid="{00000000-0005-0000-0000-00004B100000}"/>
    <cellStyle name="Normal 2 4 5 2 2 2 7 2" xfId="13147" xr:uid="{04CC687B-DE20-4AF6-811F-F5185F5B0124}"/>
    <cellStyle name="Normal 2 4 5 2 2 2 7 3" xfId="21581" xr:uid="{A66EB2B2-853F-4FCE-9B15-82553C8C5AE5}"/>
    <cellStyle name="Normal 2 4 5 2 2 2 8" xfId="8929" xr:uid="{5F53D79E-085B-46B0-A217-DD404111CAAC}"/>
    <cellStyle name="Normal 2 4 5 2 2 2 9" xfId="17364" xr:uid="{9DD82C0A-49CA-4BBD-BD3D-1E270DA3D3BC}"/>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17E618B0-0ED6-48F7-A0EF-00490D047974}"/>
    <cellStyle name="Normal 2 4 5 2 2 3 2 2 3" xfId="24139" xr:uid="{473F2C3D-3D97-4454-B25C-0EC3CC6939B8}"/>
    <cellStyle name="Normal 2 4 5 2 2 3 2 3" xfId="11487" xr:uid="{BE905F72-EC64-4A53-8E33-82FA0DC5D4A5}"/>
    <cellStyle name="Normal 2 4 5 2 2 3 2 4" xfId="19922" xr:uid="{E7B12F5B-50DF-40B7-B6EE-83EA8255E016}"/>
    <cellStyle name="Normal 2 4 5 2 2 3 3" xfId="5110" xr:uid="{00000000-0005-0000-0000-00004F100000}"/>
    <cellStyle name="Normal 2 4 5 2 2 3 3 2" xfId="13560" xr:uid="{25C80CD7-54A9-4669-9A88-026E200D0D83}"/>
    <cellStyle name="Normal 2 4 5 2 2 3 3 3" xfId="21994" xr:uid="{865607C1-068F-45DE-89F8-08E09E553A20}"/>
    <cellStyle name="Normal 2 4 5 2 2 3 4" xfId="9342" xr:uid="{32DA5D30-9508-4A78-AE7A-83F0D7214FA1}"/>
    <cellStyle name="Normal 2 4 5 2 2 3 5" xfId="17777" xr:uid="{0DF9594C-1264-441A-A896-7BE60EF563C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D05BE60F-C447-4BC7-BEFD-51FD1596113F}"/>
    <cellStyle name="Normal 2 4 5 2 2 4 2 2 3" xfId="24552" xr:uid="{FD740080-6AE6-4D63-B8CE-C32F115AC21B}"/>
    <cellStyle name="Normal 2 4 5 2 2 4 2 3" xfId="11900" xr:uid="{71D50140-D421-4E0D-92E4-6E5CA20672CE}"/>
    <cellStyle name="Normal 2 4 5 2 2 4 2 4" xfId="20335" xr:uid="{9166544D-1DBE-4984-B8B1-4E3D3AECF5D2}"/>
    <cellStyle name="Normal 2 4 5 2 2 4 3" xfId="5523" xr:uid="{00000000-0005-0000-0000-000053100000}"/>
    <cellStyle name="Normal 2 4 5 2 2 4 3 2" xfId="13973" xr:uid="{B5725377-9756-4CBA-8DE6-6BD66D5C981E}"/>
    <cellStyle name="Normal 2 4 5 2 2 4 3 3" xfId="22407" xr:uid="{C8AAB125-5B99-4720-95DB-2D6E08482A1B}"/>
    <cellStyle name="Normal 2 4 5 2 2 4 4" xfId="9755" xr:uid="{5E3AD841-7821-4164-9A8D-134F04A5A5DA}"/>
    <cellStyle name="Normal 2 4 5 2 2 4 5" xfId="18190" xr:uid="{03D0B5BA-C20C-4B15-B223-CCB56B3BB104}"/>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124E0E13-851B-4D6F-903E-0F372BE0EF0F}"/>
    <cellStyle name="Normal 2 4 5 2 2 5 2 2 3" xfId="24965" xr:uid="{D521D39E-B786-426E-8593-C2A640619594}"/>
    <cellStyle name="Normal 2 4 5 2 2 5 2 3" xfId="12313" xr:uid="{DFA5321A-3869-40FD-B125-A3DDFB97D177}"/>
    <cellStyle name="Normal 2 4 5 2 2 5 2 4" xfId="20748" xr:uid="{D8537E2B-792F-4565-B14C-B16A541697E9}"/>
    <cellStyle name="Normal 2 4 5 2 2 5 3" xfId="5936" xr:uid="{00000000-0005-0000-0000-000057100000}"/>
    <cellStyle name="Normal 2 4 5 2 2 5 3 2" xfId="14386" xr:uid="{621C66B6-0EC8-4A0E-BC90-20486C8DE1C5}"/>
    <cellStyle name="Normal 2 4 5 2 2 5 3 3" xfId="22820" xr:uid="{7D52855E-36FF-4DDD-B1F2-1A13BB1DA715}"/>
    <cellStyle name="Normal 2 4 5 2 2 5 4" xfId="10168" xr:uid="{CE49185D-03C8-4AA5-A10B-BC1C71B29BF1}"/>
    <cellStyle name="Normal 2 4 5 2 2 5 5" xfId="18603" xr:uid="{331BE1CD-C674-49BC-A482-29AA6FDE442C}"/>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0A1E7591-1126-41BC-9F99-A4E7DC4DB332}"/>
    <cellStyle name="Normal 2 4 5 2 2 6 2 2 3" xfId="25378" xr:uid="{C40881D8-03AC-4971-AE7D-16C34616D9F3}"/>
    <cellStyle name="Normal 2 4 5 2 2 6 2 3" xfId="12726" xr:uid="{283980EA-C128-40EA-8107-4A0611A43A08}"/>
    <cellStyle name="Normal 2 4 5 2 2 6 2 4" xfId="21161" xr:uid="{C8A2D812-FAAB-49EC-A08B-1AD6A067C0BE}"/>
    <cellStyle name="Normal 2 4 5 2 2 6 3" xfId="6349" xr:uid="{00000000-0005-0000-0000-00005B100000}"/>
    <cellStyle name="Normal 2 4 5 2 2 6 3 2" xfId="14799" xr:uid="{F3424F72-B65F-4B31-A5B5-AD7440B750A1}"/>
    <cellStyle name="Normal 2 4 5 2 2 6 3 3" xfId="23233" xr:uid="{79E38A2B-8F45-4B4A-99FE-11EDCD5FFA10}"/>
    <cellStyle name="Normal 2 4 5 2 2 6 4" xfId="10581" xr:uid="{A8F1527E-5FE6-4F8D-8174-1EA119B907E4}"/>
    <cellStyle name="Normal 2 4 5 2 2 6 5" xfId="19016" xr:uid="{FDD394EF-0B45-4491-9D41-1A1757A6E637}"/>
    <cellStyle name="Normal 2 4 5 2 2 7" xfId="2479" xr:uid="{00000000-0005-0000-0000-00005C100000}"/>
    <cellStyle name="Normal 2 4 5 2 2 7 2" xfId="6762" xr:uid="{00000000-0005-0000-0000-00005D100000}"/>
    <cellStyle name="Normal 2 4 5 2 2 7 2 2" xfId="15212" xr:uid="{503114D2-672E-4103-B0B3-AA1CC9C5DB43}"/>
    <cellStyle name="Normal 2 4 5 2 2 7 2 3" xfId="23646" xr:uid="{D765F472-EB74-43C7-8C6D-AC4986E7F44D}"/>
    <cellStyle name="Normal 2 4 5 2 2 7 3" xfId="10994" xr:uid="{18C69AC7-91DA-4566-A1C2-D810FD812288}"/>
    <cellStyle name="Normal 2 4 5 2 2 7 4" xfId="19429" xr:uid="{968735F6-EBC6-44F7-9E6F-AF12479C7DF2}"/>
    <cellStyle name="Normal 2 4 5 2 2 8" xfId="4696" xr:uid="{00000000-0005-0000-0000-00005E100000}"/>
    <cellStyle name="Normal 2 4 5 2 2 8 2" xfId="13146" xr:uid="{FB62CBD4-E08C-49D9-9BE5-C85CB1016126}"/>
    <cellStyle name="Normal 2 4 5 2 2 8 3" xfId="21580" xr:uid="{77291B64-5473-461D-8914-C8B52F3A7981}"/>
    <cellStyle name="Normal 2 4 5 2 2 9" xfId="8928" xr:uid="{A325AD0D-134F-462B-9B0F-2C758A53100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97AA3733-94F1-4161-A061-CC623019607F}"/>
    <cellStyle name="Normal 2 4 5 2 3 2 2 2 3" xfId="24141" xr:uid="{A8EE891D-D92A-472D-B417-C9E41E0EF173}"/>
    <cellStyle name="Normal 2 4 5 2 3 2 2 3" xfId="11489" xr:uid="{F8D50638-4ABF-47FF-AF0D-FA4E5C67BA34}"/>
    <cellStyle name="Normal 2 4 5 2 3 2 2 4" xfId="19924" xr:uid="{794E8D02-C43F-4C0A-A583-EEC2F052D247}"/>
    <cellStyle name="Normal 2 4 5 2 3 2 3" xfId="5112" xr:uid="{00000000-0005-0000-0000-000063100000}"/>
    <cellStyle name="Normal 2 4 5 2 3 2 3 2" xfId="13562" xr:uid="{D6415F61-6F5B-4ED4-93CC-5465231153A5}"/>
    <cellStyle name="Normal 2 4 5 2 3 2 3 3" xfId="21996" xr:uid="{845A7225-59E5-4A80-8A23-BC6CE15133EA}"/>
    <cellStyle name="Normal 2 4 5 2 3 2 4" xfId="9344" xr:uid="{9BD68355-8C07-41AA-BB6A-A49E6797F9F9}"/>
    <cellStyle name="Normal 2 4 5 2 3 2 5" xfId="17779" xr:uid="{DE941C42-9F8D-433B-9ABE-3F3E5D9E1DA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20300271-AC61-4785-A6CB-0508A49C84D0}"/>
    <cellStyle name="Normal 2 4 5 2 3 3 2 2 3" xfId="24554" xr:uid="{435B1B13-B184-4A99-9BED-77BE087B1F88}"/>
    <cellStyle name="Normal 2 4 5 2 3 3 2 3" xfId="11902" xr:uid="{AFEB6570-6F7D-49F4-8BA7-C8F1C9CB559D}"/>
    <cellStyle name="Normal 2 4 5 2 3 3 2 4" xfId="20337" xr:uid="{D3F3F19D-3541-4096-834A-038AC5BA7129}"/>
    <cellStyle name="Normal 2 4 5 2 3 3 3" xfId="5525" xr:uid="{00000000-0005-0000-0000-000067100000}"/>
    <cellStyle name="Normal 2 4 5 2 3 3 3 2" xfId="13975" xr:uid="{5431EEC3-FFF5-424F-A1C1-D27F9B6BA960}"/>
    <cellStyle name="Normal 2 4 5 2 3 3 3 3" xfId="22409" xr:uid="{8F6EA224-38DF-4692-BBAB-30502E3F22D4}"/>
    <cellStyle name="Normal 2 4 5 2 3 3 4" xfId="9757" xr:uid="{F8506F00-A253-43EE-B981-01471ED9E5B2}"/>
    <cellStyle name="Normal 2 4 5 2 3 3 5" xfId="18192" xr:uid="{77B1BB30-BB20-436F-9600-5371808E53D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CA6425B6-5458-49AA-8E0A-3D281BE0AD15}"/>
    <cellStyle name="Normal 2 4 5 2 3 4 2 2 3" xfId="24967" xr:uid="{6EEE37E3-54C5-481E-B329-9F214D6E19A9}"/>
    <cellStyle name="Normal 2 4 5 2 3 4 2 3" xfId="12315" xr:uid="{77A76E98-34ED-4EF7-85B6-5C8D5619E3B6}"/>
    <cellStyle name="Normal 2 4 5 2 3 4 2 4" xfId="20750" xr:uid="{59A95513-0475-4662-A8D0-209BEC1D68A8}"/>
    <cellStyle name="Normal 2 4 5 2 3 4 3" xfId="5938" xr:uid="{00000000-0005-0000-0000-00006B100000}"/>
    <cellStyle name="Normal 2 4 5 2 3 4 3 2" xfId="14388" xr:uid="{95A04A43-D76F-4FD2-B032-E77D2958B1DB}"/>
    <cellStyle name="Normal 2 4 5 2 3 4 3 3" xfId="22822" xr:uid="{D1E40AA9-B749-4A05-B8DC-609744593F33}"/>
    <cellStyle name="Normal 2 4 5 2 3 4 4" xfId="10170" xr:uid="{7B870A42-1B12-4B5F-9F0A-171CD396C37F}"/>
    <cellStyle name="Normal 2 4 5 2 3 4 5" xfId="18605" xr:uid="{A7869B6A-84EF-41A7-BB5B-0E334739CA42}"/>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3ACB9F31-63AA-4B35-9112-047C6E3B90FD}"/>
    <cellStyle name="Normal 2 4 5 2 3 5 2 2 3" xfId="25380" xr:uid="{A37904BB-9841-4495-83FE-ABCADD770F1C}"/>
    <cellStyle name="Normal 2 4 5 2 3 5 2 3" xfId="12728" xr:uid="{7F189292-2B26-46D1-94C9-8CD2357B7726}"/>
    <cellStyle name="Normal 2 4 5 2 3 5 2 4" xfId="21163" xr:uid="{463E9AE1-6270-4FC3-B2BC-93A24BC553CD}"/>
    <cellStyle name="Normal 2 4 5 2 3 5 3" xfId="6351" xr:uid="{00000000-0005-0000-0000-00006F100000}"/>
    <cellStyle name="Normal 2 4 5 2 3 5 3 2" xfId="14801" xr:uid="{92AD519B-D0FB-4509-BEA6-37F16C9C6BEC}"/>
    <cellStyle name="Normal 2 4 5 2 3 5 3 3" xfId="23235" xr:uid="{486BEECE-9B90-4289-958C-67AEFE92CC22}"/>
    <cellStyle name="Normal 2 4 5 2 3 5 4" xfId="10583" xr:uid="{A7A018C3-3619-4F84-B026-6160E73C1BE3}"/>
    <cellStyle name="Normal 2 4 5 2 3 5 5" xfId="19018" xr:uid="{1C0AFA0E-F302-4EC7-860D-705AF5FB77AE}"/>
    <cellStyle name="Normal 2 4 5 2 3 6" xfId="2481" xr:uid="{00000000-0005-0000-0000-000070100000}"/>
    <cellStyle name="Normal 2 4 5 2 3 6 2" xfId="6764" xr:uid="{00000000-0005-0000-0000-000071100000}"/>
    <cellStyle name="Normal 2 4 5 2 3 6 2 2" xfId="15214" xr:uid="{92C3597B-7ADC-4164-AC70-9D7B81926147}"/>
    <cellStyle name="Normal 2 4 5 2 3 6 2 3" xfId="23648" xr:uid="{FC2FB9F0-9CBE-4958-950B-39C40711A027}"/>
    <cellStyle name="Normal 2 4 5 2 3 6 3" xfId="10996" xr:uid="{D9805BC3-72BF-4CC5-A48A-DC96CE51DAC2}"/>
    <cellStyle name="Normal 2 4 5 2 3 6 4" xfId="19431" xr:uid="{E2A001FB-AA24-4B4F-8D67-F100D7F4158B}"/>
    <cellStyle name="Normal 2 4 5 2 3 7" xfId="4698" xr:uid="{00000000-0005-0000-0000-000072100000}"/>
    <cellStyle name="Normal 2 4 5 2 3 7 2" xfId="13148" xr:uid="{31E00779-E16E-4C74-ACD3-000DD88842E4}"/>
    <cellStyle name="Normal 2 4 5 2 3 7 3" xfId="21582" xr:uid="{D72149F8-CCD4-4163-A206-FD647EF1DF75}"/>
    <cellStyle name="Normal 2 4 5 2 3 8" xfId="8930" xr:uid="{2DBD5E2D-5BB3-496D-A684-EDCD66466BC3}"/>
    <cellStyle name="Normal 2 4 5 2 3 9" xfId="17365" xr:uid="{413A6CCB-A08D-4CCE-8F32-CA5AB48C5D53}"/>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321E424D-CF7F-4108-B827-9047BE14D13A}"/>
    <cellStyle name="Normal 2 4 5 2 4 2 2 3" xfId="24138" xr:uid="{E627CEE2-CE53-4CEF-8911-6C3E8D5AA563}"/>
    <cellStyle name="Normal 2 4 5 2 4 2 3" xfId="11486" xr:uid="{A9D2D9C7-DEE8-4DCD-ABAB-3596F6903367}"/>
    <cellStyle name="Normal 2 4 5 2 4 2 4" xfId="19921" xr:uid="{4233A6E8-1D21-4DB7-978F-08685BE2F165}"/>
    <cellStyle name="Normal 2 4 5 2 4 3" xfId="5109" xr:uid="{00000000-0005-0000-0000-000076100000}"/>
    <cellStyle name="Normal 2 4 5 2 4 3 2" xfId="13559" xr:uid="{3DC52F42-49C2-4BE7-AC6A-942F01C6D987}"/>
    <cellStyle name="Normal 2 4 5 2 4 3 3" xfId="21993" xr:uid="{7D2A0331-A929-4023-AE2D-19039D6BD625}"/>
    <cellStyle name="Normal 2 4 5 2 4 4" xfId="9341" xr:uid="{E5223F72-FA14-457D-B74A-ABB062F723B9}"/>
    <cellStyle name="Normal 2 4 5 2 4 5" xfId="17776" xr:uid="{E170CAD2-6177-4A0A-8F95-3DA475218E92}"/>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8536431C-AD36-4705-8AF3-F809975D7CB3}"/>
    <cellStyle name="Normal 2 4 5 2 5 2 2 3" xfId="24551" xr:uid="{0A297241-517D-4225-8048-3D6F3646797D}"/>
    <cellStyle name="Normal 2 4 5 2 5 2 3" xfId="11899" xr:uid="{352078B1-E790-46D6-A151-B8F60FE1A19C}"/>
    <cellStyle name="Normal 2 4 5 2 5 2 4" xfId="20334" xr:uid="{26E17FB8-D91D-440B-9F3D-92BE4E1C613C}"/>
    <cellStyle name="Normal 2 4 5 2 5 3" xfId="5522" xr:uid="{00000000-0005-0000-0000-00007A100000}"/>
    <cellStyle name="Normal 2 4 5 2 5 3 2" xfId="13972" xr:uid="{492F4746-F055-4418-982E-0AE20B503A95}"/>
    <cellStyle name="Normal 2 4 5 2 5 3 3" xfId="22406" xr:uid="{AD0938C9-8A09-4DBB-8F8B-9ABCE7FFA58B}"/>
    <cellStyle name="Normal 2 4 5 2 5 4" xfId="9754" xr:uid="{07744B3B-48F2-4C19-8656-2FF0459F4D6A}"/>
    <cellStyle name="Normal 2 4 5 2 5 5" xfId="18189" xr:uid="{45959559-D050-44CB-B971-1D3B4D73ED4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F864E8EB-E2FF-4BF3-9BC3-288A4E012AFB}"/>
    <cellStyle name="Normal 2 4 5 2 6 2 2 3" xfId="24964" xr:uid="{308CC176-D9C6-4FD7-B5DC-DD255E034A90}"/>
    <cellStyle name="Normal 2 4 5 2 6 2 3" xfId="12312" xr:uid="{4F5A0B8A-97AE-4BA1-92D3-E9CF6275616C}"/>
    <cellStyle name="Normal 2 4 5 2 6 2 4" xfId="20747" xr:uid="{0A3F4BDD-B0F9-497D-B413-191F7F651FD0}"/>
    <cellStyle name="Normal 2 4 5 2 6 3" xfId="5935" xr:uid="{00000000-0005-0000-0000-00007E100000}"/>
    <cellStyle name="Normal 2 4 5 2 6 3 2" xfId="14385" xr:uid="{D9230EC8-9C19-4D9B-B010-967C52589AEC}"/>
    <cellStyle name="Normal 2 4 5 2 6 3 3" xfId="22819" xr:uid="{9D8F09AA-D0BA-4C86-8E8C-6E99DF96A983}"/>
    <cellStyle name="Normal 2 4 5 2 6 4" xfId="10167" xr:uid="{E5C893CF-644A-4DA7-A3BF-FB86E5220D4C}"/>
    <cellStyle name="Normal 2 4 5 2 6 5" xfId="18602" xr:uid="{A50F1FA8-44B5-45A2-9FE9-6C9A82544F5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5C25712A-B883-4197-B80F-5B51BCA7662D}"/>
    <cellStyle name="Normal 2 4 5 2 7 2 2 3" xfId="25377" xr:uid="{6A4108D5-8E93-4738-B120-7A5FCA4ED3DC}"/>
    <cellStyle name="Normal 2 4 5 2 7 2 3" xfId="12725" xr:uid="{71DBC2DE-E7CC-47A4-A4E0-2613C2B371B1}"/>
    <cellStyle name="Normal 2 4 5 2 7 2 4" xfId="21160" xr:uid="{F5F75B66-88A9-4D35-913D-F3C2D0B30986}"/>
    <cellStyle name="Normal 2 4 5 2 7 3" xfId="6348" xr:uid="{00000000-0005-0000-0000-000082100000}"/>
    <cellStyle name="Normal 2 4 5 2 7 3 2" xfId="14798" xr:uid="{B927E1A7-9B52-45B2-942F-7D68811D0BFA}"/>
    <cellStyle name="Normal 2 4 5 2 7 3 3" xfId="23232" xr:uid="{CD56E96E-7F60-43A7-885D-3E6DE668FCEF}"/>
    <cellStyle name="Normal 2 4 5 2 7 4" xfId="10580" xr:uid="{A17801F9-15A8-435B-AA10-06A99D6ECCBE}"/>
    <cellStyle name="Normal 2 4 5 2 7 5" xfId="19015" xr:uid="{C309CDBF-FCC0-4661-B7D3-6D938E8D6E4E}"/>
    <cellStyle name="Normal 2 4 5 2 8" xfId="2478" xr:uid="{00000000-0005-0000-0000-000083100000}"/>
    <cellStyle name="Normal 2 4 5 2 8 2" xfId="6761" xr:uid="{00000000-0005-0000-0000-000084100000}"/>
    <cellStyle name="Normal 2 4 5 2 8 2 2" xfId="15211" xr:uid="{744923D5-7A52-4716-BB71-5B2891442B85}"/>
    <cellStyle name="Normal 2 4 5 2 8 2 3" xfId="23645" xr:uid="{D6EAFE3C-B71A-41FA-B5D0-5F4D05B0A096}"/>
    <cellStyle name="Normal 2 4 5 2 8 3" xfId="10993" xr:uid="{7DBD55D5-E85A-4737-9AD9-16AD6F8C6033}"/>
    <cellStyle name="Normal 2 4 5 2 8 4" xfId="19428" xr:uid="{00A9A47F-6F06-4138-965F-BB31B776E2DA}"/>
    <cellStyle name="Normal 2 4 5 2 9" xfId="4695" xr:uid="{00000000-0005-0000-0000-000085100000}"/>
    <cellStyle name="Normal 2 4 5 2 9 2" xfId="13145" xr:uid="{93D99EBD-5BF3-44D7-8C10-48F827B24CB7}"/>
    <cellStyle name="Normal 2 4 5 2 9 3" xfId="21579" xr:uid="{E96AAA8A-1E6D-44D6-B9FA-188A6B69D400}"/>
    <cellStyle name="Normal 2 4 5 3" xfId="308" xr:uid="{00000000-0005-0000-0000-000086100000}"/>
    <cellStyle name="Normal 2 4 5 3 10" xfId="17366" xr:uid="{12F5B370-946A-40D8-99E4-DFEE2B2784B6}"/>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5CC14706-A43F-4EAF-9ED0-2A10C4A1A518}"/>
    <cellStyle name="Normal 2 4 5 3 2 2 2 2 3" xfId="24143" xr:uid="{871F7E5A-91DC-4E4A-8DCC-CCEF9AC3DD13}"/>
    <cellStyle name="Normal 2 4 5 3 2 2 2 3" xfId="11491" xr:uid="{F009F1E4-36A7-47B3-BB74-25B3717C28C4}"/>
    <cellStyle name="Normal 2 4 5 3 2 2 2 4" xfId="19926" xr:uid="{AB5FE5E3-B037-4F9C-97FC-CB4AFA173533}"/>
    <cellStyle name="Normal 2 4 5 3 2 2 3" xfId="5114" xr:uid="{00000000-0005-0000-0000-00008B100000}"/>
    <cellStyle name="Normal 2 4 5 3 2 2 3 2" xfId="13564" xr:uid="{42B9A06B-8839-49B2-96CE-F7DCFE59DE1F}"/>
    <cellStyle name="Normal 2 4 5 3 2 2 3 3" xfId="21998" xr:uid="{81D0D76B-2CC1-47A6-AC7E-F2FA4EDE1C73}"/>
    <cellStyle name="Normal 2 4 5 3 2 2 4" xfId="9346" xr:uid="{9A16D10A-CEC9-466A-BE75-A4DE67DA20DE}"/>
    <cellStyle name="Normal 2 4 5 3 2 2 5" xfId="17781" xr:uid="{317C5F98-407E-4C65-9413-6E8854FA481E}"/>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D5F9197E-1074-4F95-AADB-CC49D96C233B}"/>
    <cellStyle name="Normal 2 4 5 3 2 3 2 2 3" xfId="24556" xr:uid="{1548BF2E-4467-4C4A-8EC2-CFA79CC318A1}"/>
    <cellStyle name="Normal 2 4 5 3 2 3 2 3" xfId="11904" xr:uid="{B71F6D44-99BA-4BC4-9CBA-38DB63BABD44}"/>
    <cellStyle name="Normal 2 4 5 3 2 3 2 4" xfId="20339" xr:uid="{D9489ED8-FEE1-48DC-9C7B-4A0397B45E83}"/>
    <cellStyle name="Normal 2 4 5 3 2 3 3" xfId="5527" xr:uid="{00000000-0005-0000-0000-00008F100000}"/>
    <cellStyle name="Normal 2 4 5 3 2 3 3 2" xfId="13977" xr:uid="{55AE40EB-43F1-4945-B9D7-4700A51DBA3D}"/>
    <cellStyle name="Normal 2 4 5 3 2 3 3 3" xfId="22411" xr:uid="{C46404E4-9537-438C-8104-949FBC76B75A}"/>
    <cellStyle name="Normal 2 4 5 3 2 3 4" xfId="9759" xr:uid="{D4CD4944-F949-4527-AA57-7B1F88FFB403}"/>
    <cellStyle name="Normal 2 4 5 3 2 3 5" xfId="18194" xr:uid="{34ED0B26-4FE2-4F2D-8483-7E81A604592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E3905927-4DB3-480A-9E54-2A3C7676B746}"/>
    <cellStyle name="Normal 2 4 5 3 2 4 2 2 3" xfId="24969" xr:uid="{DBFCB49E-8DEA-4BAE-84D0-7FF2BA97687C}"/>
    <cellStyle name="Normal 2 4 5 3 2 4 2 3" xfId="12317" xr:uid="{52B0BA3A-5598-472C-938E-18856DF4FE74}"/>
    <cellStyle name="Normal 2 4 5 3 2 4 2 4" xfId="20752" xr:uid="{D70A835D-17EA-4CCA-94E4-F8C7A7707D12}"/>
    <cellStyle name="Normal 2 4 5 3 2 4 3" xfId="5940" xr:uid="{00000000-0005-0000-0000-000093100000}"/>
    <cellStyle name="Normal 2 4 5 3 2 4 3 2" xfId="14390" xr:uid="{1A201349-51E7-4B2F-9D1A-24A58078BB01}"/>
    <cellStyle name="Normal 2 4 5 3 2 4 3 3" xfId="22824" xr:uid="{D994E153-A658-47D6-A9E3-2AF305C10E4E}"/>
    <cellStyle name="Normal 2 4 5 3 2 4 4" xfId="10172" xr:uid="{52785FBA-E9A8-4B48-B1AC-1990C7733EAE}"/>
    <cellStyle name="Normal 2 4 5 3 2 4 5" xfId="18607" xr:uid="{8BF93D9E-7807-4579-9E79-5EE288CF2D3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57D8EB86-72EB-4606-A1AA-4DEFF68B6C29}"/>
    <cellStyle name="Normal 2 4 5 3 2 5 2 2 3" xfId="25382" xr:uid="{3153739F-3BB6-4861-864D-AC39544EE3C3}"/>
    <cellStyle name="Normal 2 4 5 3 2 5 2 3" xfId="12730" xr:uid="{0695A043-108A-4D7C-800B-689DC128B06C}"/>
    <cellStyle name="Normal 2 4 5 3 2 5 2 4" xfId="21165" xr:uid="{346D4F52-7C6B-4D49-A624-E53028F205CD}"/>
    <cellStyle name="Normal 2 4 5 3 2 5 3" xfId="6353" xr:uid="{00000000-0005-0000-0000-000097100000}"/>
    <cellStyle name="Normal 2 4 5 3 2 5 3 2" xfId="14803" xr:uid="{72BF386A-7DFB-44FF-ABE7-B74A2BBC70DC}"/>
    <cellStyle name="Normal 2 4 5 3 2 5 3 3" xfId="23237" xr:uid="{9AD76238-339F-477A-86A4-8D6DD97464CB}"/>
    <cellStyle name="Normal 2 4 5 3 2 5 4" xfId="10585" xr:uid="{1858C17A-0A44-4EAF-9A39-C6F9D8791DC8}"/>
    <cellStyle name="Normal 2 4 5 3 2 5 5" xfId="19020" xr:uid="{ACF41B39-C5B3-4895-BE22-DBE238EC4637}"/>
    <cellStyle name="Normal 2 4 5 3 2 6" xfId="2483" xr:uid="{00000000-0005-0000-0000-000098100000}"/>
    <cellStyle name="Normal 2 4 5 3 2 6 2" xfId="6766" xr:uid="{00000000-0005-0000-0000-000099100000}"/>
    <cellStyle name="Normal 2 4 5 3 2 6 2 2" xfId="15216" xr:uid="{11CCB73D-D844-41CA-8147-15078FB20CA0}"/>
    <cellStyle name="Normal 2 4 5 3 2 6 2 3" xfId="23650" xr:uid="{882B0BD2-CF4E-4266-AE4E-BE0204EAE573}"/>
    <cellStyle name="Normal 2 4 5 3 2 6 3" xfId="10998" xr:uid="{F24F1ED2-5D70-4657-A192-A3B72B29FC9B}"/>
    <cellStyle name="Normal 2 4 5 3 2 6 4" xfId="19433" xr:uid="{EA2C958D-2A66-47B2-A52F-015DD160C614}"/>
    <cellStyle name="Normal 2 4 5 3 2 7" xfId="4700" xr:uid="{00000000-0005-0000-0000-00009A100000}"/>
    <cellStyle name="Normal 2 4 5 3 2 7 2" xfId="13150" xr:uid="{99026846-5EB3-401D-A0C0-033C9462674A}"/>
    <cellStyle name="Normal 2 4 5 3 2 7 3" xfId="21584" xr:uid="{C41DD267-3EFF-4F66-95BF-704838C6968F}"/>
    <cellStyle name="Normal 2 4 5 3 2 8" xfId="8932" xr:uid="{A08E1AB5-6F7A-407D-9375-885B34A81684}"/>
    <cellStyle name="Normal 2 4 5 3 2 9" xfId="17367" xr:uid="{BD58B128-CDCE-42AC-AB11-86DE676CC1C6}"/>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0F513512-34EF-4E60-8E29-B9A902B8EF54}"/>
    <cellStyle name="Normal 2 4 5 3 3 2 2 3" xfId="24142" xr:uid="{DDA96140-0205-41A7-807C-2E528E1F639C}"/>
    <cellStyle name="Normal 2 4 5 3 3 2 3" xfId="11490" xr:uid="{EEC30439-79AF-42D9-B273-203608A1BEC8}"/>
    <cellStyle name="Normal 2 4 5 3 3 2 4" xfId="19925" xr:uid="{F05C4051-8955-44CA-9D93-C1078759B898}"/>
    <cellStyle name="Normal 2 4 5 3 3 3" xfId="5113" xr:uid="{00000000-0005-0000-0000-00009E100000}"/>
    <cellStyle name="Normal 2 4 5 3 3 3 2" xfId="13563" xr:uid="{A90C9A91-B4A8-4C77-8D36-5BA253E613B3}"/>
    <cellStyle name="Normal 2 4 5 3 3 3 3" xfId="21997" xr:uid="{3EAC015E-75C4-4A22-B2FD-E0743DE1BA52}"/>
    <cellStyle name="Normal 2 4 5 3 3 4" xfId="9345" xr:uid="{9702EDDA-0845-4E3E-ADC2-A2BF39444B2B}"/>
    <cellStyle name="Normal 2 4 5 3 3 5" xfId="17780" xr:uid="{EAE5278C-58DF-450E-A979-12136935C301}"/>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E961F39A-66E5-4349-B4A2-5CD39638FAE4}"/>
    <cellStyle name="Normal 2 4 5 3 4 2 2 3" xfId="24555" xr:uid="{2E2E223A-3DC0-4151-84C8-058974AF9D90}"/>
    <cellStyle name="Normal 2 4 5 3 4 2 3" xfId="11903" xr:uid="{760C864A-7E97-48CF-A9F4-68E7D04EC5B1}"/>
    <cellStyle name="Normal 2 4 5 3 4 2 4" xfId="20338" xr:uid="{93A089EB-B8AE-4CD1-8FC0-C14F67AF724F}"/>
    <cellStyle name="Normal 2 4 5 3 4 3" xfId="5526" xr:uid="{00000000-0005-0000-0000-0000A2100000}"/>
    <cellStyle name="Normal 2 4 5 3 4 3 2" xfId="13976" xr:uid="{4656E177-A110-4F0E-B3B7-01A190A91624}"/>
    <cellStyle name="Normal 2 4 5 3 4 3 3" xfId="22410" xr:uid="{41925921-5010-43A0-BF95-BCD6F4B00601}"/>
    <cellStyle name="Normal 2 4 5 3 4 4" xfId="9758" xr:uid="{65A75910-BB91-4A45-9D6A-37D003370B87}"/>
    <cellStyle name="Normal 2 4 5 3 4 5" xfId="18193" xr:uid="{1C53740C-FCB3-4B27-A0C2-017397D6298D}"/>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7B6287E8-D08D-4156-8345-318D5475FC10}"/>
    <cellStyle name="Normal 2 4 5 3 5 2 2 3" xfId="24968" xr:uid="{DD86673C-A69D-4B5B-B3EB-9FDF07020747}"/>
    <cellStyle name="Normal 2 4 5 3 5 2 3" xfId="12316" xr:uid="{161BC661-618E-48E2-A9EA-7FEA09C67CBA}"/>
    <cellStyle name="Normal 2 4 5 3 5 2 4" xfId="20751" xr:uid="{4BA38F48-A5E9-4677-BBA5-EC7AE0367779}"/>
    <cellStyle name="Normal 2 4 5 3 5 3" xfId="5939" xr:uid="{00000000-0005-0000-0000-0000A6100000}"/>
    <cellStyle name="Normal 2 4 5 3 5 3 2" xfId="14389" xr:uid="{73424FB6-18AF-4F6F-8E62-02D467EA0792}"/>
    <cellStyle name="Normal 2 4 5 3 5 3 3" xfId="22823" xr:uid="{0878D0F1-CCA2-4FE5-BC70-6FB7B1EDE496}"/>
    <cellStyle name="Normal 2 4 5 3 5 4" xfId="10171" xr:uid="{10425EC2-6C3D-4F81-BCAA-6E82CCABB052}"/>
    <cellStyle name="Normal 2 4 5 3 5 5" xfId="18606" xr:uid="{FB6DEA13-C30F-4071-82FF-BE403FD7E042}"/>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8287F6CB-CEB2-4031-9E20-1E99D853D710}"/>
    <cellStyle name="Normal 2 4 5 3 6 2 2 3" xfId="25381" xr:uid="{0FAAC033-A373-48B5-AFCB-32983E3C3F23}"/>
    <cellStyle name="Normal 2 4 5 3 6 2 3" xfId="12729" xr:uid="{884F0242-AB4C-450E-86A2-2E14F2C1CB16}"/>
    <cellStyle name="Normal 2 4 5 3 6 2 4" xfId="21164" xr:uid="{F5F5DF7F-22D3-404D-AA5B-07256ED37116}"/>
    <cellStyle name="Normal 2 4 5 3 6 3" xfId="6352" xr:uid="{00000000-0005-0000-0000-0000AA100000}"/>
    <cellStyle name="Normal 2 4 5 3 6 3 2" xfId="14802" xr:uid="{3A396B9D-ECDE-46E4-B439-AB435EE61FE7}"/>
    <cellStyle name="Normal 2 4 5 3 6 3 3" xfId="23236" xr:uid="{3E4A4418-A4FF-42E1-BBE3-53151C33F706}"/>
    <cellStyle name="Normal 2 4 5 3 6 4" xfId="10584" xr:uid="{5E30D9F9-0C11-4A5A-9FF8-62B81E203992}"/>
    <cellStyle name="Normal 2 4 5 3 6 5" xfId="19019" xr:uid="{C5134962-9A80-4C66-B0D8-8DD94B2075CE}"/>
    <cellStyle name="Normal 2 4 5 3 7" xfId="2482" xr:uid="{00000000-0005-0000-0000-0000AB100000}"/>
    <cellStyle name="Normal 2 4 5 3 7 2" xfId="6765" xr:uid="{00000000-0005-0000-0000-0000AC100000}"/>
    <cellStyle name="Normal 2 4 5 3 7 2 2" xfId="15215" xr:uid="{DECF3FAB-7868-4939-90B9-8A79A6046E6F}"/>
    <cellStyle name="Normal 2 4 5 3 7 2 3" xfId="23649" xr:uid="{70E57C98-C0AE-4522-9CA6-073EDCA5C792}"/>
    <cellStyle name="Normal 2 4 5 3 7 3" xfId="10997" xr:uid="{A678B4F8-B96A-4BFB-9F37-ABAF589AAF82}"/>
    <cellStyle name="Normal 2 4 5 3 7 4" xfId="19432" xr:uid="{B75073B9-5CD0-437A-A059-D7C1A695C410}"/>
    <cellStyle name="Normal 2 4 5 3 8" xfId="4699" xr:uid="{00000000-0005-0000-0000-0000AD100000}"/>
    <cellStyle name="Normal 2 4 5 3 8 2" xfId="13149" xr:uid="{032F0A88-90AB-4DFF-9474-0A2D27C97EAB}"/>
    <cellStyle name="Normal 2 4 5 3 8 3" xfId="21583" xr:uid="{3F92B433-6C17-407E-AED0-D85F842C2B47}"/>
    <cellStyle name="Normal 2 4 5 3 9" xfId="8931" xr:uid="{EEBF6B95-B6DB-4330-B630-3CCE4879EE0B}"/>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7FDC089D-2DFA-4362-B291-74F8D65BCDCC}"/>
    <cellStyle name="Normal 2 4 5 4 2 2 2 3" xfId="24144" xr:uid="{C1A72354-3C1F-4A15-971B-D036A3E1E7C9}"/>
    <cellStyle name="Normal 2 4 5 4 2 2 3" xfId="11492" xr:uid="{4493187A-7AE9-455A-8E8B-622308AF21E7}"/>
    <cellStyle name="Normal 2 4 5 4 2 2 4" xfId="19927" xr:uid="{09F003EA-F6CF-434A-8343-105B063DB1FA}"/>
    <cellStyle name="Normal 2 4 5 4 2 3" xfId="5115" xr:uid="{00000000-0005-0000-0000-0000B2100000}"/>
    <cellStyle name="Normal 2 4 5 4 2 3 2" xfId="13565" xr:uid="{F7635D7E-41CC-469A-8F21-7860968DBF1D}"/>
    <cellStyle name="Normal 2 4 5 4 2 3 3" xfId="21999" xr:uid="{12F7BA14-C1F9-4526-8DAD-F40D367D6E5B}"/>
    <cellStyle name="Normal 2 4 5 4 2 4" xfId="9347" xr:uid="{233837F6-CDAA-4872-9170-60B4AC395048}"/>
    <cellStyle name="Normal 2 4 5 4 2 5" xfId="17782" xr:uid="{49C208DB-C055-4E9C-B2C3-BEDDDAABC3E0}"/>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D2647544-BFE5-4953-A33B-095159B8D52E}"/>
    <cellStyle name="Normal 2 4 5 4 3 2 2 3" xfId="24557" xr:uid="{A3A41EDF-E7DE-46C6-AB82-5155E6DB42F2}"/>
    <cellStyle name="Normal 2 4 5 4 3 2 3" xfId="11905" xr:uid="{0E89F00F-50F1-47ED-BAC7-CF8467498958}"/>
    <cellStyle name="Normal 2 4 5 4 3 2 4" xfId="20340" xr:uid="{39F1E521-56EE-440D-8AD4-E6183A7B4FE2}"/>
    <cellStyle name="Normal 2 4 5 4 3 3" xfId="5528" xr:uid="{00000000-0005-0000-0000-0000B6100000}"/>
    <cellStyle name="Normal 2 4 5 4 3 3 2" xfId="13978" xr:uid="{BD936298-14D8-4CD7-B617-40D66B416FE2}"/>
    <cellStyle name="Normal 2 4 5 4 3 3 3" xfId="22412" xr:uid="{A0DCB1D9-353B-489F-AC9E-A70A12D77180}"/>
    <cellStyle name="Normal 2 4 5 4 3 4" xfId="9760" xr:uid="{5C4E5F31-C54A-46C6-8449-2FB756465BE0}"/>
    <cellStyle name="Normal 2 4 5 4 3 5" xfId="18195" xr:uid="{444A3519-ABC5-4F89-9ABF-E54D1FE1A77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F067EEFF-ADF6-417A-A3A5-D97D7052CD71}"/>
    <cellStyle name="Normal 2 4 5 4 4 2 2 3" xfId="24970" xr:uid="{0556CF5C-B96D-4DC9-B7DC-7456A88ECA5A}"/>
    <cellStyle name="Normal 2 4 5 4 4 2 3" xfId="12318" xr:uid="{B141BA03-6DB0-4C0B-A47E-60072A797AE2}"/>
    <cellStyle name="Normal 2 4 5 4 4 2 4" xfId="20753" xr:uid="{40CF8792-C26A-4009-8521-AECE912F76FD}"/>
    <cellStyle name="Normal 2 4 5 4 4 3" xfId="5941" xr:uid="{00000000-0005-0000-0000-0000BA100000}"/>
    <cellStyle name="Normal 2 4 5 4 4 3 2" xfId="14391" xr:uid="{4327A002-28F0-40BA-9D1D-5B1D98A82A31}"/>
    <cellStyle name="Normal 2 4 5 4 4 3 3" xfId="22825" xr:uid="{6ED569D5-8344-4BC0-99F9-5BC874D34577}"/>
    <cellStyle name="Normal 2 4 5 4 4 4" xfId="10173" xr:uid="{C9C6AEDC-69C4-488B-B59F-F08B53437B07}"/>
    <cellStyle name="Normal 2 4 5 4 4 5" xfId="18608" xr:uid="{20CCEDC0-D906-4E00-8B99-FBDCDABF16DD}"/>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6D6C52B3-1330-4B77-BD09-2495F80512F7}"/>
    <cellStyle name="Normal 2 4 5 4 5 2 2 3" xfId="25383" xr:uid="{B530E399-B180-462E-9F37-390004EDBE1E}"/>
    <cellStyle name="Normal 2 4 5 4 5 2 3" xfId="12731" xr:uid="{8BFEAAEF-CDE8-41FA-9AE0-E92FE7517F71}"/>
    <cellStyle name="Normal 2 4 5 4 5 2 4" xfId="21166" xr:uid="{30ED51CB-281E-429F-B930-5BF0492BE350}"/>
    <cellStyle name="Normal 2 4 5 4 5 3" xfId="6354" xr:uid="{00000000-0005-0000-0000-0000BE100000}"/>
    <cellStyle name="Normal 2 4 5 4 5 3 2" xfId="14804" xr:uid="{18E968A3-C55F-43E8-B57F-A7E0ED4812A7}"/>
    <cellStyle name="Normal 2 4 5 4 5 3 3" xfId="23238" xr:uid="{DC91358B-3C08-459D-859D-EE37D08ED566}"/>
    <cellStyle name="Normal 2 4 5 4 5 4" xfId="10586" xr:uid="{78E41265-7CBE-4625-98AB-D1A8C4FAAA87}"/>
    <cellStyle name="Normal 2 4 5 4 5 5" xfId="19021" xr:uid="{68D14043-56E1-44EA-BAFB-6CF6C2F45DBC}"/>
    <cellStyle name="Normal 2 4 5 4 6" xfId="2484" xr:uid="{00000000-0005-0000-0000-0000BF100000}"/>
    <cellStyle name="Normal 2 4 5 4 6 2" xfId="6767" xr:uid="{00000000-0005-0000-0000-0000C0100000}"/>
    <cellStyle name="Normal 2 4 5 4 6 2 2" xfId="15217" xr:uid="{CE40FA14-EFB8-434B-BF39-3391A156EC5D}"/>
    <cellStyle name="Normal 2 4 5 4 6 2 3" xfId="23651" xr:uid="{E235BA9F-9C82-451F-9676-7CCF01A729B6}"/>
    <cellStyle name="Normal 2 4 5 4 6 3" xfId="10999" xr:uid="{7ACF32B0-8BBF-46B9-BBC6-5415BE8E601F}"/>
    <cellStyle name="Normal 2 4 5 4 6 4" xfId="19434" xr:uid="{07146705-B0A9-4B76-9193-455C28CFA658}"/>
    <cellStyle name="Normal 2 4 5 4 7" xfId="4701" xr:uid="{00000000-0005-0000-0000-0000C1100000}"/>
    <cellStyle name="Normal 2 4 5 4 7 2" xfId="13151" xr:uid="{4DA5F9EF-5F06-4467-BFCC-A4EEEC5C8004}"/>
    <cellStyle name="Normal 2 4 5 4 7 3" xfId="21585" xr:uid="{87302842-7C67-4D29-BA06-1D23A346B910}"/>
    <cellStyle name="Normal 2 4 5 4 8" xfId="8933" xr:uid="{44C26A1E-869B-4F4A-BF7A-D64DC571C421}"/>
    <cellStyle name="Normal 2 4 5 4 9" xfId="17368" xr:uid="{5F132349-F41C-4F32-AC8D-05E285E860B4}"/>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862F79E7-7AC9-4CE3-9139-D51BD7DD4BD8}"/>
    <cellStyle name="Normal 2 4 5 5 2 2 3" xfId="24137" xr:uid="{B3DD4879-81BF-4AE3-93A0-FB6B8761460A}"/>
    <cellStyle name="Normal 2 4 5 5 2 3" xfId="11485" xr:uid="{EA037D95-FAD8-4783-9283-0177FA5CE6F6}"/>
    <cellStyle name="Normal 2 4 5 5 2 4" xfId="19920" xr:uid="{4C6A0D79-A620-4391-96CC-40F30F7E7342}"/>
    <cellStyle name="Normal 2 4 5 5 3" xfId="5108" xr:uid="{00000000-0005-0000-0000-0000C5100000}"/>
    <cellStyle name="Normal 2 4 5 5 3 2" xfId="13558" xr:uid="{46002A95-5ADA-41D9-82CB-7B13A83CEA83}"/>
    <cellStyle name="Normal 2 4 5 5 3 3" xfId="21992" xr:uid="{2EE42456-66FD-4859-87BF-13073498C1E8}"/>
    <cellStyle name="Normal 2 4 5 5 4" xfId="9340" xr:uid="{5B78B1FA-ADF8-4527-9DF0-5299BCA4A54F}"/>
    <cellStyle name="Normal 2 4 5 5 5" xfId="17775" xr:uid="{B5B0FB9B-692C-4A12-B816-315F19ED5B63}"/>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C5DFCE65-2D1F-440E-AD05-F55851F74F97}"/>
    <cellStyle name="Normal 2 4 5 6 2 2 3" xfId="24550" xr:uid="{C01FCADB-2BA9-4107-B8F6-15EF172B63C1}"/>
    <cellStyle name="Normal 2 4 5 6 2 3" xfId="11898" xr:uid="{483C1FBA-648C-49D8-B38F-793BA5BAC027}"/>
    <cellStyle name="Normal 2 4 5 6 2 4" xfId="20333" xr:uid="{8ED9D471-FCC9-40F3-B429-DC80D1B6275A}"/>
    <cellStyle name="Normal 2 4 5 6 3" xfId="5521" xr:uid="{00000000-0005-0000-0000-0000C9100000}"/>
    <cellStyle name="Normal 2 4 5 6 3 2" xfId="13971" xr:uid="{82A267C5-403C-49DF-876D-7184CBC65E51}"/>
    <cellStyle name="Normal 2 4 5 6 3 3" xfId="22405" xr:uid="{05E3EE98-09FF-43CC-B626-3D9A15A28CF0}"/>
    <cellStyle name="Normal 2 4 5 6 4" xfId="9753" xr:uid="{A0E5E37F-DAA4-465C-A22E-BAF06BC36395}"/>
    <cellStyle name="Normal 2 4 5 6 5" xfId="18188" xr:uid="{598399EA-F233-485C-B363-5526568A300A}"/>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5B64EBFF-8E38-46A0-9F04-C2423C3AD00E}"/>
    <cellStyle name="Normal 2 4 5 7 2 2 3" xfId="24963" xr:uid="{7F987EFC-1793-4D25-A355-A0F0760B272D}"/>
    <cellStyle name="Normal 2 4 5 7 2 3" xfId="12311" xr:uid="{A0FF19E9-ED5A-415B-AB04-9BA9B05FCBB6}"/>
    <cellStyle name="Normal 2 4 5 7 2 4" xfId="20746" xr:uid="{33CA7F95-7053-4938-8ACC-2E9CCA630A37}"/>
    <cellStyle name="Normal 2 4 5 7 3" xfId="5934" xr:uid="{00000000-0005-0000-0000-0000CD100000}"/>
    <cellStyle name="Normal 2 4 5 7 3 2" xfId="14384" xr:uid="{C7BE67AB-0682-405F-8736-0996375D972F}"/>
    <cellStyle name="Normal 2 4 5 7 3 3" xfId="22818" xr:uid="{53A2BFF5-1A0A-4B1A-A9FC-717DB90B6905}"/>
    <cellStyle name="Normal 2 4 5 7 4" xfId="10166" xr:uid="{A79C6F16-90C9-4533-99EB-58E0A021E676}"/>
    <cellStyle name="Normal 2 4 5 7 5" xfId="18601" xr:uid="{28ED5D32-389A-4502-906C-BFA7B2C06951}"/>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F50AEAC3-0C78-475C-9AE5-8EF39BE777E9}"/>
    <cellStyle name="Normal 2 4 5 8 2 2 3" xfId="25376" xr:uid="{2ACFB237-E9FF-4749-9C32-638A2637D18D}"/>
    <cellStyle name="Normal 2 4 5 8 2 3" xfId="12724" xr:uid="{FFC69A41-B1E8-46F9-A955-94EA6C620A17}"/>
    <cellStyle name="Normal 2 4 5 8 2 4" xfId="21159" xr:uid="{AF8889C6-90B9-4A08-BE4C-25720F816F73}"/>
    <cellStyle name="Normal 2 4 5 8 3" xfId="6347" xr:uid="{00000000-0005-0000-0000-0000D1100000}"/>
    <cellStyle name="Normal 2 4 5 8 3 2" xfId="14797" xr:uid="{1A67A23F-1CD4-4CB9-8B01-508D5094C625}"/>
    <cellStyle name="Normal 2 4 5 8 3 3" xfId="23231" xr:uid="{7FF90760-6E03-491C-99F9-9B9EB43491E5}"/>
    <cellStyle name="Normal 2 4 5 8 4" xfId="10579" xr:uid="{7F116575-8208-47EF-B9A9-B5C88F20DA90}"/>
    <cellStyle name="Normal 2 4 5 8 5" xfId="19014" xr:uid="{67950358-4E58-48D2-BF39-87068C787F7A}"/>
    <cellStyle name="Normal 2 4 5 9" xfId="2477" xr:uid="{00000000-0005-0000-0000-0000D2100000}"/>
    <cellStyle name="Normal 2 4 5 9 2" xfId="6760" xr:uid="{00000000-0005-0000-0000-0000D3100000}"/>
    <cellStyle name="Normal 2 4 5 9 2 2" xfId="15210" xr:uid="{34BCFA9D-FC4F-4E67-8A31-02AF6781AB1E}"/>
    <cellStyle name="Normal 2 4 5 9 2 3" xfId="23644" xr:uid="{8C18820D-B220-4138-AC3C-791761D55669}"/>
    <cellStyle name="Normal 2 4 5 9 3" xfId="10992" xr:uid="{DC0EBEEF-4276-4625-A998-7A8AC9F5E79D}"/>
    <cellStyle name="Normal 2 4 5 9 4" xfId="19427" xr:uid="{E09A65EA-5268-4EE0-A52D-319968A0F39A}"/>
    <cellStyle name="Normal 2 4 6" xfId="311" xr:uid="{00000000-0005-0000-0000-0000D4100000}"/>
    <cellStyle name="Normal 2 4 7" xfId="312" xr:uid="{00000000-0005-0000-0000-0000D5100000}"/>
    <cellStyle name="Normal 2 4 7 10" xfId="17369" xr:uid="{4369E9DE-CB47-429A-ACE9-9C9CC130AA03}"/>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F610D8B4-4EC5-4493-ADF9-ADBAD2C2FB5E}"/>
    <cellStyle name="Normal 2 4 7 2 2 2 2 3" xfId="24146" xr:uid="{8AF81237-AD34-4CD8-8737-2A0424D67727}"/>
    <cellStyle name="Normal 2 4 7 2 2 2 3" xfId="11494" xr:uid="{40B35666-4EA9-484E-B603-42662565A60A}"/>
    <cellStyle name="Normal 2 4 7 2 2 2 4" xfId="19929" xr:uid="{C2A54DF3-0CAB-4E66-8C93-40A7DF4DAD5D}"/>
    <cellStyle name="Normal 2 4 7 2 2 3" xfId="5117" xr:uid="{00000000-0005-0000-0000-0000DA100000}"/>
    <cellStyle name="Normal 2 4 7 2 2 3 2" xfId="13567" xr:uid="{B0BFF16B-D80D-46C0-9DF9-17605E32DF20}"/>
    <cellStyle name="Normal 2 4 7 2 2 3 3" xfId="22001" xr:uid="{84D4936E-C5CA-449B-8E92-5CF87A4E06D9}"/>
    <cellStyle name="Normal 2 4 7 2 2 4" xfId="9349" xr:uid="{61374AFD-4050-4783-A3DC-FB41F41F1064}"/>
    <cellStyle name="Normal 2 4 7 2 2 5" xfId="17784" xr:uid="{31E188D8-C453-4C8B-8EC4-466469ACBD8F}"/>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8CEC50EC-C44A-4B61-8B37-4CD39E80C46A}"/>
    <cellStyle name="Normal 2 4 7 2 3 2 2 3" xfId="24559" xr:uid="{376FB2D7-9DDF-4CF0-9BB0-F8E3859359D9}"/>
    <cellStyle name="Normal 2 4 7 2 3 2 3" xfId="11907" xr:uid="{92A74846-CDE6-4D96-877F-9BFB70E04B06}"/>
    <cellStyle name="Normal 2 4 7 2 3 2 4" xfId="20342" xr:uid="{A04D275B-8482-420E-8C8D-7729A843070F}"/>
    <cellStyle name="Normal 2 4 7 2 3 3" xfId="5530" xr:uid="{00000000-0005-0000-0000-0000DE100000}"/>
    <cellStyle name="Normal 2 4 7 2 3 3 2" xfId="13980" xr:uid="{B7C9C018-B527-4EA2-A4B8-243E7C0D734C}"/>
    <cellStyle name="Normal 2 4 7 2 3 3 3" xfId="22414" xr:uid="{BB352935-D40D-49B1-AFDA-E6E68E193D9D}"/>
    <cellStyle name="Normal 2 4 7 2 3 4" xfId="9762" xr:uid="{77CDF892-E297-4479-B7B4-59E4C51496E7}"/>
    <cellStyle name="Normal 2 4 7 2 3 5" xfId="18197" xr:uid="{9851DDF0-8610-4EEC-8EA0-83D8DDD4BDDB}"/>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1A1C84B3-3ED0-4C21-A8FD-772AC01A1E4F}"/>
    <cellStyle name="Normal 2 4 7 2 4 2 2 3" xfId="24972" xr:uid="{1DC959A9-B374-4E4F-BB16-2236B2B9D81A}"/>
    <cellStyle name="Normal 2 4 7 2 4 2 3" xfId="12320" xr:uid="{30B5DE34-E0F3-4458-B1DE-07683846767E}"/>
    <cellStyle name="Normal 2 4 7 2 4 2 4" xfId="20755" xr:uid="{3935D07D-1EB7-47C7-991A-490E6B2AEB90}"/>
    <cellStyle name="Normal 2 4 7 2 4 3" xfId="5943" xr:uid="{00000000-0005-0000-0000-0000E2100000}"/>
    <cellStyle name="Normal 2 4 7 2 4 3 2" xfId="14393" xr:uid="{F9636385-5C6F-42A9-8ED4-24918F236BB1}"/>
    <cellStyle name="Normal 2 4 7 2 4 3 3" xfId="22827" xr:uid="{15D76AA1-CBC0-4257-8108-1B3228BCB23A}"/>
    <cellStyle name="Normal 2 4 7 2 4 4" xfId="10175" xr:uid="{91B83F51-CF1F-4747-B578-1AC2E94DB6F0}"/>
    <cellStyle name="Normal 2 4 7 2 4 5" xfId="18610" xr:uid="{EFEDE677-D5F1-43EE-AF4D-FA75DEE5B096}"/>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42DD16E9-0E06-4D3F-98AA-23829F27AAFE}"/>
    <cellStyle name="Normal 2 4 7 2 5 2 2 3" xfId="25385" xr:uid="{44D3243C-1798-4D4C-ADC6-B5F0043607BE}"/>
    <cellStyle name="Normal 2 4 7 2 5 2 3" xfId="12733" xr:uid="{CA248D28-5A9E-4462-BAD4-82F3B6C12ACD}"/>
    <cellStyle name="Normal 2 4 7 2 5 2 4" xfId="21168" xr:uid="{790F6BAB-FC3A-4095-9C08-C1779C5D87DF}"/>
    <cellStyle name="Normal 2 4 7 2 5 3" xfId="6356" xr:uid="{00000000-0005-0000-0000-0000E6100000}"/>
    <cellStyle name="Normal 2 4 7 2 5 3 2" xfId="14806" xr:uid="{4E1FF326-4236-44E1-AA64-57787B67E7CB}"/>
    <cellStyle name="Normal 2 4 7 2 5 3 3" xfId="23240" xr:uid="{E1CE6D3C-CFAA-42D2-8117-948F7506CC13}"/>
    <cellStyle name="Normal 2 4 7 2 5 4" xfId="10588" xr:uid="{274354A9-D4DB-488F-B1DE-070A736B0E30}"/>
    <cellStyle name="Normal 2 4 7 2 5 5" xfId="19023" xr:uid="{8C18612B-C97C-4854-9C8B-177B7F9DFE71}"/>
    <cellStyle name="Normal 2 4 7 2 6" xfId="2486" xr:uid="{00000000-0005-0000-0000-0000E7100000}"/>
    <cellStyle name="Normal 2 4 7 2 6 2" xfId="6769" xr:uid="{00000000-0005-0000-0000-0000E8100000}"/>
    <cellStyle name="Normal 2 4 7 2 6 2 2" xfId="15219" xr:uid="{E1AFCF79-68BB-47EB-8903-8DF9BA0E380D}"/>
    <cellStyle name="Normal 2 4 7 2 6 2 3" xfId="23653" xr:uid="{2C770340-9150-4A33-A4DE-426BF7670C70}"/>
    <cellStyle name="Normal 2 4 7 2 6 3" xfId="11001" xr:uid="{35EC6211-2305-4F05-86EB-FBD25DC52661}"/>
    <cellStyle name="Normal 2 4 7 2 6 4" xfId="19436" xr:uid="{E97649CA-ED23-4FA3-AA3E-B0BCCA37089E}"/>
    <cellStyle name="Normal 2 4 7 2 7" xfId="4703" xr:uid="{00000000-0005-0000-0000-0000E9100000}"/>
    <cellStyle name="Normal 2 4 7 2 7 2" xfId="13153" xr:uid="{F55E9081-502F-4E8D-B5F3-936C7063FB22}"/>
    <cellStyle name="Normal 2 4 7 2 7 3" xfId="21587" xr:uid="{44A6B93E-A3A8-407E-9C7B-93B669A3D466}"/>
    <cellStyle name="Normal 2 4 7 2 8" xfId="8935" xr:uid="{10E48E23-773B-4EEB-8FF1-61D5A5584E6A}"/>
    <cellStyle name="Normal 2 4 7 2 9" xfId="17370" xr:uid="{E76FF2A3-1AA1-40B9-81D7-7A44CCAE4361}"/>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451F1D49-6CFB-4602-84C1-C6921CF26C0E}"/>
    <cellStyle name="Normal 2 4 7 3 2 2 3" xfId="24145" xr:uid="{95D61BB5-844C-4194-B195-A2AC0116AA79}"/>
    <cellStyle name="Normal 2 4 7 3 2 3" xfId="11493" xr:uid="{FE8262AD-6E22-4478-BE99-DB9C29F0900B}"/>
    <cellStyle name="Normal 2 4 7 3 2 4" xfId="19928" xr:uid="{5A004C57-8414-4D8D-8F62-4AD584158267}"/>
    <cellStyle name="Normal 2 4 7 3 3" xfId="5116" xr:uid="{00000000-0005-0000-0000-0000ED100000}"/>
    <cellStyle name="Normal 2 4 7 3 3 2" xfId="13566" xr:uid="{2362577F-7A1B-4D9E-A1C5-CCF38CB2C3AA}"/>
    <cellStyle name="Normal 2 4 7 3 3 3" xfId="22000" xr:uid="{4E4041BE-1138-4283-AB1D-3877BBFBA29C}"/>
    <cellStyle name="Normal 2 4 7 3 4" xfId="9348" xr:uid="{3D7D3084-9804-400A-8EE6-62AD314D0B6E}"/>
    <cellStyle name="Normal 2 4 7 3 5" xfId="17783" xr:uid="{98892435-76B9-470E-87EF-DABA8DB4631D}"/>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6F853590-3366-46D2-AEA1-CA9F64672306}"/>
    <cellStyle name="Normal 2 4 7 4 2 2 3" xfId="24558" xr:uid="{47541D7F-D537-4074-B478-DB5D5C42CD7F}"/>
    <cellStyle name="Normal 2 4 7 4 2 3" xfId="11906" xr:uid="{28DD2E1B-5220-45D8-84EE-803B485E6F30}"/>
    <cellStyle name="Normal 2 4 7 4 2 4" xfId="20341" xr:uid="{51EBE541-2592-4DD3-AE3F-DAE958E4000D}"/>
    <cellStyle name="Normal 2 4 7 4 3" xfId="5529" xr:uid="{00000000-0005-0000-0000-0000F1100000}"/>
    <cellStyle name="Normal 2 4 7 4 3 2" xfId="13979" xr:uid="{5170C1CE-385E-44E4-86CE-BECBD66C907E}"/>
    <cellStyle name="Normal 2 4 7 4 3 3" xfId="22413" xr:uid="{1E7ED1FD-FB98-4384-92E9-CC742F68067E}"/>
    <cellStyle name="Normal 2 4 7 4 4" xfId="9761" xr:uid="{B0D75858-C241-4514-B257-3E6B340ABEAC}"/>
    <cellStyle name="Normal 2 4 7 4 5" xfId="18196" xr:uid="{825092D6-5CCA-4BCC-86BF-F42B9F5ADC7B}"/>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6ADA0D8D-528D-4E7B-9E51-0296B146B1D9}"/>
    <cellStyle name="Normal 2 4 7 5 2 2 3" xfId="24971" xr:uid="{E4BF62D9-ECF9-42F4-9E14-16E0FB6C5361}"/>
    <cellStyle name="Normal 2 4 7 5 2 3" xfId="12319" xr:uid="{2A4FD099-B5E9-4BEE-9977-443F4D8E602E}"/>
    <cellStyle name="Normal 2 4 7 5 2 4" xfId="20754" xr:uid="{0241D94A-1FA4-4AF8-A65A-9ED490E5A848}"/>
    <cellStyle name="Normal 2 4 7 5 3" xfId="5942" xr:uid="{00000000-0005-0000-0000-0000F5100000}"/>
    <cellStyle name="Normal 2 4 7 5 3 2" xfId="14392" xr:uid="{F1358ADC-A001-4DD4-B1E4-46081E8505A8}"/>
    <cellStyle name="Normal 2 4 7 5 3 3" xfId="22826" xr:uid="{A0AC8A3C-D588-4367-9543-FD5CFAA446B6}"/>
    <cellStyle name="Normal 2 4 7 5 4" xfId="10174" xr:uid="{672EE57C-F639-43B8-86B4-11313F35DCDF}"/>
    <cellStyle name="Normal 2 4 7 5 5" xfId="18609" xr:uid="{DA5F85DE-1279-44D5-8352-9FC3626D34B3}"/>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E1AFC185-4BEE-47D9-ACA7-54B55BD16B93}"/>
    <cellStyle name="Normal 2 4 7 6 2 2 3" xfId="25384" xr:uid="{2B1D622F-45D2-45C3-92C3-48A34132B917}"/>
    <cellStyle name="Normal 2 4 7 6 2 3" xfId="12732" xr:uid="{FC6DCC05-251B-4FD1-B500-DAA5F21E4A81}"/>
    <cellStyle name="Normal 2 4 7 6 2 4" xfId="21167" xr:uid="{5A345568-0223-462D-8580-F25260332224}"/>
    <cellStyle name="Normal 2 4 7 6 3" xfId="6355" xr:uid="{00000000-0005-0000-0000-0000F9100000}"/>
    <cellStyle name="Normal 2 4 7 6 3 2" xfId="14805" xr:uid="{E162440E-0287-4F32-B1A4-127BBDD0FD76}"/>
    <cellStyle name="Normal 2 4 7 6 3 3" xfId="23239" xr:uid="{33B47400-0FEF-4D7A-888A-DA14FA3CA326}"/>
    <cellStyle name="Normal 2 4 7 6 4" xfId="10587" xr:uid="{70EE9799-ADC1-409B-9E68-0018915DE7D3}"/>
    <cellStyle name="Normal 2 4 7 6 5" xfId="19022" xr:uid="{46C7C310-49F8-4E71-8F08-691C4B5238D0}"/>
    <cellStyle name="Normal 2 4 7 7" xfId="2485" xr:uid="{00000000-0005-0000-0000-0000FA100000}"/>
    <cellStyle name="Normal 2 4 7 7 2" xfId="6768" xr:uid="{00000000-0005-0000-0000-0000FB100000}"/>
    <cellStyle name="Normal 2 4 7 7 2 2" xfId="15218" xr:uid="{04433A8D-117A-42A0-8831-35DAB24E0773}"/>
    <cellStyle name="Normal 2 4 7 7 2 3" xfId="23652" xr:uid="{C186AC35-523C-4D98-9268-0FAE0262896D}"/>
    <cellStyle name="Normal 2 4 7 7 3" xfId="11000" xr:uid="{8A68754E-A142-4A1B-80F9-B8C8B2AC1017}"/>
    <cellStyle name="Normal 2 4 7 7 4" xfId="19435" xr:uid="{443873D3-94E2-402B-8661-5AF20267E3B6}"/>
    <cellStyle name="Normal 2 4 7 8" xfId="4702" xr:uid="{00000000-0005-0000-0000-0000FC100000}"/>
    <cellStyle name="Normal 2 4 7 8 2" xfId="13152" xr:uid="{7E4FFEF3-2EF0-4489-998F-1426BA859451}"/>
    <cellStyle name="Normal 2 4 7 8 3" xfId="21586" xr:uid="{4D000FA3-4C8D-4ECF-AD8B-596CCCDE359F}"/>
    <cellStyle name="Normal 2 4 7 9" xfId="8934" xr:uid="{8287F27B-359C-4FDE-BD43-08DC5EF308F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6DDF5F24-6FCA-4227-8F93-3984D7B42FE3}"/>
    <cellStyle name="Normal 2 4 8 2 2 2 3" xfId="24147" xr:uid="{B2F74508-B4B7-4038-BA58-74DB8D6063BB}"/>
    <cellStyle name="Normal 2 4 8 2 2 3" xfId="11495" xr:uid="{AA24F3AE-D8FA-490A-A1B2-3A9C0F4011C2}"/>
    <cellStyle name="Normal 2 4 8 2 2 4" xfId="19930" xr:uid="{6B776740-3160-405F-90D0-50F0D11D29E1}"/>
    <cellStyle name="Normal 2 4 8 2 3" xfId="5118" xr:uid="{00000000-0005-0000-0000-000001110000}"/>
    <cellStyle name="Normal 2 4 8 2 3 2" xfId="13568" xr:uid="{81763A22-9266-4AC1-8E8C-CE8A05E8327F}"/>
    <cellStyle name="Normal 2 4 8 2 3 3" xfId="22002" xr:uid="{FC37795C-D145-48FC-8347-F5061AFCD90A}"/>
    <cellStyle name="Normal 2 4 8 2 4" xfId="9350" xr:uid="{68A9DC12-094D-4D45-8EF0-59BDA2166D1C}"/>
    <cellStyle name="Normal 2 4 8 2 5" xfId="17785" xr:uid="{9230A71D-2B13-4EF0-A703-80A2533A12BD}"/>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45E5BDB5-B8E4-47D2-A24D-010E91F27884}"/>
    <cellStyle name="Normal 2 4 8 3 2 2 3" xfId="24560" xr:uid="{A811F727-EDD3-4A82-B202-8AB9B0FEB289}"/>
    <cellStyle name="Normal 2 4 8 3 2 3" xfId="11908" xr:uid="{D63FF3CF-7C44-4F2C-8B7D-17FA876C4945}"/>
    <cellStyle name="Normal 2 4 8 3 2 4" xfId="20343" xr:uid="{8C88548D-07DB-44F8-AAAC-5ABDECB4C72F}"/>
    <cellStyle name="Normal 2 4 8 3 3" xfId="5531" xr:uid="{00000000-0005-0000-0000-000005110000}"/>
    <cellStyle name="Normal 2 4 8 3 3 2" xfId="13981" xr:uid="{9037E857-1D0B-4107-9F74-D8599C4736BC}"/>
    <cellStyle name="Normal 2 4 8 3 3 3" xfId="22415" xr:uid="{A4CF449C-38B6-4983-9A25-E80092EDEB52}"/>
    <cellStyle name="Normal 2 4 8 3 4" xfId="9763" xr:uid="{A9914D0E-592C-4839-93F4-0AAE171F2A2A}"/>
    <cellStyle name="Normal 2 4 8 3 5" xfId="18198" xr:uid="{476350CF-0484-45CE-BBBE-0707BF2B11A9}"/>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F2019BBE-E4CB-488B-A770-5A446D77CEEE}"/>
    <cellStyle name="Normal 2 4 8 4 2 2 3" xfId="24973" xr:uid="{EE01D32B-9828-4B2D-9F17-BCC7583DF2A6}"/>
    <cellStyle name="Normal 2 4 8 4 2 3" xfId="12321" xr:uid="{45B9893E-3351-4A81-8571-405CAE567F90}"/>
    <cellStyle name="Normal 2 4 8 4 2 4" xfId="20756" xr:uid="{077FF667-9E90-455B-85C6-0615537950AC}"/>
    <cellStyle name="Normal 2 4 8 4 3" xfId="5944" xr:uid="{00000000-0005-0000-0000-000009110000}"/>
    <cellStyle name="Normal 2 4 8 4 3 2" xfId="14394" xr:uid="{B83CDD70-B4E8-498E-9B4F-C4F7B6F092A6}"/>
    <cellStyle name="Normal 2 4 8 4 3 3" xfId="22828" xr:uid="{7845BE28-E44E-48F5-9733-341CA1645EA4}"/>
    <cellStyle name="Normal 2 4 8 4 4" xfId="10176" xr:uid="{817EBF5B-9323-4B5C-8712-8C393CE83806}"/>
    <cellStyle name="Normal 2 4 8 4 5" xfId="18611" xr:uid="{22D2192F-3320-4304-91C1-759D7C31F569}"/>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6DA337C9-8531-49B6-AC0C-C9CB1B4C3318}"/>
    <cellStyle name="Normal 2 4 8 5 2 2 3" xfId="25386" xr:uid="{072D80FE-C63F-46FF-9FF9-387888E5366F}"/>
    <cellStyle name="Normal 2 4 8 5 2 3" xfId="12734" xr:uid="{F64F9C7B-0F39-4C83-87AB-85C856597613}"/>
    <cellStyle name="Normal 2 4 8 5 2 4" xfId="21169" xr:uid="{F06FA638-EF74-4A9E-BE6D-354587C8D53D}"/>
    <cellStyle name="Normal 2 4 8 5 3" xfId="6357" xr:uid="{00000000-0005-0000-0000-00000D110000}"/>
    <cellStyle name="Normal 2 4 8 5 3 2" xfId="14807" xr:uid="{95527074-4185-4063-9970-02F14504F9B4}"/>
    <cellStyle name="Normal 2 4 8 5 3 3" xfId="23241" xr:uid="{8CE20E91-1EC4-48B5-B43B-C5B17C4027E8}"/>
    <cellStyle name="Normal 2 4 8 5 4" xfId="10589" xr:uid="{1A561943-DB7D-4776-A6BA-951FFBC272E8}"/>
    <cellStyle name="Normal 2 4 8 5 5" xfId="19024" xr:uid="{D23F7218-7143-48D8-AA1D-68BDE2DFD481}"/>
    <cellStyle name="Normal 2 4 8 6" xfId="2487" xr:uid="{00000000-0005-0000-0000-00000E110000}"/>
    <cellStyle name="Normal 2 4 8 6 2" xfId="6770" xr:uid="{00000000-0005-0000-0000-00000F110000}"/>
    <cellStyle name="Normal 2 4 8 6 2 2" xfId="15220" xr:uid="{EEF0B277-C51F-42A5-B53B-67DDDE1E278C}"/>
    <cellStyle name="Normal 2 4 8 6 2 3" xfId="23654" xr:uid="{2554ACFF-CF32-49C9-91A6-ABECFA4B54B3}"/>
    <cellStyle name="Normal 2 4 8 6 3" xfId="11002" xr:uid="{E691634F-C323-47D4-AF2E-AEE922EBE9B8}"/>
    <cellStyle name="Normal 2 4 8 6 4" xfId="19437" xr:uid="{15A648BB-E979-445D-9835-8EFAA550C7CA}"/>
    <cellStyle name="Normal 2 4 8 7" xfId="4704" xr:uid="{00000000-0005-0000-0000-000010110000}"/>
    <cellStyle name="Normal 2 4 8 7 2" xfId="13154" xr:uid="{34428D54-61C9-48B5-BDE2-FE771459CB35}"/>
    <cellStyle name="Normal 2 4 8 7 3" xfId="21588" xr:uid="{0625FD53-C1BA-4E75-BB11-8ED22E2543D9}"/>
    <cellStyle name="Normal 2 4 8 8" xfId="8936" xr:uid="{08123D58-4792-4AF5-A356-81DE6645CB23}"/>
    <cellStyle name="Normal 2 4 8 9" xfId="17371" xr:uid="{493C439D-22BB-41E5-9F4F-B1CC914FE8DF}"/>
    <cellStyle name="Normal 2 5" xfId="315" xr:uid="{00000000-0005-0000-0000-000011110000}"/>
    <cellStyle name="Normal 2 5 10" xfId="4705" xr:uid="{00000000-0005-0000-0000-000012110000}"/>
    <cellStyle name="Normal 2 5 10 2" xfId="13155" xr:uid="{A70338CF-8E04-4766-AF8D-AAED7141A8C7}"/>
    <cellStyle name="Normal 2 5 10 3" xfId="21589" xr:uid="{EF48FB79-7E43-4FFE-9406-0B07CB025E91}"/>
    <cellStyle name="Normal 2 5 11" xfId="8937" xr:uid="{7F7C0005-13BC-41E8-95E4-0BA2A764A67A}"/>
    <cellStyle name="Normal 2 5 12" xfId="17372" xr:uid="{CFC3F30A-1592-4B6A-9974-E63BB4DC8D16}"/>
    <cellStyle name="Normal 2 5 2" xfId="316" xr:uid="{00000000-0005-0000-0000-000013110000}"/>
    <cellStyle name="Normal 2 5 3" xfId="317" xr:uid="{00000000-0005-0000-0000-000014110000}"/>
    <cellStyle name="Normal 2 5 4" xfId="318" xr:uid="{00000000-0005-0000-0000-000015110000}"/>
    <cellStyle name="Normal 2 5 4 10" xfId="8938" xr:uid="{EBF2E07C-6459-4ADF-8E1D-96273B0106D7}"/>
    <cellStyle name="Normal 2 5 4 11" xfId="17373" xr:uid="{D38DEFA8-89A8-4A31-9922-90A2266B4F94}"/>
    <cellStyle name="Normal 2 5 4 2" xfId="319" xr:uid="{00000000-0005-0000-0000-000016110000}"/>
    <cellStyle name="Normal 2 5 4 2 10" xfId="17374" xr:uid="{BDEB3814-26C1-4E5E-AEAC-5F7C6755BF7A}"/>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58CB382A-2FF6-461F-A4B5-43BFE86435DC}"/>
    <cellStyle name="Normal 2 5 4 2 2 2 2 2 3" xfId="24151" xr:uid="{4540A256-D2A3-4365-B2D1-563DC33F0BF3}"/>
    <cellStyle name="Normal 2 5 4 2 2 2 2 3" xfId="11499" xr:uid="{19395127-DD95-4127-9A11-43F0DBC4841D}"/>
    <cellStyle name="Normal 2 5 4 2 2 2 2 4" xfId="19934" xr:uid="{9810F38B-83F2-4088-BFC2-760076BBA93F}"/>
    <cellStyle name="Normal 2 5 4 2 2 2 3" xfId="5122" xr:uid="{00000000-0005-0000-0000-00001B110000}"/>
    <cellStyle name="Normal 2 5 4 2 2 2 3 2" xfId="13572" xr:uid="{2ED8BC48-0FF9-4A52-A517-933FFB414F78}"/>
    <cellStyle name="Normal 2 5 4 2 2 2 3 3" xfId="22006" xr:uid="{7B8EA9F4-E12C-473C-B543-87112B2F3E2E}"/>
    <cellStyle name="Normal 2 5 4 2 2 2 4" xfId="9354" xr:uid="{033C6F32-F2B1-4D89-A626-DE9D7B9B181B}"/>
    <cellStyle name="Normal 2 5 4 2 2 2 5" xfId="17789" xr:uid="{32F3584B-247D-4707-BBF6-D8996A08862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2920AE5C-3660-40AA-9BAE-0CEC35AE1AD8}"/>
    <cellStyle name="Normal 2 5 4 2 2 3 2 2 3" xfId="24564" xr:uid="{37ED331A-758F-43EF-A292-494789F54B43}"/>
    <cellStyle name="Normal 2 5 4 2 2 3 2 3" xfId="11912" xr:uid="{A4CBABE9-D541-4571-86D3-2E4D91BB2DFB}"/>
    <cellStyle name="Normal 2 5 4 2 2 3 2 4" xfId="20347" xr:uid="{4BE0E00A-BADB-4941-8497-035922310B6B}"/>
    <cellStyle name="Normal 2 5 4 2 2 3 3" xfId="5535" xr:uid="{00000000-0005-0000-0000-00001F110000}"/>
    <cellStyle name="Normal 2 5 4 2 2 3 3 2" xfId="13985" xr:uid="{F3E56B98-6BD3-4AA4-88A7-B8D25275147F}"/>
    <cellStyle name="Normal 2 5 4 2 2 3 3 3" xfId="22419" xr:uid="{BCD171F1-E141-46C8-B706-11B55C446139}"/>
    <cellStyle name="Normal 2 5 4 2 2 3 4" xfId="9767" xr:uid="{8EA086DD-2A51-4945-B954-C291866891F4}"/>
    <cellStyle name="Normal 2 5 4 2 2 3 5" xfId="18202" xr:uid="{77256D58-8218-43A6-A4DE-ADB4FF7C49F9}"/>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75019176-ED26-4974-B9B2-2974E8B02087}"/>
    <cellStyle name="Normal 2 5 4 2 2 4 2 2 3" xfId="24977" xr:uid="{72F56122-558E-41EC-AFFC-7B0C81A84391}"/>
    <cellStyle name="Normal 2 5 4 2 2 4 2 3" xfId="12325" xr:uid="{1A083AFB-660F-4593-BBE2-8A4A082406CE}"/>
    <cellStyle name="Normal 2 5 4 2 2 4 2 4" xfId="20760" xr:uid="{610C7540-C022-4036-8357-E5484B8DD8E4}"/>
    <cellStyle name="Normal 2 5 4 2 2 4 3" xfId="5948" xr:uid="{00000000-0005-0000-0000-000023110000}"/>
    <cellStyle name="Normal 2 5 4 2 2 4 3 2" xfId="14398" xr:uid="{EF3A9B18-9C21-439C-9260-E1C866B204FE}"/>
    <cellStyle name="Normal 2 5 4 2 2 4 3 3" xfId="22832" xr:uid="{81A7AFC4-3F54-47AD-8076-3F9A3CFD9DE1}"/>
    <cellStyle name="Normal 2 5 4 2 2 4 4" xfId="10180" xr:uid="{0F172DE0-9340-4191-8F86-344A85E74F2C}"/>
    <cellStyle name="Normal 2 5 4 2 2 4 5" xfId="18615" xr:uid="{15905887-6A9B-4A16-889A-B63DED20D0D6}"/>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40DD2231-5A7F-4AE4-8C10-47566E5E99F0}"/>
    <cellStyle name="Normal 2 5 4 2 2 5 2 2 3" xfId="25390" xr:uid="{5253F5CF-BDFB-43AD-A9F2-3D0E0B033374}"/>
    <cellStyle name="Normal 2 5 4 2 2 5 2 3" xfId="12738" xr:uid="{72D12F8E-2CCE-431C-AE5A-180DF0EE90F1}"/>
    <cellStyle name="Normal 2 5 4 2 2 5 2 4" xfId="21173" xr:uid="{EE96DEC7-A948-40D2-A7F6-2E456D2CDF51}"/>
    <cellStyle name="Normal 2 5 4 2 2 5 3" xfId="6361" xr:uid="{00000000-0005-0000-0000-000027110000}"/>
    <cellStyle name="Normal 2 5 4 2 2 5 3 2" xfId="14811" xr:uid="{23064671-10F9-4372-8B7F-F7C7A8EE05C3}"/>
    <cellStyle name="Normal 2 5 4 2 2 5 3 3" xfId="23245" xr:uid="{FFBC7547-5F6C-42AB-A0EE-EA9FE1CE80E6}"/>
    <cellStyle name="Normal 2 5 4 2 2 5 4" xfId="10593" xr:uid="{F3518780-28A1-44B9-92A2-28752E54ADD8}"/>
    <cellStyle name="Normal 2 5 4 2 2 5 5" xfId="19028" xr:uid="{18BC3EC1-18BB-4D3B-8EBC-C37067C8CB03}"/>
    <cellStyle name="Normal 2 5 4 2 2 6" xfId="2491" xr:uid="{00000000-0005-0000-0000-000028110000}"/>
    <cellStyle name="Normal 2 5 4 2 2 6 2" xfId="6774" xr:uid="{00000000-0005-0000-0000-000029110000}"/>
    <cellStyle name="Normal 2 5 4 2 2 6 2 2" xfId="15224" xr:uid="{0FF1BAED-BBE2-42DC-B299-29D42C51F84A}"/>
    <cellStyle name="Normal 2 5 4 2 2 6 2 3" xfId="23658" xr:uid="{FFA5BE3A-0D91-4CEF-B790-DFF5B6FABB73}"/>
    <cellStyle name="Normal 2 5 4 2 2 6 3" xfId="11006" xr:uid="{FFB45F04-9CA1-4D3D-B61C-8241923E034E}"/>
    <cellStyle name="Normal 2 5 4 2 2 6 4" xfId="19441" xr:uid="{DE34C9EE-59C1-430B-8E00-7C2583B6EFBF}"/>
    <cellStyle name="Normal 2 5 4 2 2 7" xfId="4708" xr:uid="{00000000-0005-0000-0000-00002A110000}"/>
    <cellStyle name="Normal 2 5 4 2 2 7 2" xfId="13158" xr:uid="{7AE11FA6-52BB-41F3-9A22-4DEC1C4D9837}"/>
    <cellStyle name="Normal 2 5 4 2 2 7 3" xfId="21592" xr:uid="{56F188A2-A7FE-4D01-913E-CABFDF3D46EC}"/>
    <cellStyle name="Normal 2 5 4 2 2 8" xfId="8940" xr:uid="{00C06973-767D-4C2D-AD53-F742FB73FFE0}"/>
    <cellStyle name="Normal 2 5 4 2 2 9" xfId="17375" xr:uid="{69C562DF-D0A5-411C-BBCC-0CD5901618DC}"/>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53345D38-6090-4B35-9DF3-8594EA3E4BFD}"/>
    <cellStyle name="Normal 2 5 4 2 3 2 2 3" xfId="24150" xr:uid="{F0261812-E222-42E2-AE2A-71AA265742E6}"/>
    <cellStyle name="Normal 2 5 4 2 3 2 3" xfId="11498" xr:uid="{374CAF80-A374-4E7C-AA51-0103CA8D59D0}"/>
    <cellStyle name="Normal 2 5 4 2 3 2 4" xfId="19933" xr:uid="{C19CD079-FBD8-403E-BDEE-DA0C1EDAD560}"/>
    <cellStyle name="Normal 2 5 4 2 3 3" xfId="5121" xr:uid="{00000000-0005-0000-0000-00002E110000}"/>
    <cellStyle name="Normal 2 5 4 2 3 3 2" xfId="13571" xr:uid="{EF6BE46E-8062-4F9E-A9EC-7A87545EE3E8}"/>
    <cellStyle name="Normal 2 5 4 2 3 3 3" xfId="22005" xr:uid="{DA28A15C-A63C-4AEC-8F78-612C55CEB8B3}"/>
    <cellStyle name="Normal 2 5 4 2 3 4" xfId="9353" xr:uid="{0D3F9655-1DCC-47B0-9BE8-6EB967F67AA9}"/>
    <cellStyle name="Normal 2 5 4 2 3 5" xfId="17788" xr:uid="{6D2DCDC0-37EA-4973-B517-D33F958602C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B62417BD-060D-4DED-9A83-7FE66E9F4D21}"/>
    <cellStyle name="Normal 2 5 4 2 4 2 2 3" xfId="24563" xr:uid="{270FE473-8BA5-49FA-9B1E-65F7FEB97A37}"/>
    <cellStyle name="Normal 2 5 4 2 4 2 3" xfId="11911" xr:uid="{D7679B7F-0FF1-455C-88FD-C5326F9BC719}"/>
    <cellStyle name="Normal 2 5 4 2 4 2 4" xfId="20346" xr:uid="{0A79AAC8-CC79-401F-97B4-A2A936AA372A}"/>
    <cellStyle name="Normal 2 5 4 2 4 3" xfId="5534" xr:uid="{00000000-0005-0000-0000-000032110000}"/>
    <cellStyle name="Normal 2 5 4 2 4 3 2" xfId="13984" xr:uid="{7A02445F-7EB7-4767-A043-F10384538F1D}"/>
    <cellStyle name="Normal 2 5 4 2 4 3 3" xfId="22418" xr:uid="{07DCD017-03FF-4366-BCE9-3901EA55EC83}"/>
    <cellStyle name="Normal 2 5 4 2 4 4" xfId="9766" xr:uid="{16D7C249-DA12-481C-B058-218D23A3A0EB}"/>
    <cellStyle name="Normal 2 5 4 2 4 5" xfId="18201" xr:uid="{14A5F0AE-E46A-4761-B039-8C3653FC6CA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A8C41898-B6EF-4179-8DFC-F85E81059DD6}"/>
    <cellStyle name="Normal 2 5 4 2 5 2 2 3" xfId="24976" xr:uid="{940A7F9C-D346-47AB-BE57-407A49822952}"/>
    <cellStyle name="Normal 2 5 4 2 5 2 3" xfId="12324" xr:uid="{8E8E5CBF-7C23-40D6-92E5-FCEFA0D46219}"/>
    <cellStyle name="Normal 2 5 4 2 5 2 4" xfId="20759" xr:uid="{E2FEF717-C677-4909-BF81-536A1BBA220A}"/>
    <cellStyle name="Normal 2 5 4 2 5 3" xfId="5947" xr:uid="{00000000-0005-0000-0000-000036110000}"/>
    <cellStyle name="Normal 2 5 4 2 5 3 2" xfId="14397" xr:uid="{4E9C6D46-9063-449E-8F3F-D18BBDDBDAF2}"/>
    <cellStyle name="Normal 2 5 4 2 5 3 3" xfId="22831" xr:uid="{F0DD5862-7D68-4A20-8959-3D536D605EF8}"/>
    <cellStyle name="Normal 2 5 4 2 5 4" xfId="10179" xr:uid="{A5CADF1F-0E03-4613-8879-2ED3F9DD6C2B}"/>
    <cellStyle name="Normal 2 5 4 2 5 5" xfId="18614" xr:uid="{5378429E-81B8-42DE-83B4-4704FBD07A51}"/>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B0BE9843-D11D-4E13-B6EF-60FA0CE68678}"/>
    <cellStyle name="Normal 2 5 4 2 6 2 2 3" xfId="25389" xr:uid="{2A2202A3-CA85-4671-9B22-61D333149688}"/>
    <cellStyle name="Normal 2 5 4 2 6 2 3" xfId="12737" xr:uid="{B999F8C2-F46D-4E53-9677-EA4EB61DF743}"/>
    <cellStyle name="Normal 2 5 4 2 6 2 4" xfId="21172" xr:uid="{A40D1BAC-413B-40BC-83B0-1180DD42A1AE}"/>
    <cellStyle name="Normal 2 5 4 2 6 3" xfId="6360" xr:uid="{00000000-0005-0000-0000-00003A110000}"/>
    <cellStyle name="Normal 2 5 4 2 6 3 2" xfId="14810" xr:uid="{823EE229-835D-4D83-A233-7737B703A3E1}"/>
    <cellStyle name="Normal 2 5 4 2 6 3 3" xfId="23244" xr:uid="{DE5A3254-7A98-4E64-95D7-A3E693F00D86}"/>
    <cellStyle name="Normal 2 5 4 2 6 4" xfId="10592" xr:uid="{2FD20A82-6196-44DE-AE5B-2BB68D6A0AC2}"/>
    <cellStyle name="Normal 2 5 4 2 6 5" xfId="19027" xr:uid="{D914FEBF-77D8-4A42-A8AD-F6CB4FF4A363}"/>
    <cellStyle name="Normal 2 5 4 2 7" xfId="2490" xr:uid="{00000000-0005-0000-0000-00003B110000}"/>
    <cellStyle name="Normal 2 5 4 2 7 2" xfId="6773" xr:uid="{00000000-0005-0000-0000-00003C110000}"/>
    <cellStyle name="Normal 2 5 4 2 7 2 2" xfId="15223" xr:uid="{F8B9A0AE-9608-45B8-A650-6B9027965274}"/>
    <cellStyle name="Normal 2 5 4 2 7 2 3" xfId="23657" xr:uid="{DB64A441-F022-422F-A06C-FC21A2092651}"/>
    <cellStyle name="Normal 2 5 4 2 7 3" xfId="11005" xr:uid="{7BDF5142-1022-4CB0-97B8-7AFEE814A203}"/>
    <cellStyle name="Normal 2 5 4 2 7 4" xfId="19440" xr:uid="{EC44C2ED-1BA1-4C13-9BD5-0958A4EC7F6F}"/>
    <cellStyle name="Normal 2 5 4 2 8" xfId="4707" xr:uid="{00000000-0005-0000-0000-00003D110000}"/>
    <cellStyle name="Normal 2 5 4 2 8 2" xfId="13157" xr:uid="{FFD19B1D-52F5-4C05-BF9C-FA1F333A55C0}"/>
    <cellStyle name="Normal 2 5 4 2 8 3" xfId="21591" xr:uid="{B2BB6AEF-30A8-40BE-8C78-ED1E3370E000}"/>
    <cellStyle name="Normal 2 5 4 2 9" xfId="8939" xr:uid="{FCEEF27F-FE04-4CCF-86F2-1B9419AE0A5C}"/>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D0EB2124-8244-4851-8CF8-6A6D2CBAE006}"/>
    <cellStyle name="Normal 2 5 4 3 2 2 2 3" xfId="24152" xr:uid="{C5B75E63-770B-46B4-8496-BB717EF54A7C}"/>
    <cellStyle name="Normal 2 5 4 3 2 2 3" xfId="11500" xr:uid="{95B4280C-719A-4CDD-95E6-166A3841834C}"/>
    <cellStyle name="Normal 2 5 4 3 2 2 4" xfId="19935" xr:uid="{69B07D9B-3E10-4B21-A045-67ACEE691DAF}"/>
    <cellStyle name="Normal 2 5 4 3 2 3" xfId="5123" xr:uid="{00000000-0005-0000-0000-000042110000}"/>
    <cellStyle name="Normal 2 5 4 3 2 3 2" xfId="13573" xr:uid="{6EC2C47D-EDF2-47E5-968D-1D8B400A3046}"/>
    <cellStyle name="Normal 2 5 4 3 2 3 3" xfId="22007" xr:uid="{7C985002-5F95-40CA-8DBA-6459522AEBA0}"/>
    <cellStyle name="Normal 2 5 4 3 2 4" xfId="9355" xr:uid="{2F2995D7-700E-40CA-9463-79791EBCC782}"/>
    <cellStyle name="Normal 2 5 4 3 2 5" xfId="17790" xr:uid="{AD85B64A-7D97-4E62-A502-76753E80CD3B}"/>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4DF0B85C-BED9-4AF7-8AC6-CE6C0B2C793A}"/>
    <cellStyle name="Normal 2 5 4 3 3 2 2 3" xfId="24565" xr:uid="{BF389BA2-1B32-47FD-95F3-73FDC128C81D}"/>
    <cellStyle name="Normal 2 5 4 3 3 2 3" xfId="11913" xr:uid="{A08AD59C-14C9-4839-A82E-BBB5ABA8B4B8}"/>
    <cellStyle name="Normal 2 5 4 3 3 2 4" xfId="20348" xr:uid="{468FC652-2684-4D97-90E0-4FC00BF2A8E4}"/>
    <cellStyle name="Normal 2 5 4 3 3 3" xfId="5536" xr:uid="{00000000-0005-0000-0000-000046110000}"/>
    <cellStyle name="Normal 2 5 4 3 3 3 2" xfId="13986" xr:uid="{2612224D-738C-43C9-B463-ACE8623B9A25}"/>
    <cellStyle name="Normal 2 5 4 3 3 3 3" xfId="22420" xr:uid="{6027BA3B-3FAE-452C-981F-12DBD1BD02BA}"/>
    <cellStyle name="Normal 2 5 4 3 3 4" xfId="9768" xr:uid="{ACA1824D-A773-4179-844D-00234B1804C3}"/>
    <cellStyle name="Normal 2 5 4 3 3 5" xfId="18203" xr:uid="{700044F4-CF57-4222-8BEC-D39EA9AF860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48F68C0F-EF2E-42F1-AC94-C8E423A9EFB6}"/>
    <cellStyle name="Normal 2 5 4 3 4 2 2 3" xfId="24978" xr:uid="{8DE72457-BD28-4E85-AE56-4E08694FE2E7}"/>
    <cellStyle name="Normal 2 5 4 3 4 2 3" xfId="12326" xr:uid="{2A7F5377-D3F7-476D-879B-42D80E62B0B7}"/>
    <cellStyle name="Normal 2 5 4 3 4 2 4" xfId="20761" xr:uid="{22AFBB8C-2327-4C07-99CF-0F724E3F6C93}"/>
    <cellStyle name="Normal 2 5 4 3 4 3" xfId="5949" xr:uid="{00000000-0005-0000-0000-00004A110000}"/>
    <cellStyle name="Normal 2 5 4 3 4 3 2" xfId="14399" xr:uid="{35D35F8F-C954-4005-819A-0798D5EF8EEC}"/>
    <cellStyle name="Normal 2 5 4 3 4 3 3" xfId="22833" xr:uid="{B794A292-CC7F-448A-A787-B8A10A686204}"/>
    <cellStyle name="Normal 2 5 4 3 4 4" xfId="10181" xr:uid="{A75C4237-D89F-4817-B987-A9A6EC80D6EF}"/>
    <cellStyle name="Normal 2 5 4 3 4 5" xfId="18616" xr:uid="{6BC9BD88-EFFB-42D4-9DCC-DCC652AD445B}"/>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319DB26B-A165-4D1B-8A9C-D0A34DC9A027}"/>
    <cellStyle name="Normal 2 5 4 3 5 2 2 3" xfId="25391" xr:uid="{E887FDF2-C728-4C1A-8453-9006EFCBB8BD}"/>
    <cellStyle name="Normal 2 5 4 3 5 2 3" xfId="12739" xr:uid="{0D6366C1-AFAB-4AFA-82D3-72A927E7A3B5}"/>
    <cellStyle name="Normal 2 5 4 3 5 2 4" xfId="21174" xr:uid="{55174F0A-5735-4284-8792-D8E36D17D466}"/>
    <cellStyle name="Normal 2 5 4 3 5 3" xfId="6362" xr:uid="{00000000-0005-0000-0000-00004E110000}"/>
    <cellStyle name="Normal 2 5 4 3 5 3 2" xfId="14812" xr:uid="{FAE527D0-CD51-4551-8786-148745E54DFB}"/>
    <cellStyle name="Normal 2 5 4 3 5 3 3" xfId="23246" xr:uid="{F7368909-CE29-4A1E-9CB9-79D7182A7707}"/>
    <cellStyle name="Normal 2 5 4 3 5 4" xfId="10594" xr:uid="{24D35649-F4A4-4FA3-AAF1-EAF0EEC70D73}"/>
    <cellStyle name="Normal 2 5 4 3 5 5" xfId="19029" xr:uid="{195432D7-B6B1-42F5-9423-D56BE9D8E907}"/>
    <cellStyle name="Normal 2 5 4 3 6" xfId="2492" xr:uid="{00000000-0005-0000-0000-00004F110000}"/>
    <cellStyle name="Normal 2 5 4 3 6 2" xfId="6775" xr:uid="{00000000-0005-0000-0000-000050110000}"/>
    <cellStyle name="Normal 2 5 4 3 6 2 2" xfId="15225" xr:uid="{A22CD382-337E-4B81-AD1F-3AFB4E5EE267}"/>
    <cellStyle name="Normal 2 5 4 3 6 2 3" xfId="23659" xr:uid="{AF535CFF-2ED0-4754-BD71-4012DE6CAE9A}"/>
    <cellStyle name="Normal 2 5 4 3 6 3" xfId="11007" xr:uid="{D9FAD4D1-1B8B-4DB0-B25C-C8CE7982BDC3}"/>
    <cellStyle name="Normal 2 5 4 3 6 4" xfId="19442" xr:uid="{F03114A1-0730-4223-A7BA-79126613DA68}"/>
    <cellStyle name="Normal 2 5 4 3 7" xfId="4709" xr:uid="{00000000-0005-0000-0000-000051110000}"/>
    <cellStyle name="Normal 2 5 4 3 7 2" xfId="13159" xr:uid="{BECE8351-8869-4126-8E83-BF14E86A4B9B}"/>
    <cellStyle name="Normal 2 5 4 3 7 3" xfId="21593" xr:uid="{BEC9D288-2B90-4036-8263-099560A637AE}"/>
    <cellStyle name="Normal 2 5 4 3 8" xfId="8941" xr:uid="{6FE77F0D-80DD-45DE-85DA-50B5A2A30EAE}"/>
    <cellStyle name="Normal 2 5 4 3 9" xfId="17376" xr:uid="{143FEC70-5C60-44FB-B0B2-FAA1F0189A41}"/>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26191463-476E-4098-8554-4C4A751F99F0}"/>
    <cellStyle name="Normal 2 5 4 4 2 2 3" xfId="24149" xr:uid="{2C8FFD7D-9F25-4498-A152-CFBEDB077F16}"/>
    <cellStyle name="Normal 2 5 4 4 2 3" xfId="11497" xr:uid="{2752C760-DD82-47A1-955B-56257226E190}"/>
    <cellStyle name="Normal 2 5 4 4 2 4" xfId="19932" xr:uid="{4139565A-492B-45C8-B3DE-8D99C320DDD0}"/>
    <cellStyle name="Normal 2 5 4 4 3" xfId="5120" xr:uid="{00000000-0005-0000-0000-000055110000}"/>
    <cellStyle name="Normal 2 5 4 4 3 2" xfId="13570" xr:uid="{4C2E7256-06D5-406E-AAF1-0DE080387F63}"/>
    <cellStyle name="Normal 2 5 4 4 3 3" xfId="22004" xr:uid="{5D126D5F-BB23-4FA2-B145-66CAD1E4FCC8}"/>
    <cellStyle name="Normal 2 5 4 4 4" xfId="9352" xr:uid="{343EE70A-8E66-4252-B1FE-F54B51E2B3FA}"/>
    <cellStyle name="Normal 2 5 4 4 5" xfId="17787" xr:uid="{FA7D2C0A-120B-4F75-94B7-F8C8B7462966}"/>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BC657AF4-2AEF-4129-806A-C8401307BDDC}"/>
    <cellStyle name="Normal 2 5 4 5 2 2 3" xfId="24562" xr:uid="{A889E378-2AE2-41AB-984A-F42BC4911A92}"/>
    <cellStyle name="Normal 2 5 4 5 2 3" xfId="11910" xr:uid="{4B668107-631A-4715-9E21-5CC92F4815E8}"/>
    <cellStyle name="Normal 2 5 4 5 2 4" xfId="20345" xr:uid="{A011C823-2A10-49F4-A757-A520FFCAFECC}"/>
    <cellStyle name="Normal 2 5 4 5 3" xfId="5533" xr:uid="{00000000-0005-0000-0000-000059110000}"/>
    <cellStyle name="Normal 2 5 4 5 3 2" xfId="13983" xr:uid="{CFF4B299-EC69-4CB3-AF2A-143AA3E4DF97}"/>
    <cellStyle name="Normal 2 5 4 5 3 3" xfId="22417" xr:uid="{80179D41-E6A0-4541-B639-BDE1FB4D69A6}"/>
    <cellStyle name="Normal 2 5 4 5 4" xfId="9765" xr:uid="{BE464B02-815E-402F-A3C4-05C0517AD1EB}"/>
    <cellStyle name="Normal 2 5 4 5 5" xfId="18200" xr:uid="{08BD3BA9-42D7-4765-B29F-076C18EB6E62}"/>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5EC03059-2B51-4220-98A5-E14EFA5F9E79}"/>
    <cellStyle name="Normal 2 5 4 6 2 2 3" xfId="24975" xr:uid="{D8E6380D-A6E5-43F9-A2AF-7931D57E0A5E}"/>
    <cellStyle name="Normal 2 5 4 6 2 3" xfId="12323" xr:uid="{729C22BE-055B-4CD6-8E38-618DC637F408}"/>
    <cellStyle name="Normal 2 5 4 6 2 4" xfId="20758" xr:uid="{67E1E8D2-216B-44CD-B17D-0D6A8606F91C}"/>
    <cellStyle name="Normal 2 5 4 6 3" xfId="5946" xr:uid="{00000000-0005-0000-0000-00005D110000}"/>
    <cellStyle name="Normal 2 5 4 6 3 2" xfId="14396" xr:uid="{D6C46D72-6161-4A76-8F36-29F3A205443E}"/>
    <cellStyle name="Normal 2 5 4 6 3 3" xfId="22830" xr:uid="{ADFBFF3A-2050-4B85-ACC1-0680A5EEE1B0}"/>
    <cellStyle name="Normal 2 5 4 6 4" xfId="10178" xr:uid="{04F4B9F8-51A7-48AB-A26B-D08BB45F1608}"/>
    <cellStyle name="Normal 2 5 4 6 5" xfId="18613" xr:uid="{26EEE60F-D56F-43A7-91C8-66B8823ACEFB}"/>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8DF09204-28AB-44D0-B476-5F835FA5ECA7}"/>
    <cellStyle name="Normal 2 5 4 7 2 2 3" xfId="25388" xr:uid="{80C24984-8963-4A2E-9FAD-8FEC79F9A67B}"/>
    <cellStyle name="Normal 2 5 4 7 2 3" xfId="12736" xr:uid="{8B9CD283-7E36-4F2D-8D27-B6C554E23543}"/>
    <cellStyle name="Normal 2 5 4 7 2 4" xfId="21171" xr:uid="{13353782-8BC5-4F97-B5FE-2697781648DB}"/>
    <cellStyle name="Normal 2 5 4 7 3" xfId="6359" xr:uid="{00000000-0005-0000-0000-000061110000}"/>
    <cellStyle name="Normal 2 5 4 7 3 2" xfId="14809" xr:uid="{1D6892C9-DC2F-498B-A5EF-FBBCC047A6B8}"/>
    <cellStyle name="Normal 2 5 4 7 3 3" xfId="23243" xr:uid="{D7891BD6-741D-4DD3-AC9D-14912FBC73EF}"/>
    <cellStyle name="Normal 2 5 4 7 4" xfId="10591" xr:uid="{AEF5B0E4-023E-4510-B89D-B1B467A83C54}"/>
    <cellStyle name="Normal 2 5 4 7 5" xfId="19026" xr:uid="{004FA21B-5AAE-47E6-9090-7AF2076BE0F8}"/>
    <cellStyle name="Normal 2 5 4 8" xfId="2489" xr:uid="{00000000-0005-0000-0000-000062110000}"/>
    <cellStyle name="Normal 2 5 4 8 2" xfId="6772" xr:uid="{00000000-0005-0000-0000-000063110000}"/>
    <cellStyle name="Normal 2 5 4 8 2 2" xfId="15222" xr:uid="{42763555-952D-4035-A7B2-B80D10CA8287}"/>
    <cellStyle name="Normal 2 5 4 8 2 3" xfId="23656" xr:uid="{96A300C8-4A2B-44FB-A780-CA3515B1A41B}"/>
    <cellStyle name="Normal 2 5 4 8 3" xfId="11004" xr:uid="{783BBA83-D28A-4B57-B67E-59ACCC5D8066}"/>
    <cellStyle name="Normal 2 5 4 8 4" xfId="19439" xr:uid="{51A9FB65-564C-436E-992C-F7F93A08152D}"/>
    <cellStyle name="Normal 2 5 4 9" xfId="4706" xr:uid="{00000000-0005-0000-0000-000064110000}"/>
    <cellStyle name="Normal 2 5 4 9 2" xfId="13156" xr:uid="{F9AC1F50-10AD-46FD-8562-B8D95663DED5}"/>
    <cellStyle name="Normal 2 5 4 9 3" xfId="21590" xr:uid="{4C5A8A25-540F-47DC-9F95-2EB8C549C286}"/>
    <cellStyle name="Normal 2 5 5" xfId="803" xr:uid="{00000000-0005-0000-0000-000065110000}"/>
    <cellStyle name="Normal 2 5 5 2" xfId="3042" xr:uid="{00000000-0005-0000-0000-000066110000}"/>
    <cellStyle name="Normal 2 5 5 2 2" xfId="7264" xr:uid="{00000000-0005-0000-0000-000067110000}"/>
    <cellStyle name="Normal 2 5 5 2 2 2" xfId="15714" xr:uid="{20A6A148-B76B-47D1-BF08-4FA7ACE0481C}"/>
    <cellStyle name="Normal 2 5 5 2 2 3" xfId="24148" xr:uid="{73D1345B-1E2D-4AE6-8D82-2B2E7800EBC6}"/>
    <cellStyle name="Normal 2 5 5 2 3" xfId="11496" xr:uid="{B7E1DA76-9B98-48CE-B55D-6E0CE8F7FAF3}"/>
    <cellStyle name="Normal 2 5 5 2 4" xfId="19931" xr:uid="{3D4C8715-AB8E-4DDA-9EDA-306DC022A159}"/>
    <cellStyle name="Normal 2 5 5 3" xfId="5119" xr:uid="{00000000-0005-0000-0000-000068110000}"/>
    <cellStyle name="Normal 2 5 5 3 2" xfId="13569" xr:uid="{5AC423FE-7826-4EDD-84F7-47951900358D}"/>
    <cellStyle name="Normal 2 5 5 3 3" xfId="22003" xr:uid="{4D481FCB-1345-44BE-9BA8-3BE3BE2742C8}"/>
    <cellStyle name="Normal 2 5 5 4" xfId="9351" xr:uid="{4F28FA2A-57D2-4D4F-83A4-C985050575C7}"/>
    <cellStyle name="Normal 2 5 5 5" xfId="17786" xr:uid="{EA5C044B-10BD-4891-97F5-855FBFD2F523}"/>
    <cellStyle name="Normal 2 5 6" xfId="1225" xr:uid="{00000000-0005-0000-0000-000069110000}"/>
    <cellStyle name="Normal 2 5 6 2" xfId="3455" xr:uid="{00000000-0005-0000-0000-00006A110000}"/>
    <cellStyle name="Normal 2 5 6 2 2" xfId="7677" xr:uid="{00000000-0005-0000-0000-00006B110000}"/>
    <cellStyle name="Normal 2 5 6 2 2 2" xfId="16127" xr:uid="{1FC490CB-E816-4356-B6FA-FA8CDEFB56C1}"/>
    <cellStyle name="Normal 2 5 6 2 2 3" xfId="24561" xr:uid="{8141C1E4-D56F-405B-98B6-6CF04A15DD05}"/>
    <cellStyle name="Normal 2 5 6 2 3" xfId="11909" xr:uid="{F79E92E7-C63B-498E-BB3F-27D551FACF32}"/>
    <cellStyle name="Normal 2 5 6 2 4" xfId="20344" xr:uid="{E0964045-D44F-4CE5-9283-0877296052CE}"/>
    <cellStyle name="Normal 2 5 6 3" xfId="5532" xr:uid="{00000000-0005-0000-0000-00006C110000}"/>
    <cellStyle name="Normal 2 5 6 3 2" xfId="13982" xr:uid="{05C623E4-158F-4ADE-85A9-2141FDB10CDE}"/>
    <cellStyle name="Normal 2 5 6 3 3" xfId="22416" xr:uid="{4B8450B5-E2A9-4D42-BF01-7BFDA52F2B63}"/>
    <cellStyle name="Normal 2 5 6 4" xfId="9764" xr:uid="{2587B07E-D33B-40C7-B1D9-0DF1A8F28A0B}"/>
    <cellStyle name="Normal 2 5 6 5" xfId="18199" xr:uid="{4338FB67-4D28-496D-BC57-6BC8491A4329}"/>
    <cellStyle name="Normal 2 5 7" xfId="1638" xr:uid="{00000000-0005-0000-0000-00006D110000}"/>
    <cellStyle name="Normal 2 5 7 2" xfId="3868" xr:uid="{00000000-0005-0000-0000-00006E110000}"/>
    <cellStyle name="Normal 2 5 7 2 2" xfId="8090" xr:uid="{00000000-0005-0000-0000-00006F110000}"/>
    <cellStyle name="Normal 2 5 7 2 2 2" xfId="16540" xr:uid="{9468E54C-96AC-4F12-A161-D6C1BAFC7DE2}"/>
    <cellStyle name="Normal 2 5 7 2 2 3" xfId="24974" xr:uid="{542CDDB0-04A2-411F-A979-888D88DFADAB}"/>
    <cellStyle name="Normal 2 5 7 2 3" xfId="12322" xr:uid="{FDAE5148-F04F-4FFE-9718-F6D764E9D391}"/>
    <cellStyle name="Normal 2 5 7 2 4" xfId="20757" xr:uid="{08894BCE-D65C-4F77-AF20-763057A213BC}"/>
    <cellStyle name="Normal 2 5 7 3" xfId="5945" xr:uid="{00000000-0005-0000-0000-000070110000}"/>
    <cellStyle name="Normal 2 5 7 3 2" xfId="14395" xr:uid="{8E163A1A-2DAC-47A5-8AB1-132D733024E2}"/>
    <cellStyle name="Normal 2 5 7 3 3" xfId="22829" xr:uid="{26EC49D8-1705-4F0F-B5E9-BD63B8C79A25}"/>
    <cellStyle name="Normal 2 5 7 4" xfId="10177" xr:uid="{0F4C74BE-A704-4C74-9874-891CEBDD02FF}"/>
    <cellStyle name="Normal 2 5 7 5" xfId="18612" xr:uid="{DAE8169B-0DD7-4298-9F70-9ECD4F3CC6E1}"/>
    <cellStyle name="Normal 2 5 8" xfId="2052" xr:uid="{00000000-0005-0000-0000-000071110000}"/>
    <cellStyle name="Normal 2 5 8 2" xfId="4281" xr:uid="{00000000-0005-0000-0000-000072110000}"/>
    <cellStyle name="Normal 2 5 8 2 2" xfId="8503" xr:uid="{00000000-0005-0000-0000-000073110000}"/>
    <cellStyle name="Normal 2 5 8 2 2 2" xfId="16953" xr:uid="{C5D8AA5E-B294-4655-846B-104329533228}"/>
    <cellStyle name="Normal 2 5 8 2 2 3" xfId="25387" xr:uid="{FE1C0C4E-A7E8-4F92-ACAC-3B3D6F4B807C}"/>
    <cellStyle name="Normal 2 5 8 2 3" xfId="12735" xr:uid="{17F59309-0DA0-4762-8FE7-3EC68C0A6FC1}"/>
    <cellStyle name="Normal 2 5 8 2 4" xfId="21170" xr:uid="{FB51C776-B344-4835-8212-290E0B6CF7C8}"/>
    <cellStyle name="Normal 2 5 8 3" xfId="6358" xr:uid="{00000000-0005-0000-0000-000074110000}"/>
    <cellStyle name="Normal 2 5 8 3 2" xfId="14808" xr:uid="{86BFBE11-D522-463B-A725-0830710BED6E}"/>
    <cellStyle name="Normal 2 5 8 3 3" xfId="23242" xr:uid="{B8D0166E-84AF-4796-96B7-F080A99C1A58}"/>
    <cellStyle name="Normal 2 5 8 4" xfId="10590" xr:uid="{050F0874-342D-44D0-97AD-1F73C7BD80E0}"/>
    <cellStyle name="Normal 2 5 8 5" xfId="19025" xr:uid="{930C1648-9AA9-45A4-84CC-8F43BD0EA8FB}"/>
    <cellStyle name="Normal 2 5 9" xfId="2488" xr:uid="{00000000-0005-0000-0000-000075110000}"/>
    <cellStyle name="Normal 2 5 9 2" xfId="6771" xr:uid="{00000000-0005-0000-0000-000076110000}"/>
    <cellStyle name="Normal 2 5 9 2 2" xfId="15221" xr:uid="{5C591A5A-442B-43AE-83EB-F75029A96302}"/>
    <cellStyle name="Normal 2 5 9 2 3" xfId="23655" xr:uid="{6EB86FC1-E73A-4FE1-833B-ECBD6507DE88}"/>
    <cellStyle name="Normal 2 5 9 3" xfId="11003" xr:uid="{44101250-A5FB-46C9-ACDB-EA11CB51A9ED}"/>
    <cellStyle name="Normal 2 5 9 4" xfId="19438" xr:uid="{204E8E30-E905-4E3F-8BBE-02894210411F}"/>
    <cellStyle name="Normal 2 6" xfId="322" xr:uid="{00000000-0005-0000-0000-000077110000}"/>
    <cellStyle name="Normal 2 7" xfId="769" xr:uid="{00000000-0005-0000-0000-000078110000}"/>
    <cellStyle name="Normal 2 8" xfId="4495" xr:uid="{00000000-0005-0000-0000-000079110000}"/>
    <cellStyle name="Normal 2 8 2" xfId="12947" xr:uid="{D64C4690-99FF-4B4D-B94B-92A13795DBFA}"/>
    <cellStyle name="Normal 3" xfId="323" xr:uid="{00000000-0005-0000-0000-00007A110000}"/>
    <cellStyle name="Normal 3 2" xfId="324" xr:uid="{00000000-0005-0000-0000-00007B110000}"/>
    <cellStyle name="Normal 3 2 10" xfId="8942" xr:uid="{8B827A00-F1F1-43C0-B7D7-03CCDD12AB23}"/>
    <cellStyle name="Normal 3 2 11" xfId="17377" xr:uid="{A9F9B6E5-81CA-4E2F-81BA-ABD7F0D7F4A7}"/>
    <cellStyle name="Normal 3 2 2" xfId="325" xr:uid="{00000000-0005-0000-0000-00007C110000}"/>
    <cellStyle name="Normal 3 2 2 2" xfId="810" xr:uid="{00000000-0005-0000-0000-00007D110000}"/>
    <cellStyle name="Normal 3 2 3" xfId="326" xr:uid="{00000000-0005-0000-0000-00007E110000}"/>
    <cellStyle name="Normal 3 2 3 10" xfId="8943" xr:uid="{1AD9DEC9-66DF-408C-94EB-1E3BAA160F4C}"/>
    <cellStyle name="Normal 3 2 3 11" xfId="17378" xr:uid="{92ED669E-B41D-4EAF-B2E7-3077E5DE37CF}"/>
    <cellStyle name="Normal 3 2 3 2" xfId="327" xr:uid="{00000000-0005-0000-0000-00007F110000}"/>
    <cellStyle name="Normal 3 2 3 2 10" xfId="17379" xr:uid="{2FE1F4DC-BAE8-497D-A9D2-860DA8059D5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99752F43-EC06-4562-AF53-AEF6A96D0EE0}"/>
    <cellStyle name="Normal 3 2 3 2 2 2 2 2 3" xfId="24156" xr:uid="{35BC7604-5F2A-4C8B-920E-14843BBF1A03}"/>
    <cellStyle name="Normal 3 2 3 2 2 2 2 3" xfId="11504" xr:uid="{741623E3-6EBE-4938-BFA6-F04123BF9BB6}"/>
    <cellStyle name="Normal 3 2 3 2 2 2 2 4" xfId="19939" xr:uid="{9EA8B562-1310-405B-924F-E34D248285D5}"/>
    <cellStyle name="Normal 3 2 3 2 2 2 3" xfId="5127" xr:uid="{00000000-0005-0000-0000-000084110000}"/>
    <cellStyle name="Normal 3 2 3 2 2 2 3 2" xfId="13577" xr:uid="{FE8A05A8-CD52-4E60-AFB6-093D4696FC41}"/>
    <cellStyle name="Normal 3 2 3 2 2 2 3 3" xfId="22011" xr:uid="{3082474A-DB2D-48FC-8791-74DB3202A148}"/>
    <cellStyle name="Normal 3 2 3 2 2 2 4" xfId="9359" xr:uid="{07B21ADA-AC94-47C8-A5E0-365F01F390E5}"/>
    <cellStyle name="Normal 3 2 3 2 2 2 5" xfId="17794" xr:uid="{2D91BE23-5269-448D-BD54-C1DD4B0DE3E5}"/>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503018D9-1648-47E5-BDCC-084CB0522F1B}"/>
    <cellStyle name="Normal 3 2 3 2 2 3 2 2 3" xfId="24569" xr:uid="{01874BC7-C14B-49BF-B234-3F538487D2FA}"/>
    <cellStyle name="Normal 3 2 3 2 2 3 2 3" xfId="11917" xr:uid="{8D54E0B5-636B-48DD-8CCA-2E44E4617652}"/>
    <cellStyle name="Normal 3 2 3 2 2 3 2 4" xfId="20352" xr:uid="{2BA2F026-9BC0-49E1-B03D-090DE23017FA}"/>
    <cellStyle name="Normal 3 2 3 2 2 3 3" xfId="5540" xr:uid="{00000000-0005-0000-0000-000088110000}"/>
    <cellStyle name="Normal 3 2 3 2 2 3 3 2" xfId="13990" xr:uid="{849701DE-7516-4901-9D5F-3E3A3ACC4AA7}"/>
    <cellStyle name="Normal 3 2 3 2 2 3 3 3" xfId="22424" xr:uid="{9ACF2C4C-737C-46BA-A018-6456AE7573FB}"/>
    <cellStyle name="Normal 3 2 3 2 2 3 4" xfId="9772" xr:uid="{56AB0634-F84C-4EF2-93BD-C8783609A0E4}"/>
    <cellStyle name="Normal 3 2 3 2 2 3 5" xfId="18207" xr:uid="{45648C92-75DD-4A19-A531-1A1B02EBB605}"/>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F97FC26C-954F-4CE3-901A-043408E439C0}"/>
    <cellStyle name="Normal 3 2 3 2 2 4 2 2 3" xfId="24982" xr:uid="{DA119DC1-90FB-4D00-BE42-7C21199FE236}"/>
    <cellStyle name="Normal 3 2 3 2 2 4 2 3" xfId="12330" xr:uid="{92DF13EE-4A01-436D-93B8-A6FED456B69D}"/>
    <cellStyle name="Normal 3 2 3 2 2 4 2 4" xfId="20765" xr:uid="{E361D612-51D2-474D-8136-CFD52A26D972}"/>
    <cellStyle name="Normal 3 2 3 2 2 4 3" xfId="5953" xr:uid="{00000000-0005-0000-0000-00008C110000}"/>
    <cellStyle name="Normal 3 2 3 2 2 4 3 2" xfId="14403" xr:uid="{786CC2BF-4F22-454D-A100-63195DD077E2}"/>
    <cellStyle name="Normal 3 2 3 2 2 4 3 3" xfId="22837" xr:uid="{E6892607-AF59-49C6-BEC5-AED38541E596}"/>
    <cellStyle name="Normal 3 2 3 2 2 4 4" xfId="10185" xr:uid="{C226E1C9-AE7C-4E9A-A801-D21E65BD7E45}"/>
    <cellStyle name="Normal 3 2 3 2 2 4 5" xfId="18620" xr:uid="{3B2DF7D2-49A8-4491-B476-C64D452DB96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2BE23FB5-44F0-4CF4-BCEC-065329CEAF26}"/>
    <cellStyle name="Normal 3 2 3 2 2 5 2 2 3" xfId="25395" xr:uid="{7479A182-0C4D-46C7-8BAA-478F255FEF4D}"/>
    <cellStyle name="Normal 3 2 3 2 2 5 2 3" xfId="12743" xr:uid="{D72EAB80-66A1-454D-B780-56138E8D65C6}"/>
    <cellStyle name="Normal 3 2 3 2 2 5 2 4" xfId="21178" xr:uid="{588EDBEE-4D29-464C-B02E-E91857A6A96E}"/>
    <cellStyle name="Normal 3 2 3 2 2 5 3" xfId="6366" xr:uid="{00000000-0005-0000-0000-000090110000}"/>
    <cellStyle name="Normal 3 2 3 2 2 5 3 2" xfId="14816" xr:uid="{7C594736-CE3F-4C7E-A2D3-C29A4E485A8A}"/>
    <cellStyle name="Normal 3 2 3 2 2 5 3 3" xfId="23250" xr:uid="{12AD71A8-B242-45C1-8A7F-DE639B5C0C3E}"/>
    <cellStyle name="Normal 3 2 3 2 2 5 4" xfId="10598" xr:uid="{0E35384D-8701-4FDB-91B8-FDA922F55A24}"/>
    <cellStyle name="Normal 3 2 3 2 2 5 5" xfId="19033" xr:uid="{09B7B1CC-3671-4C2F-B426-C4E6D52D05C9}"/>
    <cellStyle name="Normal 3 2 3 2 2 6" xfId="2496" xr:uid="{00000000-0005-0000-0000-000091110000}"/>
    <cellStyle name="Normal 3 2 3 2 2 6 2" xfId="6779" xr:uid="{00000000-0005-0000-0000-000092110000}"/>
    <cellStyle name="Normal 3 2 3 2 2 6 2 2" xfId="15229" xr:uid="{EE71736C-99BC-4E2A-A88D-093EA79C592C}"/>
    <cellStyle name="Normal 3 2 3 2 2 6 2 3" xfId="23663" xr:uid="{E5DADFC9-FB98-40EE-AB8A-DA6DB980AC0D}"/>
    <cellStyle name="Normal 3 2 3 2 2 6 3" xfId="11011" xr:uid="{B2B6E1A3-9238-4D5D-A2EB-05C7D8D9F153}"/>
    <cellStyle name="Normal 3 2 3 2 2 6 4" xfId="19446" xr:uid="{BE03F473-7ACC-4180-860C-906C01876072}"/>
    <cellStyle name="Normal 3 2 3 2 2 7" xfId="4713" xr:uid="{00000000-0005-0000-0000-000093110000}"/>
    <cellStyle name="Normal 3 2 3 2 2 7 2" xfId="13163" xr:uid="{049DBE4C-496A-4064-92D1-87304542CB23}"/>
    <cellStyle name="Normal 3 2 3 2 2 7 3" xfId="21597" xr:uid="{2014DEBE-CD34-48AC-8F30-BF234C164773}"/>
    <cellStyle name="Normal 3 2 3 2 2 8" xfId="8945" xr:uid="{E1318D2B-D71B-4681-BA43-4493164B7C3E}"/>
    <cellStyle name="Normal 3 2 3 2 2 9" xfId="17380" xr:uid="{4E4F3542-1F41-4489-9E15-4B3C30760C89}"/>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23207E2A-A4CC-4A0D-A870-4B078CB71E5C}"/>
    <cellStyle name="Normal 3 2 3 2 3 2 2 3" xfId="24155" xr:uid="{E512B114-3EC2-4B54-989C-D37072D08810}"/>
    <cellStyle name="Normal 3 2 3 2 3 2 3" xfId="11503" xr:uid="{C7F9BEAA-84AC-4071-9E99-FA23D12192E0}"/>
    <cellStyle name="Normal 3 2 3 2 3 2 4" xfId="19938" xr:uid="{8C19133C-F9DF-46EA-B3FC-7633723CBE38}"/>
    <cellStyle name="Normal 3 2 3 2 3 3" xfId="5126" xr:uid="{00000000-0005-0000-0000-000097110000}"/>
    <cellStyle name="Normal 3 2 3 2 3 3 2" xfId="13576" xr:uid="{828E2C77-7078-4026-979C-3273FF674CF0}"/>
    <cellStyle name="Normal 3 2 3 2 3 3 3" xfId="22010" xr:uid="{7DD215DE-DE7B-4461-8059-A97757CA7C40}"/>
    <cellStyle name="Normal 3 2 3 2 3 4" xfId="9358" xr:uid="{40579903-0039-4943-B0E0-E3C31AF270C4}"/>
    <cellStyle name="Normal 3 2 3 2 3 5" xfId="17793" xr:uid="{8D3C9EEF-0D63-4452-8210-A9B09E13AF1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87FA1036-F118-412D-A1CA-A439E330F787}"/>
    <cellStyle name="Normal 3 2 3 2 4 2 2 3" xfId="24568" xr:uid="{18726580-4B1A-46C8-A776-5C8539E6960E}"/>
    <cellStyle name="Normal 3 2 3 2 4 2 3" xfId="11916" xr:uid="{B6DDE512-8732-47E4-8B97-956209391904}"/>
    <cellStyle name="Normal 3 2 3 2 4 2 4" xfId="20351" xr:uid="{FAAFE8F8-07DF-454D-A60C-EDB35BA18514}"/>
    <cellStyle name="Normal 3 2 3 2 4 3" xfId="5539" xr:uid="{00000000-0005-0000-0000-00009B110000}"/>
    <cellStyle name="Normal 3 2 3 2 4 3 2" xfId="13989" xr:uid="{9C9EA63A-43B6-48E1-9859-BDB874F7AF7E}"/>
    <cellStyle name="Normal 3 2 3 2 4 3 3" xfId="22423" xr:uid="{C06A4E06-5897-42DF-8881-B30F469DAB34}"/>
    <cellStyle name="Normal 3 2 3 2 4 4" xfId="9771" xr:uid="{2F5B1821-5D49-43EE-BBF8-A5B1680D02D1}"/>
    <cellStyle name="Normal 3 2 3 2 4 5" xfId="18206" xr:uid="{B8AE3076-9D25-4444-ACDA-319CBF792FD6}"/>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9593552C-33E0-4D97-9FE9-2A1C55A730AF}"/>
    <cellStyle name="Normal 3 2 3 2 5 2 2 3" xfId="24981" xr:uid="{88F3783D-D248-48C6-9D88-B32ACD2EAE62}"/>
    <cellStyle name="Normal 3 2 3 2 5 2 3" xfId="12329" xr:uid="{42EA9E2F-4F1F-4FBB-A5AB-F1D9AFB97BDE}"/>
    <cellStyle name="Normal 3 2 3 2 5 2 4" xfId="20764" xr:uid="{AA85CB61-7125-463D-BAA1-CD5E961E0615}"/>
    <cellStyle name="Normal 3 2 3 2 5 3" xfId="5952" xr:uid="{00000000-0005-0000-0000-00009F110000}"/>
    <cellStyle name="Normal 3 2 3 2 5 3 2" xfId="14402" xr:uid="{C0C6267A-DB55-4FC7-A26A-F1E8FFC3F30F}"/>
    <cellStyle name="Normal 3 2 3 2 5 3 3" xfId="22836" xr:uid="{E8AD23DE-E18E-4464-AA0E-618044476FBA}"/>
    <cellStyle name="Normal 3 2 3 2 5 4" xfId="10184" xr:uid="{0F82EC5F-F6CB-41BB-8D3A-7833563E5627}"/>
    <cellStyle name="Normal 3 2 3 2 5 5" xfId="18619" xr:uid="{1FED15D4-4800-4E64-947D-6EADA88FF99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E3799D3F-3BF2-41ED-BF1B-525EFD58C6D7}"/>
    <cellStyle name="Normal 3 2 3 2 6 2 2 3" xfId="25394" xr:uid="{8820572B-34CA-434D-A8D1-A296F80EF150}"/>
    <cellStyle name="Normal 3 2 3 2 6 2 3" xfId="12742" xr:uid="{50F4CE98-2C8F-4A52-848E-75DF0B9A33C1}"/>
    <cellStyle name="Normal 3 2 3 2 6 2 4" xfId="21177" xr:uid="{BC208900-A293-4B08-9CCD-633583408B9C}"/>
    <cellStyle name="Normal 3 2 3 2 6 3" xfId="6365" xr:uid="{00000000-0005-0000-0000-0000A3110000}"/>
    <cellStyle name="Normal 3 2 3 2 6 3 2" xfId="14815" xr:uid="{F40C884E-7E37-4585-9295-F76FCBEF65F0}"/>
    <cellStyle name="Normal 3 2 3 2 6 3 3" xfId="23249" xr:uid="{B95FE031-3698-4576-8197-DF06B52C35B1}"/>
    <cellStyle name="Normal 3 2 3 2 6 4" xfId="10597" xr:uid="{60CE5C04-54A2-4F39-8DC2-B7803FF46EC8}"/>
    <cellStyle name="Normal 3 2 3 2 6 5" xfId="19032" xr:uid="{30B48C10-D4AB-45A0-B9E8-F02F34D1BE14}"/>
    <cellStyle name="Normal 3 2 3 2 7" xfId="2495" xr:uid="{00000000-0005-0000-0000-0000A4110000}"/>
    <cellStyle name="Normal 3 2 3 2 7 2" xfId="6778" xr:uid="{00000000-0005-0000-0000-0000A5110000}"/>
    <cellStyle name="Normal 3 2 3 2 7 2 2" xfId="15228" xr:uid="{504DFC77-E0A3-4BD8-8EAD-A96AA50D3C54}"/>
    <cellStyle name="Normal 3 2 3 2 7 2 3" xfId="23662" xr:uid="{57C92460-CDC9-4AD1-9AF7-9B3FC9D7DC77}"/>
    <cellStyle name="Normal 3 2 3 2 7 3" xfId="11010" xr:uid="{CEB70954-D0FD-4BBA-958D-A636B48B4A61}"/>
    <cellStyle name="Normal 3 2 3 2 7 4" xfId="19445" xr:uid="{1D8CD5B8-2DB8-443A-BD9C-744CCB098A2E}"/>
    <cellStyle name="Normal 3 2 3 2 8" xfId="4712" xr:uid="{00000000-0005-0000-0000-0000A6110000}"/>
    <cellStyle name="Normal 3 2 3 2 8 2" xfId="13162" xr:uid="{6A479933-0F29-4CEC-BF8C-F856C5D6B776}"/>
    <cellStyle name="Normal 3 2 3 2 8 3" xfId="21596" xr:uid="{B0EF4BE3-05A2-4215-8804-91425DA773DE}"/>
    <cellStyle name="Normal 3 2 3 2 9" xfId="8944" xr:uid="{3594D145-AF86-4FAE-88E2-3E2D3AFCA58D}"/>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3245C850-87B3-4D55-8C31-71930F2B5CBD}"/>
    <cellStyle name="Normal 3 2 3 3 2 2 2 3" xfId="24157" xr:uid="{1081B059-4237-4F7C-A550-0CA7B455E5EC}"/>
    <cellStyle name="Normal 3 2 3 3 2 2 3" xfId="11505" xr:uid="{4D6AC7F6-A81E-484A-8876-0BF3C82EFC1A}"/>
    <cellStyle name="Normal 3 2 3 3 2 2 4" xfId="19940" xr:uid="{F073DFC1-629D-4F2B-BAFE-4C829E7B76DE}"/>
    <cellStyle name="Normal 3 2 3 3 2 3" xfId="5128" xr:uid="{00000000-0005-0000-0000-0000AB110000}"/>
    <cellStyle name="Normal 3 2 3 3 2 3 2" xfId="13578" xr:uid="{2B3AB059-A477-4D99-AA13-EF65E0BFDA65}"/>
    <cellStyle name="Normal 3 2 3 3 2 3 3" xfId="22012" xr:uid="{2315B548-9019-44B4-BA5C-754F00A1F6F5}"/>
    <cellStyle name="Normal 3 2 3 3 2 4" xfId="9360" xr:uid="{39FDB72A-5DF9-42D7-82CA-D2D63F84205C}"/>
    <cellStyle name="Normal 3 2 3 3 2 5" xfId="17795" xr:uid="{D7A519EC-75B9-4906-A43E-05DF52ADBF8E}"/>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E5C16E5D-7652-437E-8A84-42DA0C1EE33F}"/>
    <cellStyle name="Normal 3 2 3 3 3 2 2 3" xfId="24570" xr:uid="{4B7C3592-E169-4C16-8579-5B49DC1DE0A1}"/>
    <cellStyle name="Normal 3 2 3 3 3 2 3" xfId="11918" xr:uid="{4A86E1A7-2ED7-48C0-81B9-10B88B47D125}"/>
    <cellStyle name="Normal 3 2 3 3 3 2 4" xfId="20353" xr:uid="{35CB3C5B-73F3-448F-B2A1-1907A43DEECD}"/>
    <cellStyle name="Normal 3 2 3 3 3 3" xfId="5541" xr:uid="{00000000-0005-0000-0000-0000AF110000}"/>
    <cellStyle name="Normal 3 2 3 3 3 3 2" xfId="13991" xr:uid="{BEB235A3-0D00-4138-B843-51FC03743C46}"/>
    <cellStyle name="Normal 3 2 3 3 3 3 3" xfId="22425" xr:uid="{C3A7357B-94FA-4566-B547-8A6208AFA1BE}"/>
    <cellStyle name="Normal 3 2 3 3 3 4" xfId="9773" xr:uid="{F9A47B8D-CD9F-4A4E-98D6-C3072D2BF26C}"/>
    <cellStyle name="Normal 3 2 3 3 3 5" xfId="18208" xr:uid="{858C6370-F725-452A-9DD6-6AF84D9BB7B7}"/>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189A5194-978A-4523-A29F-A80061E44839}"/>
    <cellStyle name="Normal 3 2 3 3 4 2 2 3" xfId="24983" xr:uid="{DB699F58-C997-4A63-9C98-E4651391D5F0}"/>
    <cellStyle name="Normal 3 2 3 3 4 2 3" xfId="12331" xr:uid="{813CE26D-226D-47C0-A577-2DFF46D3A160}"/>
    <cellStyle name="Normal 3 2 3 3 4 2 4" xfId="20766" xr:uid="{D0BF37A0-AAAD-464E-BC3C-180A80513CFF}"/>
    <cellStyle name="Normal 3 2 3 3 4 3" xfId="5954" xr:uid="{00000000-0005-0000-0000-0000B3110000}"/>
    <cellStyle name="Normal 3 2 3 3 4 3 2" xfId="14404" xr:uid="{2C988D33-1A91-4047-965E-5D254AC979D0}"/>
    <cellStyle name="Normal 3 2 3 3 4 3 3" xfId="22838" xr:uid="{989076C2-77CC-4466-A768-2FCC64DF9EDA}"/>
    <cellStyle name="Normal 3 2 3 3 4 4" xfId="10186" xr:uid="{7979D697-082E-4C9D-8EEE-2595DB543189}"/>
    <cellStyle name="Normal 3 2 3 3 4 5" xfId="18621" xr:uid="{C1B615F5-5CEC-46D3-B6A0-EDD076B77F23}"/>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4A3D35F9-0C2D-42B3-973E-5F28813B9F74}"/>
    <cellStyle name="Normal 3 2 3 3 5 2 2 3" xfId="25396" xr:uid="{8C11447D-CAD2-4838-9988-EFCFB3A11694}"/>
    <cellStyle name="Normal 3 2 3 3 5 2 3" xfId="12744" xr:uid="{A41600C4-B194-44B2-B8A1-E197B08374D8}"/>
    <cellStyle name="Normal 3 2 3 3 5 2 4" xfId="21179" xr:uid="{2DD09C6D-7810-4CB2-92A2-8F530712364B}"/>
    <cellStyle name="Normal 3 2 3 3 5 3" xfId="6367" xr:uid="{00000000-0005-0000-0000-0000B7110000}"/>
    <cellStyle name="Normal 3 2 3 3 5 3 2" xfId="14817" xr:uid="{CB26C57C-51E9-45B0-8079-9516EAAF84E4}"/>
    <cellStyle name="Normal 3 2 3 3 5 3 3" xfId="23251" xr:uid="{C54FD0FC-6DF1-4372-A511-51655141D1C7}"/>
    <cellStyle name="Normal 3 2 3 3 5 4" xfId="10599" xr:uid="{57AF891E-2D9F-4C18-B62C-43005C5FEFC9}"/>
    <cellStyle name="Normal 3 2 3 3 5 5" xfId="19034" xr:uid="{CF687A5D-927A-4776-B60A-55CC31311E7C}"/>
    <cellStyle name="Normal 3 2 3 3 6" xfId="2497" xr:uid="{00000000-0005-0000-0000-0000B8110000}"/>
    <cellStyle name="Normal 3 2 3 3 6 2" xfId="6780" xr:uid="{00000000-0005-0000-0000-0000B9110000}"/>
    <cellStyle name="Normal 3 2 3 3 6 2 2" xfId="15230" xr:uid="{AEE349EA-C83D-44A5-BA10-830775683C9E}"/>
    <cellStyle name="Normal 3 2 3 3 6 2 3" xfId="23664" xr:uid="{B101F252-62D9-455C-96CD-20DD71BDC0D7}"/>
    <cellStyle name="Normal 3 2 3 3 6 3" xfId="11012" xr:uid="{EB949948-74EF-496E-8D19-C91BFC0C8294}"/>
    <cellStyle name="Normal 3 2 3 3 6 4" xfId="19447" xr:uid="{3023D842-C9EF-4A9C-A858-62BC18F596A8}"/>
    <cellStyle name="Normal 3 2 3 3 7" xfId="4714" xr:uid="{00000000-0005-0000-0000-0000BA110000}"/>
    <cellStyle name="Normal 3 2 3 3 7 2" xfId="13164" xr:uid="{AB17C878-EB7D-4582-A55E-E996E97FB4E4}"/>
    <cellStyle name="Normal 3 2 3 3 7 3" xfId="21598" xr:uid="{916CC860-4C45-4C00-95BF-38E27F8F2D92}"/>
    <cellStyle name="Normal 3 2 3 3 8" xfId="8946" xr:uid="{C385DDCA-5FBB-4C9F-82B8-7FC962CBD204}"/>
    <cellStyle name="Normal 3 2 3 3 9" xfId="17381" xr:uid="{A197D5A9-CEF4-4567-9DEB-C124FB3F795D}"/>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EB0549A0-ABEC-4192-92E2-A13C77A0B2C8}"/>
    <cellStyle name="Normal 3 2 3 4 2 2 3" xfId="24154" xr:uid="{78C505E7-57C0-47D2-8E7C-3283F28ED89F}"/>
    <cellStyle name="Normal 3 2 3 4 2 3" xfId="11502" xr:uid="{BF9500FC-44EC-4277-94F1-E0F19FC3F4ED}"/>
    <cellStyle name="Normal 3 2 3 4 2 4" xfId="19937" xr:uid="{1AAA3BA7-B9AE-4579-9350-872A8C5C3787}"/>
    <cellStyle name="Normal 3 2 3 4 3" xfId="5125" xr:uid="{00000000-0005-0000-0000-0000BE110000}"/>
    <cellStyle name="Normal 3 2 3 4 3 2" xfId="13575" xr:uid="{7FFC05E4-B32B-42F6-8965-00A08E512FB7}"/>
    <cellStyle name="Normal 3 2 3 4 3 3" xfId="22009" xr:uid="{3DC64A83-0844-40BC-9524-15E24C5E26CF}"/>
    <cellStyle name="Normal 3 2 3 4 4" xfId="9357" xr:uid="{850321ED-04CB-4562-A063-D1738E833211}"/>
    <cellStyle name="Normal 3 2 3 4 5" xfId="17792" xr:uid="{2165D49E-216A-409E-BDFE-7378CF2D6D9F}"/>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C54D1359-B18E-45D7-9D7F-21D699777D87}"/>
    <cellStyle name="Normal 3 2 3 5 2 2 3" xfId="24567" xr:uid="{F61A9450-A834-45BE-8239-43AD17FA83B4}"/>
    <cellStyle name="Normal 3 2 3 5 2 3" xfId="11915" xr:uid="{EED7A623-BBB5-4E64-A0A0-76E285BD8429}"/>
    <cellStyle name="Normal 3 2 3 5 2 4" xfId="20350" xr:uid="{C10A6AAC-7AAF-430B-8128-5BF2126FF8C9}"/>
    <cellStyle name="Normal 3 2 3 5 3" xfId="5538" xr:uid="{00000000-0005-0000-0000-0000C2110000}"/>
    <cellStyle name="Normal 3 2 3 5 3 2" xfId="13988" xr:uid="{7074F479-608B-42FB-8650-F5AE34760878}"/>
    <cellStyle name="Normal 3 2 3 5 3 3" xfId="22422" xr:uid="{79A2EBB7-B97D-410C-9D65-65224C30DAC1}"/>
    <cellStyle name="Normal 3 2 3 5 4" xfId="9770" xr:uid="{BBE38072-670B-4A13-ADF2-81791A3B72B3}"/>
    <cellStyle name="Normal 3 2 3 5 5" xfId="18205" xr:uid="{BF358B46-95A7-4145-AD24-EC7FC836F05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E9F0E464-E991-4D81-A800-049826FF7196}"/>
    <cellStyle name="Normal 3 2 3 6 2 2 3" xfId="24980" xr:uid="{F2454DA6-8DE6-48D4-B08F-A3E0A056986E}"/>
    <cellStyle name="Normal 3 2 3 6 2 3" xfId="12328" xr:uid="{2480E4EE-D768-4823-9923-168EB2687508}"/>
    <cellStyle name="Normal 3 2 3 6 2 4" xfId="20763" xr:uid="{467C39D6-4281-4531-B890-AC2A4A9045BD}"/>
    <cellStyle name="Normal 3 2 3 6 3" xfId="5951" xr:uid="{00000000-0005-0000-0000-0000C6110000}"/>
    <cellStyle name="Normal 3 2 3 6 3 2" xfId="14401" xr:uid="{57F55406-5C09-4D8F-83B7-F16D3E96CBDA}"/>
    <cellStyle name="Normal 3 2 3 6 3 3" xfId="22835" xr:uid="{EC8293BB-82E0-458C-8B77-A33AD3223609}"/>
    <cellStyle name="Normal 3 2 3 6 4" xfId="10183" xr:uid="{B4C30479-D011-4A83-AD3E-BCF4A5EAC74C}"/>
    <cellStyle name="Normal 3 2 3 6 5" xfId="18618" xr:uid="{9A6B9D8E-32BD-4A57-8287-971E965C7C18}"/>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5D677E33-6ED6-45D8-8E1F-60032BDEA084}"/>
    <cellStyle name="Normal 3 2 3 7 2 2 3" xfId="25393" xr:uid="{1FB3794F-0332-4CD3-9C2D-4AB11FD96C35}"/>
    <cellStyle name="Normal 3 2 3 7 2 3" xfId="12741" xr:uid="{34651FF6-4BD5-4F28-B636-27113DBFF0BC}"/>
    <cellStyle name="Normal 3 2 3 7 2 4" xfId="21176" xr:uid="{7DEE1E34-8ABC-4C16-8560-4A420698B1E0}"/>
    <cellStyle name="Normal 3 2 3 7 3" xfId="6364" xr:uid="{00000000-0005-0000-0000-0000CA110000}"/>
    <cellStyle name="Normal 3 2 3 7 3 2" xfId="14814" xr:uid="{82A6C632-2FA5-4407-A393-FD0826733B66}"/>
    <cellStyle name="Normal 3 2 3 7 3 3" xfId="23248" xr:uid="{6811330D-8217-47EE-B092-204D4BCDCD34}"/>
    <cellStyle name="Normal 3 2 3 7 4" xfId="10596" xr:uid="{F6D0F17A-EEA1-4F06-9708-A7A041D42F5F}"/>
    <cellStyle name="Normal 3 2 3 7 5" xfId="19031" xr:uid="{4ED7E716-6B73-4939-B87B-EFCAF8CCA602}"/>
    <cellStyle name="Normal 3 2 3 8" xfId="2494" xr:uid="{00000000-0005-0000-0000-0000CB110000}"/>
    <cellStyle name="Normal 3 2 3 8 2" xfId="6777" xr:uid="{00000000-0005-0000-0000-0000CC110000}"/>
    <cellStyle name="Normal 3 2 3 8 2 2" xfId="15227" xr:uid="{53AC6143-5433-4DDB-8017-88742239F974}"/>
    <cellStyle name="Normal 3 2 3 8 2 3" xfId="23661" xr:uid="{BEB33D93-7521-491C-8DE9-3E5684630581}"/>
    <cellStyle name="Normal 3 2 3 8 3" xfId="11009" xr:uid="{5D76A433-719E-4F25-9E62-607CC4981515}"/>
    <cellStyle name="Normal 3 2 3 8 4" xfId="19444" xr:uid="{17ADE6E2-AF71-43BF-A25E-9665B0FAB223}"/>
    <cellStyle name="Normal 3 2 3 9" xfId="4711" xr:uid="{00000000-0005-0000-0000-0000CD110000}"/>
    <cellStyle name="Normal 3 2 3 9 2" xfId="13161" xr:uid="{A1407330-29D6-4194-BD2F-17C74595C6C9}"/>
    <cellStyle name="Normal 3 2 3 9 3" xfId="21595" xr:uid="{E1FFEF0F-637B-4890-BA23-664D27EA73CD}"/>
    <cellStyle name="Normal 3 2 4" xfId="809" xr:uid="{00000000-0005-0000-0000-0000CE110000}"/>
    <cellStyle name="Normal 3 2 4 2" xfId="3047" xr:uid="{00000000-0005-0000-0000-0000CF110000}"/>
    <cellStyle name="Normal 3 2 4 2 2" xfId="7269" xr:uid="{00000000-0005-0000-0000-0000D0110000}"/>
    <cellStyle name="Normal 3 2 4 2 2 2" xfId="15719" xr:uid="{DF3D0C32-0D8C-4538-BD12-E82CFE7BED2D}"/>
    <cellStyle name="Normal 3 2 4 2 2 3" xfId="24153" xr:uid="{EBC5E3F2-C3F1-4461-84E8-9837E088C067}"/>
    <cellStyle name="Normal 3 2 4 2 3" xfId="11501" xr:uid="{26157A3E-F824-49F2-8827-51B9CE3FB1B6}"/>
    <cellStyle name="Normal 3 2 4 2 4" xfId="19936" xr:uid="{DA0C69B4-431F-4A10-BB88-2461B0833934}"/>
    <cellStyle name="Normal 3 2 4 3" xfId="5124" xr:uid="{00000000-0005-0000-0000-0000D1110000}"/>
    <cellStyle name="Normal 3 2 4 3 2" xfId="13574" xr:uid="{26AB0039-CB08-43F4-813F-AC46654B706C}"/>
    <cellStyle name="Normal 3 2 4 3 3" xfId="22008" xr:uid="{15410A86-F0E1-4556-8DAB-A2C94EC0CD7C}"/>
    <cellStyle name="Normal 3 2 4 4" xfId="9356" xr:uid="{BA4D403F-C588-4BB5-AA62-681CA0B5151F}"/>
    <cellStyle name="Normal 3 2 4 5" xfId="17791" xr:uid="{A3E806D6-0869-48F4-83CB-E3F011E7DB17}"/>
    <cellStyle name="Normal 3 2 5" xfId="1230" xr:uid="{00000000-0005-0000-0000-0000D2110000}"/>
    <cellStyle name="Normal 3 2 5 2" xfId="3460" xr:uid="{00000000-0005-0000-0000-0000D3110000}"/>
    <cellStyle name="Normal 3 2 5 2 2" xfId="7682" xr:uid="{00000000-0005-0000-0000-0000D4110000}"/>
    <cellStyle name="Normal 3 2 5 2 2 2" xfId="16132" xr:uid="{6A2361FD-2196-4A1D-985D-66BCA745B34F}"/>
    <cellStyle name="Normal 3 2 5 2 2 3" xfId="24566" xr:uid="{119589BE-217D-4059-9BB5-05EE89208CBA}"/>
    <cellStyle name="Normal 3 2 5 2 3" xfId="11914" xr:uid="{0B0BD50F-4FE3-467A-8BB8-6835B0AD3909}"/>
    <cellStyle name="Normal 3 2 5 2 4" xfId="20349" xr:uid="{EFEBA912-0CE3-4839-BF5E-187D73E744EB}"/>
    <cellStyle name="Normal 3 2 5 3" xfId="5537" xr:uid="{00000000-0005-0000-0000-0000D5110000}"/>
    <cellStyle name="Normal 3 2 5 3 2" xfId="13987" xr:uid="{DB269A8A-875F-4180-8AC6-B1401B707A9F}"/>
    <cellStyle name="Normal 3 2 5 3 3" xfId="22421" xr:uid="{E0E4587F-9AB5-4632-A482-E4B31E5705EC}"/>
    <cellStyle name="Normal 3 2 5 4" xfId="9769" xr:uid="{4526883D-6160-42E1-8460-9527FB87C52F}"/>
    <cellStyle name="Normal 3 2 5 5" xfId="18204" xr:uid="{E97777CB-BE7B-44CD-919B-DECFD55A97C6}"/>
    <cellStyle name="Normal 3 2 6" xfId="1643" xr:uid="{00000000-0005-0000-0000-0000D6110000}"/>
    <cellStyle name="Normal 3 2 6 2" xfId="3873" xr:uid="{00000000-0005-0000-0000-0000D7110000}"/>
    <cellStyle name="Normal 3 2 6 2 2" xfId="8095" xr:uid="{00000000-0005-0000-0000-0000D8110000}"/>
    <cellStyle name="Normal 3 2 6 2 2 2" xfId="16545" xr:uid="{13EEDEA4-98A8-4564-BFF6-0AD08D2B06A1}"/>
    <cellStyle name="Normal 3 2 6 2 2 3" xfId="24979" xr:uid="{688806CB-88CC-42D5-99FD-A7BBC7F69E79}"/>
    <cellStyle name="Normal 3 2 6 2 3" xfId="12327" xr:uid="{8D36227F-A59C-4CB3-A41B-C7C2C9AAF9B5}"/>
    <cellStyle name="Normal 3 2 6 2 4" xfId="20762" xr:uid="{DD161B02-BF90-4F62-8739-CC38A1CE1DC5}"/>
    <cellStyle name="Normal 3 2 6 3" xfId="5950" xr:uid="{00000000-0005-0000-0000-0000D9110000}"/>
    <cellStyle name="Normal 3 2 6 3 2" xfId="14400" xr:uid="{1C8BCD66-4BF4-4B23-BE75-5623A8BBC8E8}"/>
    <cellStyle name="Normal 3 2 6 3 3" xfId="22834" xr:uid="{13246988-2B4F-44D3-AC93-8275D2F40869}"/>
    <cellStyle name="Normal 3 2 6 4" xfId="10182" xr:uid="{BCEA54B9-C114-475D-900B-C45C6849B697}"/>
    <cellStyle name="Normal 3 2 6 5" xfId="18617" xr:uid="{670314A5-8AFA-4DF3-B66D-70FC25C7E20B}"/>
    <cellStyle name="Normal 3 2 7" xfId="2057" xr:uid="{00000000-0005-0000-0000-0000DA110000}"/>
    <cellStyle name="Normal 3 2 7 2" xfId="4286" xr:uid="{00000000-0005-0000-0000-0000DB110000}"/>
    <cellStyle name="Normal 3 2 7 2 2" xfId="8508" xr:uid="{00000000-0005-0000-0000-0000DC110000}"/>
    <cellStyle name="Normal 3 2 7 2 2 2" xfId="16958" xr:uid="{E613748E-A812-4603-8CBE-6AE767209B2B}"/>
    <cellStyle name="Normal 3 2 7 2 2 3" xfId="25392" xr:uid="{F694855D-CCB9-441D-BBCA-BC5B07DB0B32}"/>
    <cellStyle name="Normal 3 2 7 2 3" xfId="12740" xr:uid="{4FC15DE5-6323-48E8-A0D1-78868EF8BDA3}"/>
    <cellStyle name="Normal 3 2 7 2 4" xfId="21175" xr:uid="{823A52F8-9EDD-4231-BF72-92AC195CDD90}"/>
    <cellStyle name="Normal 3 2 7 3" xfId="6363" xr:uid="{00000000-0005-0000-0000-0000DD110000}"/>
    <cellStyle name="Normal 3 2 7 3 2" xfId="14813" xr:uid="{898B9573-CA62-49B2-9E24-05361C01C909}"/>
    <cellStyle name="Normal 3 2 7 3 3" xfId="23247" xr:uid="{7E93D964-32E5-4D23-9357-8510B597F7E5}"/>
    <cellStyle name="Normal 3 2 7 4" xfId="10595" xr:uid="{CC066304-A766-4A4F-8E3B-57A88151FB0F}"/>
    <cellStyle name="Normal 3 2 7 5" xfId="19030" xr:uid="{E175B4DA-5E03-4544-B0F3-32B3CBF8A134}"/>
    <cellStyle name="Normal 3 2 8" xfId="2493" xr:uid="{00000000-0005-0000-0000-0000DE110000}"/>
    <cellStyle name="Normal 3 2 8 2" xfId="6776" xr:uid="{00000000-0005-0000-0000-0000DF110000}"/>
    <cellStyle name="Normal 3 2 8 2 2" xfId="15226" xr:uid="{B7CE119B-7B36-4D03-8031-A60E22E4663E}"/>
    <cellStyle name="Normal 3 2 8 2 3" xfId="23660" xr:uid="{372AA468-B6B9-4800-AD41-7F3468360CEF}"/>
    <cellStyle name="Normal 3 2 8 3" xfId="11008" xr:uid="{A633355A-9771-4C2C-B50B-8E668F68177B}"/>
    <cellStyle name="Normal 3 2 8 4" xfId="19443" xr:uid="{FD06EE8F-350E-4B25-9A46-71EC17758F27}"/>
    <cellStyle name="Normal 3 2 9" xfId="4710" xr:uid="{00000000-0005-0000-0000-0000E0110000}"/>
    <cellStyle name="Normal 3 2 9 2" xfId="13160" xr:uid="{F9FA37F8-475D-4AFC-BB80-CE2EED401382}"/>
    <cellStyle name="Normal 3 2 9 3" xfId="21594" xr:uid="{AEAB15C9-F372-4D19-9A54-24A471F4D04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AD962AE8-AA2A-438B-A2B6-62B99C5DBEE6}"/>
    <cellStyle name="Normal 4 11" xfId="17382" xr:uid="{C5857742-C3AB-4EB0-9ECD-80E216650FD8}"/>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EFD9F0BB-686C-48B4-AB1B-287152B83DF5}"/>
    <cellStyle name="Normal 4 2 2 10 2 2 3" xfId="25397" xr:uid="{3D5A111E-6110-440A-BE2E-295FDE1D8F5A}"/>
    <cellStyle name="Normal 4 2 2 10 2 3" xfId="12745" xr:uid="{22296BF7-6231-4DDA-950B-B9FFC96C0DA6}"/>
    <cellStyle name="Normal 4 2 2 10 2 4" xfId="21180" xr:uid="{9DF5F7B5-7D87-419B-A017-8A824736E351}"/>
    <cellStyle name="Normal 4 2 2 10 3" xfId="6368" xr:uid="{00000000-0005-0000-0000-0000ED110000}"/>
    <cellStyle name="Normal 4 2 2 10 3 2" xfId="14818" xr:uid="{31F96260-4E86-45CA-BE5C-1C2C32F07382}"/>
    <cellStyle name="Normal 4 2 2 10 3 3" xfId="23252" xr:uid="{6B7B297C-4C4D-458B-AB0F-3F13BF2F89AD}"/>
    <cellStyle name="Normal 4 2 2 10 4" xfId="10600" xr:uid="{2FE75534-92BA-4F7D-8C3F-F3A7A72A6092}"/>
    <cellStyle name="Normal 4 2 2 10 5" xfId="19035" xr:uid="{755E065E-0B58-4A29-B419-4AFE1BAB818E}"/>
    <cellStyle name="Normal 4 2 2 11" xfId="2498" xr:uid="{00000000-0005-0000-0000-0000EE110000}"/>
    <cellStyle name="Normal 4 2 2 11 2" xfId="6781" xr:uid="{00000000-0005-0000-0000-0000EF110000}"/>
    <cellStyle name="Normal 4 2 2 11 2 2" xfId="15231" xr:uid="{11D8A492-D08F-4AA0-8907-7DA3E8D36741}"/>
    <cellStyle name="Normal 4 2 2 11 2 3" xfId="23665" xr:uid="{7F683B13-276D-445C-93D3-9C114DC98E2B}"/>
    <cellStyle name="Normal 4 2 2 11 3" xfId="11013" xr:uid="{CE3C128B-5A54-4F7E-BAA2-E2E37FCCECA5}"/>
    <cellStyle name="Normal 4 2 2 11 4" xfId="19448" xr:uid="{CD2779AD-6F1B-4D14-AAA3-A0C3FCA3C767}"/>
    <cellStyle name="Normal 4 2 2 12" xfId="4716" xr:uid="{00000000-0005-0000-0000-0000F0110000}"/>
    <cellStyle name="Normal 4 2 2 12 2" xfId="13166" xr:uid="{D9089770-CC95-4907-BBD6-C06145A85A77}"/>
    <cellStyle name="Normal 4 2 2 12 3" xfId="21600" xr:uid="{F90EC3B2-CFE2-49D0-AA5D-ECE072E4F0E4}"/>
    <cellStyle name="Normal 4 2 2 13" xfId="8948" xr:uid="{28461C3D-9339-4C60-BDDA-E51F7D9EEED6}"/>
    <cellStyle name="Normal 4 2 2 14" xfId="17383" xr:uid="{4A0E5998-1F90-4A52-BE09-912E2E6EB2BD}"/>
    <cellStyle name="Normal 4 2 2 2" xfId="338" xr:uid="{00000000-0005-0000-0000-0000F1110000}"/>
    <cellStyle name="Normal 4 2 2 3" xfId="339" xr:uid="{00000000-0005-0000-0000-0000F2110000}"/>
    <cellStyle name="Normal 4 2 2 3 10" xfId="4717" xr:uid="{00000000-0005-0000-0000-0000F3110000}"/>
    <cellStyle name="Normal 4 2 2 3 10 2" xfId="13167" xr:uid="{FDB0F1A9-BBFF-4C3A-81BA-17ADF9435F24}"/>
    <cellStyle name="Normal 4 2 2 3 10 3" xfId="21601" xr:uid="{E52384FC-B80A-4685-949E-D3E081B1FD69}"/>
    <cellStyle name="Normal 4 2 2 3 11" xfId="8949" xr:uid="{B0E0EFCE-B7F6-4341-874C-94609DF0CC31}"/>
    <cellStyle name="Normal 4 2 2 3 12" xfId="17384" xr:uid="{110329D1-75E7-45A1-9F27-7510502E88FC}"/>
    <cellStyle name="Normal 4 2 2 3 2" xfId="340" xr:uid="{00000000-0005-0000-0000-0000F4110000}"/>
    <cellStyle name="Normal 4 2 2 3 2 10" xfId="8950" xr:uid="{8F153500-C459-443B-BA5D-BB8D45D8739A}"/>
    <cellStyle name="Normal 4 2 2 3 2 11" xfId="17385" xr:uid="{71BF8EA0-B54B-434A-8FAB-AB9884FE4440}"/>
    <cellStyle name="Normal 4 2 2 3 2 2" xfId="341" xr:uid="{00000000-0005-0000-0000-0000F5110000}"/>
    <cellStyle name="Normal 4 2 2 3 2 2 10" xfId="17386" xr:uid="{76AC158E-99AF-4DBF-861E-8CE695C0D359}"/>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5BE2892F-218E-4F06-B191-1536C166FD76}"/>
    <cellStyle name="Normal 4 2 2 3 2 2 2 2 2 2 3" xfId="24162" xr:uid="{66ECB867-DE31-4C65-9C64-F8A9F0FB8FE3}"/>
    <cellStyle name="Normal 4 2 2 3 2 2 2 2 2 3" xfId="11510" xr:uid="{8BFE664D-C227-4E4A-B161-CCFD8EC068A6}"/>
    <cellStyle name="Normal 4 2 2 3 2 2 2 2 2 4" xfId="19945" xr:uid="{95EC902C-AC4A-4F54-B311-7202C13E4440}"/>
    <cellStyle name="Normal 4 2 2 3 2 2 2 2 3" xfId="5133" xr:uid="{00000000-0005-0000-0000-0000FA110000}"/>
    <cellStyle name="Normal 4 2 2 3 2 2 2 2 3 2" xfId="13583" xr:uid="{5862CA15-11BD-4029-BA64-A70A48ACD441}"/>
    <cellStyle name="Normal 4 2 2 3 2 2 2 2 3 3" xfId="22017" xr:uid="{02FC75F5-807B-47C5-AA89-7BC497A8981E}"/>
    <cellStyle name="Normal 4 2 2 3 2 2 2 2 4" xfId="9365" xr:uid="{866D58A0-0A81-4C6A-A1CF-9E345331FC5C}"/>
    <cellStyle name="Normal 4 2 2 3 2 2 2 2 5" xfId="17800" xr:uid="{27CBD025-E6A3-4CA2-94DA-1C0A91A30E8F}"/>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8A5F1312-8930-45B1-A447-41D85F1C0F6B}"/>
    <cellStyle name="Normal 4 2 2 3 2 2 2 3 2 2 3" xfId="24575" xr:uid="{674CCEC9-F19E-40BE-AD84-A0AA24DC26F3}"/>
    <cellStyle name="Normal 4 2 2 3 2 2 2 3 2 3" xfId="11923" xr:uid="{A3AA6776-3705-4F6D-96E1-062E4BC97148}"/>
    <cellStyle name="Normal 4 2 2 3 2 2 2 3 2 4" xfId="20358" xr:uid="{575C5E12-A56A-499C-9FDE-7A1E32C53628}"/>
    <cellStyle name="Normal 4 2 2 3 2 2 2 3 3" xfId="5546" xr:uid="{00000000-0005-0000-0000-0000FE110000}"/>
    <cellStyle name="Normal 4 2 2 3 2 2 2 3 3 2" xfId="13996" xr:uid="{CA2F70C3-71C5-42AF-8472-D6015B5B9654}"/>
    <cellStyle name="Normal 4 2 2 3 2 2 2 3 3 3" xfId="22430" xr:uid="{85D06001-F08C-47E1-B5D0-DF1124AC6F09}"/>
    <cellStyle name="Normal 4 2 2 3 2 2 2 3 4" xfId="9778" xr:uid="{9764CC84-E2EE-4D02-A6E3-1F5894BC782A}"/>
    <cellStyle name="Normal 4 2 2 3 2 2 2 3 5" xfId="18213" xr:uid="{6E3D2FBF-7472-440D-BD53-D55F61BFA52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0EB8EBE7-562D-4705-BF81-259D56B8840B}"/>
    <cellStyle name="Normal 4 2 2 3 2 2 2 4 2 2 3" xfId="24988" xr:uid="{5DC5D1D2-675B-4A90-9FC6-7C9B4FEB780D}"/>
    <cellStyle name="Normal 4 2 2 3 2 2 2 4 2 3" xfId="12336" xr:uid="{4D36D3FE-17F0-4E0B-B2DD-9735854922E2}"/>
    <cellStyle name="Normal 4 2 2 3 2 2 2 4 2 4" xfId="20771" xr:uid="{16AFCAA7-9D4D-4DBC-91A9-BEC4120BD6F8}"/>
    <cellStyle name="Normal 4 2 2 3 2 2 2 4 3" xfId="5959" xr:uid="{00000000-0005-0000-0000-000002120000}"/>
    <cellStyle name="Normal 4 2 2 3 2 2 2 4 3 2" xfId="14409" xr:uid="{D4870160-25CC-4712-A3C9-F2D97880FEDC}"/>
    <cellStyle name="Normal 4 2 2 3 2 2 2 4 3 3" xfId="22843" xr:uid="{CE94AB0D-51FD-4CF4-A3C1-7303D2335366}"/>
    <cellStyle name="Normal 4 2 2 3 2 2 2 4 4" xfId="10191" xr:uid="{65FA31D3-1506-4E52-B2A3-12F4E67F374B}"/>
    <cellStyle name="Normal 4 2 2 3 2 2 2 4 5" xfId="18626" xr:uid="{E7FD0D1B-5026-44F3-AD2E-777AC798974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D7B82467-714D-4EF6-BF7A-77A664DFA727}"/>
    <cellStyle name="Normal 4 2 2 3 2 2 2 5 2 2 3" xfId="25401" xr:uid="{F3A77887-B3A2-431D-B787-D2692FAD667B}"/>
    <cellStyle name="Normal 4 2 2 3 2 2 2 5 2 3" xfId="12749" xr:uid="{0A4BEDC4-0EE6-4197-B68C-6483F0B31115}"/>
    <cellStyle name="Normal 4 2 2 3 2 2 2 5 2 4" xfId="21184" xr:uid="{C5CF42B6-0ABB-4374-8268-7D9BB086FB41}"/>
    <cellStyle name="Normal 4 2 2 3 2 2 2 5 3" xfId="6372" xr:uid="{00000000-0005-0000-0000-000006120000}"/>
    <cellStyle name="Normal 4 2 2 3 2 2 2 5 3 2" xfId="14822" xr:uid="{B288FE18-F604-4E2A-8F00-04EFB43952F4}"/>
    <cellStyle name="Normal 4 2 2 3 2 2 2 5 3 3" xfId="23256" xr:uid="{A60E998B-9CFE-46E7-BEAE-42569EBB5866}"/>
    <cellStyle name="Normal 4 2 2 3 2 2 2 5 4" xfId="10604" xr:uid="{6F30A35B-C4AF-4ED7-8BF7-06CDA1D66E00}"/>
    <cellStyle name="Normal 4 2 2 3 2 2 2 5 5" xfId="19039" xr:uid="{D5A720E1-D66D-4EE4-ACF2-952C06AF1818}"/>
    <cellStyle name="Normal 4 2 2 3 2 2 2 6" xfId="2502" xr:uid="{00000000-0005-0000-0000-000007120000}"/>
    <cellStyle name="Normal 4 2 2 3 2 2 2 6 2" xfId="6785" xr:uid="{00000000-0005-0000-0000-000008120000}"/>
    <cellStyle name="Normal 4 2 2 3 2 2 2 6 2 2" xfId="15235" xr:uid="{F04298C9-3113-4F72-99C5-206BA4C6725A}"/>
    <cellStyle name="Normal 4 2 2 3 2 2 2 6 2 3" xfId="23669" xr:uid="{B1E9577A-8CA0-4966-A089-CE1A95B6A5B9}"/>
    <cellStyle name="Normal 4 2 2 3 2 2 2 6 3" xfId="11017" xr:uid="{55364C74-5410-4711-8A71-B34D4B979606}"/>
    <cellStyle name="Normal 4 2 2 3 2 2 2 6 4" xfId="19452" xr:uid="{F58B4827-84C1-4C36-AB72-EE7FAE14A83E}"/>
    <cellStyle name="Normal 4 2 2 3 2 2 2 7" xfId="4720" xr:uid="{00000000-0005-0000-0000-000009120000}"/>
    <cellStyle name="Normal 4 2 2 3 2 2 2 7 2" xfId="13170" xr:uid="{B36DB687-5928-47E4-BDA3-34CA5F27FB5D}"/>
    <cellStyle name="Normal 4 2 2 3 2 2 2 7 3" xfId="21604" xr:uid="{F379905D-467D-4C21-A1D8-EF74B59B42A1}"/>
    <cellStyle name="Normal 4 2 2 3 2 2 2 8" xfId="8952" xr:uid="{D6D30DA4-48CA-4D12-BB4A-212DBB554970}"/>
    <cellStyle name="Normal 4 2 2 3 2 2 2 9" xfId="17387" xr:uid="{D5BF9FCE-F070-456A-9378-8E1936683C8E}"/>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456C636C-11D5-4864-B021-71EE2D31C36C}"/>
    <cellStyle name="Normal 4 2 2 3 2 2 3 2 2 3" xfId="24161" xr:uid="{3947D11B-9D93-4543-9938-BC130CA6C3B3}"/>
    <cellStyle name="Normal 4 2 2 3 2 2 3 2 3" xfId="11509" xr:uid="{13052AD7-389E-4EFC-856E-E2B07FBE17C7}"/>
    <cellStyle name="Normal 4 2 2 3 2 2 3 2 4" xfId="19944" xr:uid="{E5572A1F-1E61-413D-959A-6567AF958527}"/>
    <cellStyle name="Normal 4 2 2 3 2 2 3 3" xfId="5132" xr:uid="{00000000-0005-0000-0000-00000D120000}"/>
    <cellStyle name="Normal 4 2 2 3 2 2 3 3 2" xfId="13582" xr:uid="{341C5CDF-A862-46AC-87E7-4F848A78EA78}"/>
    <cellStyle name="Normal 4 2 2 3 2 2 3 3 3" xfId="22016" xr:uid="{5D7A92E1-F111-4632-9A5E-35D761F02832}"/>
    <cellStyle name="Normal 4 2 2 3 2 2 3 4" xfId="9364" xr:uid="{B6E2491D-5332-4217-86CD-B30BCFAF4C88}"/>
    <cellStyle name="Normal 4 2 2 3 2 2 3 5" xfId="17799" xr:uid="{BF822BEA-A297-4B81-8471-570BADC1EBD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00516314-6B6A-42C4-B5CD-EA70ADE1B730}"/>
    <cellStyle name="Normal 4 2 2 3 2 2 4 2 2 3" xfId="24574" xr:uid="{9C6C159D-C35E-43AF-AC03-36DADE0F0336}"/>
    <cellStyle name="Normal 4 2 2 3 2 2 4 2 3" xfId="11922" xr:uid="{1F6A6CE1-F2F8-4B93-989B-8D6485EDF90E}"/>
    <cellStyle name="Normal 4 2 2 3 2 2 4 2 4" xfId="20357" xr:uid="{F4760353-F13C-4930-A15E-4066AD000707}"/>
    <cellStyle name="Normal 4 2 2 3 2 2 4 3" xfId="5545" xr:uid="{00000000-0005-0000-0000-000011120000}"/>
    <cellStyle name="Normal 4 2 2 3 2 2 4 3 2" xfId="13995" xr:uid="{6A6DA945-EEC3-42E5-9DCB-741326EC1D29}"/>
    <cellStyle name="Normal 4 2 2 3 2 2 4 3 3" xfId="22429" xr:uid="{92B5586C-8015-4517-BB92-7707E0D14B19}"/>
    <cellStyle name="Normal 4 2 2 3 2 2 4 4" xfId="9777" xr:uid="{1169DDB5-96EF-4B82-BFFF-45782631BFC0}"/>
    <cellStyle name="Normal 4 2 2 3 2 2 4 5" xfId="18212" xr:uid="{7F2E7C18-6570-4BD0-8B17-04D40CAADBF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66297634-0A8D-4428-B916-01469CDF67D1}"/>
    <cellStyle name="Normal 4 2 2 3 2 2 5 2 2 3" xfId="24987" xr:uid="{978884DE-F202-475F-83AF-952FB5D43F2F}"/>
    <cellStyle name="Normal 4 2 2 3 2 2 5 2 3" xfId="12335" xr:uid="{1C33C67C-59F2-487E-BAE2-33A7D661BB59}"/>
    <cellStyle name="Normal 4 2 2 3 2 2 5 2 4" xfId="20770" xr:uid="{BCE04EAE-6066-4FFD-966D-587CC7547128}"/>
    <cellStyle name="Normal 4 2 2 3 2 2 5 3" xfId="5958" xr:uid="{00000000-0005-0000-0000-000015120000}"/>
    <cellStyle name="Normal 4 2 2 3 2 2 5 3 2" xfId="14408" xr:uid="{7E884F53-680D-4063-8078-440A6B61C3CD}"/>
    <cellStyle name="Normal 4 2 2 3 2 2 5 3 3" xfId="22842" xr:uid="{40735186-F0EA-48FF-B6C1-44FF4A8441A8}"/>
    <cellStyle name="Normal 4 2 2 3 2 2 5 4" xfId="10190" xr:uid="{7CC54F6B-F98D-4449-9FB3-E067209B548E}"/>
    <cellStyle name="Normal 4 2 2 3 2 2 5 5" xfId="18625" xr:uid="{361EEEFB-CF46-4006-B994-03C1EAE5DC6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21CA2BF4-C2A5-48AE-BB8F-0B78CB9D03BB}"/>
    <cellStyle name="Normal 4 2 2 3 2 2 6 2 2 3" xfId="25400" xr:uid="{1841F3D8-4FE0-45F6-B8EE-36F8A3569AD2}"/>
    <cellStyle name="Normal 4 2 2 3 2 2 6 2 3" xfId="12748" xr:uid="{AF24DB92-9104-4D43-8457-76FDA4B8BF9F}"/>
    <cellStyle name="Normal 4 2 2 3 2 2 6 2 4" xfId="21183" xr:uid="{C26019D6-164F-4CD3-8939-3FD9AF729CB5}"/>
    <cellStyle name="Normal 4 2 2 3 2 2 6 3" xfId="6371" xr:uid="{00000000-0005-0000-0000-000019120000}"/>
    <cellStyle name="Normal 4 2 2 3 2 2 6 3 2" xfId="14821" xr:uid="{D156CA02-DBB6-4734-BC38-18CF9533DAE2}"/>
    <cellStyle name="Normal 4 2 2 3 2 2 6 3 3" xfId="23255" xr:uid="{BAAC8F81-3F3B-4B94-AFC5-F8D4DE8992C2}"/>
    <cellStyle name="Normal 4 2 2 3 2 2 6 4" xfId="10603" xr:uid="{7598F99C-32CC-4783-94E0-4B32F5E41C0A}"/>
    <cellStyle name="Normal 4 2 2 3 2 2 6 5" xfId="19038" xr:uid="{1E9F42A3-F6A4-4407-AC02-F52C87B22612}"/>
    <cellStyle name="Normal 4 2 2 3 2 2 7" xfId="2501" xr:uid="{00000000-0005-0000-0000-00001A120000}"/>
    <cellStyle name="Normal 4 2 2 3 2 2 7 2" xfId="6784" xr:uid="{00000000-0005-0000-0000-00001B120000}"/>
    <cellStyle name="Normal 4 2 2 3 2 2 7 2 2" xfId="15234" xr:uid="{D4359F57-8F23-445D-B2C4-D10EC16BDD75}"/>
    <cellStyle name="Normal 4 2 2 3 2 2 7 2 3" xfId="23668" xr:uid="{1580E798-A27B-4238-AAE3-AAEE8361C992}"/>
    <cellStyle name="Normal 4 2 2 3 2 2 7 3" xfId="11016" xr:uid="{7F649493-A703-4063-BA4C-EF13F70E5C70}"/>
    <cellStyle name="Normal 4 2 2 3 2 2 7 4" xfId="19451" xr:uid="{D08E7BF2-CB9C-4C1B-940A-33E14A4585E6}"/>
    <cellStyle name="Normal 4 2 2 3 2 2 8" xfId="4719" xr:uid="{00000000-0005-0000-0000-00001C120000}"/>
    <cellStyle name="Normal 4 2 2 3 2 2 8 2" xfId="13169" xr:uid="{7F79B634-6DF3-4064-9D42-3C4232981A5D}"/>
    <cellStyle name="Normal 4 2 2 3 2 2 8 3" xfId="21603" xr:uid="{E2E0A4D7-7591-411B-A940-6A377E3490E4}"/>
    <cellStyle name="Normal 4 2 2 3 2 2 9" xfId="8951" xr:uid="{E8A3C01F-B498-46F9-A371-3BB7AA5C08B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7C74FDEB-C134-4D02-B89D-C8D019BA1A90}"/>
    <cellStyle name="Normal 4 2 2 3 2 3 2 2 2 3" xfId="24163" xr:uid="{2FA3697D-8BCE-4245-BF07-8D408B185424}"/>
    <cellStyle name="Normal 4 2 2 3 2 3 2 2 3" xfId="11511" xr:uid="{FAE05B85-15D5-4B8C-B811-1A15BED58735}"/>
    <cellStyle name="Normal 4 2 2 3 2 3 2 2 4" xfId="19946" xr:uid="{3FD3F8D9-AEC5-4A36-848A-FFF94CD8B8AC}"/>
    <cellStyle name="Normal 4 2 2 3 2 3 2 3" xfId="5134" xr:uid="{00000000-0005-0000-0000-000021120000}"/>
    <cellStyle name="Normal 4 2 2 3 2 3 2 3 2" xfId="13584" xr:uid="{98E4BBE9-6449-4ED4-8CA8-A3E3F978FCE9}"/>
    <cellStyle name="Normal 4 2 2 3 2 3 2 3 3" xfId="22018" xr:uid="{5B63F448-B44B-418E-85E7-DE8777749F02}"/>
    <cellStyle name="Normal 4 2 2 3 2 3 2 4" xfId="9366" xr:uid="{4B3FCD1E-DDF3-4CA1-A35D-40106D524547}"/>
    <cellStyle name="Normal 4 2 2 3 2 3 2 5" xfId="17801" xr:uid="{D5058A6D-CBE4-49DF-BDCF-E8BF4B2CCDF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551DA1D4-BABE-4086-AA22-DBF326B81441}"/>
    <cellStyle name="Normal 4 2 2 3 2 3 3 2 2 3" xfId="24576" xr:uid="{BEFD73AE-37F1-46B5-81D8-6B66A89B3FC4}"/>
    <cellStyle name="Normal 4 2 2 3 2 3 3 2 3" xfId="11924" xr:uid="{BFEEAE5C-9734-4822-B06B-C2F89F6E34A6}"/>
    <cellStyle name="Normal 4 2 2 3 2 3 3 2 4" xfId="20359" xr:uid="{1183D565-7C61-47C1-A1A7-0272406131C0}"/>
    <cellStyle name="Normal 4 2 2 3 2 3 3 3" xfId="5547" xr:uid="{00000000-0005-0000-0000-000025120000}"/>
    <cellStyle name="Normal 4 2 2 3 2 3 3 3 2" xfId="13997" xr:uid="{A3C00BA7-E705-4659-8F31-85B18412DBAA}"/>
    <cellStyle name="Normal 4 2 2 3 2 3 3 3 3" xfId="22431" xr:uid="{D2230772-6665-4882-B5C9-E64A7F8DBEC8}"/>
    <cellStyle name="Normal 4 2 2 3 2 3 3 4" xfId="9779" xr:uid="{4B5E5B5C-B1B1-4806-BB4C-637ADD3F1D57}"/>
    <cellStyle name="Normal 4 2 2 3 2 3 3 5" xfId="18214" xr:uid="{71F438D9-EBCA-43BB-89C6-F68F6AD28DA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B951EFE9-26A8-482F-A278-D7807AD1A091}"/>
    <cellStyle name="Normal 4 2 2 3 2 3 4 2 2 3" xfId="24989" xr:uid="{BF58D55E-C626-4640-A22C-02CB754AB430}"/>
    <cellStyle name="Normal 4 2 2 3 2 3 4 2 3" xfId="12337" xr:uid="{D1290858-F3C4-43C8-8DD2-A0D6949098D7}"/>
    <cellStyle name="Normal 4 2 2 3 2 3 4 2 4" xfId="20772" xr:uid="{C05D5AEB-DC36-42BF-9B1C-112B5464A4A9}"/>
    <cellStyle name="Normal 4 2 2 3 2 3 4 3" xfId="5960" xr:uid="{00000000-0005-0000-0000-000029120000}"/>
    <cellStyle name="Normal 4 2 2 3 2 3 4 3 2" xfId="14410" xr:uid="{86BCAFFE-4E3D-43D3-880B-BA2D091CE63E}"/>
    <cellStyle name="Normal 4 2 2 3 2 3 4 3 3" xfId="22844" xr:uid="{3528C4F2-BA4F-4442-B1C3-D180BB3E0281}"/>
    <cellStyle name="Normal 4 2 2 3 2 3 4 4" xfId="10192" xr:uid="{9D0F4211-4D20-4766-9EC6-C85BA069CD4E}"/>
    <cellStyle name="Normal 4 2 2 3 2 3 4 5" xfId="18627" xr:uid="{C8584B79-FA75-49C6-B0AA-2355CB6D4F1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A8B27EF8-41C5-419C-A282-B03FFEE9F6D1}"/>
    <cellStyle name="Normal 4 2 2 3 2 3 5 2 2 3" xfId="25402" xr:uid="{8AA4501E-373E-4647-87E8-5FFDA403CD4D}"/>
    <cellStyle name="Normal 4 2 2 3 2 3 5 2 3" xfId="12750" xr:uid="{A2F2899B-728C-4EA6-97A9-B88262E5EDDF}"/>
    <cellStyle name="Normal 4 2 2 3 2 3 5 2 4" xfId="21185" xr:uid="{1F906B4D-BC47-4FF3-8AB1-ED91CBC5B8ED}"/>
    <cellStyle name="Normal 4 2 2 3 2 3 5 3" xfId="6373" xr:uid="{00000000-0005-0000-0000-00002D120000}"/>
    <cellStyle name="Normal 4 2 2 3 2 3 5 3 2" xfId="14823" xr:uid="{7515D57F-8F2F-4311-9211-6C9AD3494374}"/>
    <cellStyle name="Normal 4 2 2 3 2 3 5 3 3" xfId="23257" xr:uid="{1D606EC5-9AA8-47A9-A3D0-A2E63C1DBB25}"/>
    <cellStyle name="Normal 4 2 2 3 2 3 5 4" xfId="10605" xr:uid="{216C9CF1-0182-4C46-88D5-F38B2678AF59}"/>
    <cellStyle name="Normal 4 2 2 3 2 3 5 5" xfId="19040" xr:uid="{AD3FC39F-0AF4-4856-A5A5-2395B3B96538}"/>
    <cellStyle name="Normal 4 2 2 3 2 3 6" xfId="2503" xr:uid="{00000000-0005-0000-0000-00002E120000}"/>
    <cellStyle name="Normal 4 2 2 3 2 3 6 2" xfId="6786" xr:uid="{00000000-0005-0000-0000-00002F120000}"/>
    <cellStyle name="Normal 4 2 2 3 2 3 6 2 2" xfId="15236" xr:uid="{6B582E1D-A1C6-430B-BBD0-806F50C2770B}"/>
    <cellStyle name="Normal 4 2 2 3 2 3 6 2 3" xfId="23670" xr:uid="{25374F18-71B7-490A-9640-7DD13BCDCD47}"/>
    <cellStyle name="Normal 4 2 2 3 2 3 6 3" xfId="11018" xr:uid="{9C439859-DBD9-42C6-83AF-729A5B587FE5}"/>
    <cellStyle name="Normal 4 2 2 3 2 3 6 4" xfId="19453" xr:uid="{F9516F16-8FE2-4993-B2F0-224D112B93CC}"/>
    <cellStyle name="Normal 4 2 2 3 2 3 7" xfId="4721" xr:uid="{00000000-0005-0000-0000-000030120000}"/>
    <cellStyle name="Normal 4 2 2 3 2 3 7 2" xfId="13171" xr:uid="{AE77CBAB-F574-483E-9852-ECE6E7DEAE9E}"/>
    <cellStyle name="Normal 4 2 2 3 2 3 7 3" xfId="21605" xr:uid="{00FE3870-DBB6-4866-A63B-3BCAD6628FED}"/>
    <cellStyle name="Normal 4 2 2 3 2 3 8" xfId="8953" xr:uid="{8942EC5D-0C15-4A25-831F-6EC92876DD90}"/>
    <cellStyle name="Normal 4 2 2 3 2 3 9" xfId="17388" xr:uid="{F077A349-03CA-41CF-8E75-02C352B5635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D379ABA8-4149-48F0-9E42-A7F193AD1C36}"/>
    <cellStyle name="Normal 4 2 2 3 2 4 2 2 3" xfId="24160" xr:uid="{97F37F8F-665F-4597-A36F-425458090FCE}"/>
    <cellStyle name="Normal 4 2 2 3 2 4 2 3" xfId="11508" xr:uid="{F932B914-E8C2-4E3E-992F-4E13BD6CF617}"/>
    <cellStyle name="Normal 4 2 2 3 2 4 2 4" xfId="19943" xr:uid="{2A448288-EB9C-4D8C-B4D2-81C904C09592}"/>
    <cellStyle name="Normal 4 2 2 3 2 4 3" xfId="5131" xr:uid="{00000000-0005-0000-0000-000034120000}"/>
    <cellStyle name="Normal 4 2 2 3 2 4 3 2" xfId="13581" xr:uid="{7D01903B-E1EF-4BB2-85D8-7359DC5B241E}"/>
    <cellStyle name="Normal 4 2 2 3 2 4 3 3" xfId="22015" xr:uid="{C990CAEC-D933-40B9-BFE6-751B02C32CB5}"/>
    <cellStyle name="Normal 4 2 2 3 2 4 4" xfId="9363" xr:uid="{08D06B4A-A423-4A3E-B269-972CCCBC3024}"/>
    <cellStyle name="Normal 4 2 2 3 2 4 5" xfId="17798" xr:uid="{8DDAF0B1-4AAC-409C-B0CD-018F0E8D385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137D447-339A-43E8-B86C-BD70BDC0308E}"/>
    <cellStyle name="Normal 4 2 2 3 2 5 2 2 3" xfId="24573" xr:uid="{1B5DCF30-3CE3-4E77-A2A5-913E97B1BF9D}"/>
    <cellStyle name="Normal 4 2 2 3 2 5 2 3" xfId="11921" xr:uid="{1BCFA8CB-7C97-47B0-8A0C-9F5FEC8F2552}"/>
    <cellStyle name="Normal 4 2 2 3 2 5 2 4" xfId="20356" xr:uid="{39FD1B33-894A-4874-B98E-00817105F83C}"/>
    <cellStyle name="Normal 4 2 2 3 2 5 3" xfId="5544" xr:uid="{00000000-0005-0000-0000-000038120000}"/>
    <cellStyle name="Normal 4 2 2 3 2 5 3 2" xfId="13994" xr:uid="{B7DB2950-4B71-4F16-B2CA-08F3689A45E6}"/>
    <cellStyle name="Normal 4 2 2 3 2 5 3 3" xfId="22428" xr:uid="{D313CC9F-54EA-414C-8C3C-0D62825C9524}"/>
    <cellStyle name="Normal 4 2 2 3 2 5 4" xfId="9776" xr:uid="{59A0529C-E795-4E33-8DCF-45DDA65CF6D8}"/>
    <cellStyle name="Normal 4 2 2 3 2 5 5" xfId="18211" xr:uid="{7624A667-90BF-4BE5-B6E5-8375953686C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8F3049A8-9F0D-49E1-A2A2-B375E4E24C20}"/>
    <cellStyle name="Normal 4 2 2 3 2 6 2 2 3" xfId="24986" xr:uid="{A8991D4A-6B90-4682-A484-C78A9E9CB91D}"/>
    <cellStyle name="Normal 4 2 2 3 2 6 2 3" xfId="12334" xr:uid="{43AC639E-459A-45DD-8C4B-9C627017AB63}"/>
    <cellStyle name="Normal 4 2 2 3 2 6 2 4" xfId="20769" xr:uid="{F43F91D5-F690-4156-8CF9-992ED71DB0FA}"/>
    <cellStyle name="Normal 4 2 2 3 2 6 3" xfId="5957" xr:uid="{00000000-0005-0000-0000-00003C120000}"/>
    <cellStyle name="Normal 4 2 2 3 2 6 3 2" xfId="14407" xr:uid="{3ACA5C27-003E-4AB2-B083-BC1332F88D59}"/>
    <cellStyle name="Normal 4 2 2 3 2 6 3 3" xfId="22841" xr:uid="{CD39CA8D-65CB-417D-BFCC-7D509112DEF3}"/>
    <cellStyle name="Normal 4 2 2 3 2 6 4" xfId="10189" xr:uid="{1979ED70-1330-4C8A-90F1-8C3FB9790820}"/>
    <cellStyle name="Normal 4 2 2 3 2 6 5" xfId="18624" xr:uid="{0EC2F2A1-3832-492C-874B-2A5D5B13A5C7}"/>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026FF079-D3E9-4E26-9298-CC1D2FECFB22}"/>
    <cellStyle name="Normal 4 2 2 3 2 7 2 2 3" xfId="25399" xr:uid="{27A8F036-FF0F-4BFE-B3FF-4427A0CA6DE2}"/>
    <cellStyle name="Normal 4 2 2 3 2 7 2 3" xfId="12747" xr:uid="{188C301C-D7F3-4C37-8EAA-319D742D6A57}"/>
    <cellStyle name="Normal 4 2 2 3 2 7 2 4" xfId="21182" xr:uid="{FD891F05-CF1B-4B2A-9135-5BBB6D331D9E}"/>
    <cellStyle name="Normal 4 2 2 3 2 7 3" xfId="6370" xr:uid="{00000000-0005-0000-0000-000040120000}"/>
    <cellStyle name="Normal 4 2 2 3 2 7 3 2" xfId="14820" xr:uid="{1A5BEC84-076D-4C59-B4D4-DFCE4FA83B12}"/>
    <cellStyle name="Normal 4 2 2 3 2 7 3 3" xfId="23254" xr:uid="{4B888BAF-C250-479C-8BC0-F669957F0BDB}"/>
    <cellStyle name="Normal 4 2 2 3 2 7 4" xfId="10602" xr:uid="{DC92C162-8361-4962-99E9-2BD92FD835A8}"/>
    <cellStyle name="Normal 4 2 2 3 2 7 5" xfId="19037" xr:uid="{E52B2045-15F5-4F72-99A0-CB236E6FBE2D}"/>
    <cellStyle name="Normal 4 2 2 3 2 8" xfId="2500" xr:uid="{00000000-0005-0000-0000-000041120000}"/>
    <cellStyle name="Normal 4 2 2 3 2 8 2" xfId="6783" xr:uid="{00000000-0005-0000-0000-000042120000}"/>
    <cellStyle name="Normal 4 2 2 3 2 8 2 2" xfId="15233" xr:uid="{05F09963-31E2-4CE3-9EB1-6074BAC34A2B}"/>
    <cellStyle name="Normal 4 2 2 3 2 8 2 3" xfId="23667" xr:uid="{31CA2E60-75C3-4648-8A1C-9644249C4E2D}"/>
    <cellStyle name="Normal 4 2 2 3 2 8 3" xfId="11015" xr:uid="{B6538F76-0906-470E-92C1-781424DE48B3}"/>
    <cellStyle name="Normal 4 2 2 3 2 8 4" xfId="19450" xr:uid="{A3E2A4A7-9D9E-4F21-BBA7-60B70CBFE528}"/>
    <cellStyle name="Normal 4 2 2 3 2 9" xfId="4718" xr:uid="{00000000-0005-0000-0000-000043120000}"/>
    <cellStyle name="Normal 4 2 2 3 2 9 2" xfId="13168" xr:uid="{0CF58D8A-50D6-4F82-89E1-7BE3C503F243}"/>
    <cellStyle name="Normal 4 2 2 3 2 9 3" xfId="21602" xr:uid="{B97068D5-361C-4D1D-A0C6-07A775DFF2C2}"/>
    <cellStyle name="Normal 4 2 2 3 3" xfId="344" xr:uid="{00000000-0005-0000-0000-000044120000}"/>
    <cellStyle name="Normal 4 2 2 3 3 10" xfId="17389" xr:uid="{936183A7-E374-4933-A38C-297D315310DC}"/>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D383BE61-A854-4CE0-A084-F0C88B1F30D8}"/>
    <cellStyle name="Normal 4 2 2 3 3 2 2 2 2 3" xfId="24165" xr:uid="{3D8ED2CD-6973-4CD9-B79D-448A725FCF79}"/>
    <cellStyle name="Normal 4 2 2 3 3 2 2 2 3" xfId="11513" xr:uid="{1388DFC7-C1CD-47DD-B62D-AF30288808FA}"/>
    <cellStyle name="Normal 4 2 2 3 3 2 2 2 4" xfId="19948" xr:uid="{AA03006E-B8B1-46C8-8B1D-11109B526B65}"/>
    <cellStyle name="Normal 4 2 2 3 3 2 2 3" xfId="5136" xr:uid="{00000000-0005-0000-0000-000049120000}"/>
    <cellStyle name="Normal 4 2 2 3 3 2 2 3 2" xfId="13586" xr:uid="{FDBCC8A7-219C-4CB5-AB19-B5465098D38B}"/>
    <cellStyle name="Normal 4 2 2 3 3 2 2 3 3" xfId="22020" xr:uid="{A087FC70-A26E-4F25-B1C2-692F4BDB733A}"/>
    <cellStyle name="Normal 4 2 2 3 3 2 2 4" xfId="9368" xr:uid="{416716CC-5859-40D2-91C9-6A847D09543C}"/>
    <cellStyle name="Normal 4 2 2 3 3 2 2 5" xfId="17803" xr:uid="{FF15EA4A-F7CC-4BB7-BE2C-B1D08C9DEF6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49D35700-CC1D-4FAD-8E60-D2F9C4E202AA}"/>
    <cellStyle name="Normal 4 2 2 3 3 2 3 2 2 3" xfId="24578" xr:uid="{24D61928-9C51-4C5A-9B9E-E1358AFFFF28}"/>
    <cellStyle name="Normal 4 2 2 3 3 2 3 2 3" xfId="11926" xr:uid="{A8CCE9C6-8990-4F55-A2D7-900C165C320B}"/>
    <cellStyle name="Normal 4 2 2 3 3 2 3 2 4" xfId="20361" xr:uid="{E34D5689-338A-42C3-9F65-32448A8B6131}"/>
    <cellStyle name="Normal 4 2 2 3 3 2 3 3" xfId="5549" xr:uid="{00000000-0005-0000-0000-00004D120000}"/>
    <cellStyle name="Normal 4 2 2 3 3 2 3 3 2" xfId="13999" xr:uid="{B3CF9D71-88F7-4B5A-BA09-EFD439DD05FD}"/>
    <cellStyle name="Normal 4 2 2 3 3 2 3 3 3" xfId="22433" xr:uid="{2F870A89-3FC0-4BE1-838D-8CFD4B0E3896}"/>
    <cellStyle name="Normal 4 2 2 3 3 2 3 4" xfId="9781" xr:uid="{EB48ACE7-422A-41B5-9601-09485C167D18}"/>
    <cellStyle name="Normal 4 2 2 3 3 2 3 5" xfId="18216" xr:uid="{47D3941B-F699-4D10-9FD5-C81DC7408CF8}"/>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AA1E1611-8541-43CF-8E09-9B8AF9680D7E}"/>
    <cellStyle name="Normal 4 2 2 3 3 2 4 2 2 3" xfId="24991" xr:uid="{5B33A0B1-D144-4EEE-AF61-685DDA214A0F}"/>
    <cellStyle name="Normal 4 2 2 3 3 2 4 2 3" xfId="12339" xr:uid="{65ABC701-0EFF-4701-952C-43F894658749}"/>
    <cellStyle name="Normal 4 2 2 3 3 2 4 2 4" xfId="20774" xr:uid="{8562574C-A14F-431C-96EC-7F4252199C49}"/>
    <cellStyle name="Normal 4 2 2 3 3 2 4 3" xfId="5962" xr:uid="{00000000-0005-0000-0000-000051120000}"/>
    <cellStyle name="Normal 4 2 2 3 3 2 4 3 2" xfId="14412" xr:uid="{8A13B133-C7F2-4BE5-AB30-1C96B38F293A}"/>
    <cellStyle name="Normal 4 2 2 3 3 2 4 3 3" xfId="22846" xr:uid="{5D2563A0-5958-4595-A26E-CC83276DD344}"/>
    <cellStyle name="Normal 4 2 2 3 3 2 4 4" xfId="10194" xr:uid="{6B2034EA-F97A-4972-8A6B-F1216D459905}"/>
    <cellStyle name="Normal 4 2 2 3 3 2 4 5" xfId="18629" xr:uid="{181D9F3C-D5E5-41F7-B96E-B99FB11B99E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27EDE0D6-30C8-4D01-BCFD-3486A4DBD174}"/>
    <cellStyle name="Normal 4 2 2 3 3 2 5 2 2 3" xfId="25404" xr:uid="{CE54E0C3-0CC1-4BB6-8647-B3C968509A72}"/>
    <cellStyle name="Normal 4 2 2 3 3 2 5 2 3" xfId="12752" xr:uid="{9B059B68-E251-4D25-BB0A-0C0EBB1D4240}"/>
    <cellStyle name="Normal 4 2 2 3 3 2 5 2 4" xfId="21187" xr:uid="{4C1ABF83-2604-4417-90C7-34B6809E0F96}"/>
    <cellStyle name="Normal 4 2 2 3 3 2 5 3" xfId="6375" xr:uid="{00000000-0005-0000-0000-000055120000}"/>
    <cellStyle name="Normal 4 2 2 3 3 2 5 3 2" xfId="14825" xr:uid="{94BD37B1-CCD0-492A-AF41-0C1B9668987C}"/>
    <cellStyle name="Normal 4 2 2 3 3 2 5 3 3" xfId="23259" xr:uid="{E3FD83A9-1CDA-404C-BB36-F9FC45C93291}"/>
    <cellStyle name="Normal 4 2 2 3 3 2 5 4" xfId="10607" xr:uid="{D9D1B2C2-8A7B-42D4-923D-DDA44D054129}"/>
    <cellStyle name="Normal 4 2 2 3 3 2 5 5" xfId="19042" xr:uid="{96884EF7-8DE4-481C-97FE-E389949F3126}"/>
    <cellStyle name="Normal 4 2 2 3 3 2 6" xfId="2505" xr:uid="{00000000-0005-0000-0000-000056120000}"/>
    <cellStyle name="Normal 4 2 2 3 3 2 6 2" xfId="6788" xr:uid="{00000000-0005-0000-0000-000057120000}"/>
    <cellStyle name="Normal 4 2 2 3 3 2 6 2 2" xfId="15238" xr:uid="{66C97F9B-738C-4869-8DAE-91D9A2901BAD}"/>
    <cellStyle name="Normal 4 2 2 3 3 2 6 2 3" xfId="23672" xr:uid="{805381B6-5133-487C-AAEE-825A4C330091}"/>
    <cellStyle name="Normal 4 2 2 3 3 2 6 3" xfId="11020" xr:uid="{A31421A8-0F88-4C76-8EE2-F36169D89D40}"/>
    <cellStyle name="Normal 4 2 2 3 3 2 6 4" xfId="19455" xr:uid="{0A88725E-5CE9-443F-837B-282832E1DF61}"/>
    <cellStyle name="Normal 4 2 2 3 3 2 7" xfId="4723" xr:uid="{00000000-0005-0000-0000-000058120000}"/>
    <cellStyle name="Normal 4 2 2 3 3 2 7 2" xfId="13173" xr:uid="{0807BAE0-ABAA-4282-A8E9-5D7D17B1EA12}"/>
    <cellStyle name="Normal 4 2 2 3 3 2 7 3" xfId="21607" xr:uid="{2401DCB4-52C8-495F-8A4B-605907A53402}"/>
    <cellStyle name="Normal 4 2 2 3 3 2 8" xfId="8955" xr:uid="{17F9FF5D-F017-4AFF-9718-35FA2B5561E6}"/>
    <cellStyle name="Normal 4 2 2 3 3 2 9" xfId="17390" xr:uid="{DC269B9F-DFE4-4BAE-AE20-DEB6DC72875B}"/>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72B52D28-F546-46A5-BF01-B70F788CDABE}"/>
    <cellStyle name="Normal 4 2 2 3 3 3 2 2 3" xfId="24164" xr:uid="{1BDED7AB-E7A0-45B3-83D7-831BED0B1F54}"/>
    <cellStyle name="Normal 4 2 2 3 3 3 2 3" xfId="11512" xr:uid="{C39F3965-43C9-4B4C-A6BD-7BBA4B46B6FC}"/>
    <cellStyle name="Normal 4 2 2 3 3 3 2 4" xfId="19947" xr:uid="{71123257-E297-47C8-B7CC-E2CA2CB14131}"/>
    <cellStyle name="Normal 4 2 2 3 3 3 3" xfId="5135" xr:uid="{00000000-0005-0000-0000-00005C120000}"/>
    <cellStyle name="Normal 4 2 2 3 3 3 3 2" xfId="13585" xr:uid="{88029E82-D690-4549-ACEE-5FA4EAB25F44}"/>
    <cellStyle name="Normal 4 2 2 3 3 3 3 3" xfId="22019" xr:uid="{E5B1E8A4-3B97-493D-BE16-D9AA67FE1AAC}"/>
    <cellStyle name="Normal 4 2 2 3 3 3 4" xfId="9367" xr:uid="{6CB5077A-F7E2-46BB-A265-612D411486C5}"/>
    <cellStyle name="Normal 4 2 2 3 3 3 5" xfId="17802" xr:uid="{2D16B970-16A5-48AF-8804-9F10638A2FC1}"/>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EC7EF014-9E22-4F0B-BEE9-E2D1AA31931C}"/>
    <cellStyle name="Normal 4 2 2 3 3 4 2 2 3" xfId="24577" xr:uid="{190610DA-AEAA-454C-9AB0-463C27FEAF32}"/>
    <cellStyle name="Normal 4 2 2 3 3 4 2 3" xfId="11925" xr:uid="{7EC03129-8CD7-4F4B-A796-2AFD8C4FB5E4}"/>
    <cellStyle name="Normal 4 2 2 3 3 4 2 4" xfId="20360" xr:uid="{6BBE6847-424F-467A-8538-3FDD089AF8F4}"/>
    <cellStyle name="Normal 4 2 2 3 3 4 3" xfId="5548" xr:uid="{00000000-0005-0000-0000-000060120000}"/>
    <cellStyle name="Normal 4 2 2 3 3 4 3 2" xfId="13998" xr:uid="{20DEF194-A1BA-4CA8-9EDC-22F6C515A8DC}"/>
    <cellStyle name="Normal 4 2 2 3 3 4 3 3" xfId="22432" xr:uid="{D9C96BDD-D8E9-4D23-8117-090EA80A04BA}"/>
    <cellStyle name="Normal 4 2 2 3 3 4 4" xfId="9780" xr:uid="{BC18953F-DE47-4D0F-95B6-DF1F98C3CED2}"/>
    <cellStyle name="Normal 4 2 2 3 3 4 5" xfId="18215" xr:uid="{F118C942-33C3-47E2-AB33-E0FEA57D251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19C0CE52-1188-4E38-975E-D73F42D5BF72}"/>
    <cellStyle name="Normal 4 2 2 3 3 5 2 2 3" xfId="24990" xr:uid="{017C8A53-C821-41C7-8B46-90247542E818}"/>
    <cellStyle name="Normal 4 2 2 3 3 5 2 3" xfId="12338" xr:uid="{37128486-63E7-4A87-BE43-E13C4BFF8D83}"/>
    <cellStyle name="Normal 4 2 2 3 3 5 2 4" xfId="20773" xr:uid="{608CC834-5295-400C-840D-1D7938AE8553}"/>
    <cellStyle name="Normal 4 2 2 3 3 5 3" xfId="5961" xr:uid="{00000000-0005-0000-0000-000064120000}"/>
    <cellStyle name="Normal 4 2 2 3 3 5 3 2" xfId="14411" xr:uid="{6946D3B6-F6DF-4DA9-828B-E139FB50C367}"/>
    <cellStyle name="Normal 4 2 2 3 3 5 3 3" xfId="22845" xr:uid="{321D35EC-87CC-44B7-AF95-712D613540A3}"/>
    <cellStyle name="Normal 4 2 2 3 3 5 4" xfId="10193" xr:uid="{3ED4F6C8-15AD-4724-818F-D7D7CAA31BC0}"/>
    <cellStyle name="Normal 4 2 2 3 3 5 5" xfId="18628" xr:uid="{0366648F-B965-4F56-BBDF-63D41F7C33F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21D9194A-9CBC-422F-AC0C-44B7016E1A23}"/>
    <cellStyle name="Normal 4 2 2 3 3 6 2 2 3" xfId="25403" xr:uid="{9E35D03F-21A3-4460-8BED-7F0053E70597}"/>
    <cellStyle name="Normal 4 2 2 3 3 6 2 3" xfId="12751" xr:uid="{6067C30B-7C28-4BD0-8EAC-0ED0C1C7FFB8}"/>
    <cellStyle name="Normal 4 2 2 3 3 6 2 4" xfId="21186" xr:uid="{E66C44FA-B2E9-4A15-813C-C368C0A8CB7A}"/>
    <cellStyle name="Normal 4 2 2 3 3 6 3" xfId="6374" xr:uid="{00000000-0005-0000-0000-000068120000}"/>
    <cellStyle name="Normal 4 2 2 3 3 6 3 2" xfId="14824" xr:uid="{3D7BF5C6-349B-4A29-B812-BA03F6C278B7}"/>
    <cellStyle name="Normal 4 2 2 3 3 6 3 3" xfId="23258" xr:uid="{39349A0D-D106-4EC8-BD62-C5415F93AEB5}"/>
    <cellStyle name="Normal 4 2 2 3 3 6 4" xfId="10606" xr:uid="{87147F3E-6EA0-4A2A-95FC-B411A5BF5F80}"/>
    <cellStyle name="Normal 4 2 2 3 3 6 5" xfId="19041" xr:uid="{5C450CA0-F0F6-4B16-B851-59C231904FAA}"/>
    <cellStyle name="Normal 4 2 2 3 3 7" xfId="2504" xr:uid="{00000000-0005-0000-0000-000069120000}"/>
    <cellStyle name="Normal 4 2 2 3 3 7 2" xfId="6787" xr:uid="{00000000-0005-0000-0000-00006A120000}"/>
    <cellStyle name="Normal 4 2 2 3 3 7 2 2" xfId="15237" xr:uid="{F87B1498-CAD8-4940-BC70-F38FA8AE9769}"/>
    <cellStyle name="Normal 4 2 2 3 3 7 2 3" xfId="23671" xr:uid="{B73F6FA1-EEC6-41BE-B7FA-7A8FCC7CB987}"/>
    <cellStyle name="Normal 4 2 2 3 3 7 3" xfId="11019" xr:uid="{939111B4-5F9E-4046-96B2-92A73FA06C18}"/>
    <cellStyle name="Normal 4 2 2 3 3 7 4" xfId="19454" xr:uid="{7675802F-4B86-4C6C-9526-6555FD256270}"/>
    <cellStyle name="Normal 4 2 2 3 3 8" xfId="4722" xr:uid="{00000000-0005-0000-0000-00006B120000}"/>
    <cellStyle name="Normal 4 2 2 3 3 8 2" xfId="13172" xr:uid="{48924F62-5203-40F1-9C4D-BA89FC1710BE}"/>
    <cellStyle name="Normal 4 2 2 3 3 8 3" xfId="21606" xr:uid="{BE10762D-DAB7-4B98-9E16-0BE204E9F54C}"/>
    <cellStyle name="Normal 4 2 2 3 3 9" xfId="8954" xr:uid="{4823E23A-3DD3-429D-A91E-9E0E2641AD8C}"/>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E43F2A5F-BEC6-4A4B-B236-D0D897C4E437}"/>
    <cellStyle name="Normal 4 2 2 3 4 2 2 2 3" xfId="24166" xr:uid="{72D2FCE6-C425-456D-87AB-420A70E9E3AA}"/>
    <cellStyle name="Normal 4 2 2 3 4 2 2 3" xfId="11514" xr:uid="{F6C545BE-444A-46DF-9566-29441899C831}"/>
    <cellStyle name="Normal 4 2 2 3 4 2 2 4" xfId="19949" xr:uid="{58488477-A0B2-4807-B16E-10522ECCEF11}"/>
    <cellStyle name="Normal 4 2 2 3 4 2 3" xfId="5137" xr:uid="{00000000-0005-0000-0000-000070120000}"/>
    <cellStyle name="Normal 4 2 2 3 4 2 3 2" xfId="13587" xr:uid="{88769C73-B866-4348-99C2-D6800F207E72}"/>
    <cellStyle name="Normal 4 2 2 3 4 2 3 3" xfId="22021" xr:uid="{B56B0581-CEEF-44B8-B767-650859CFB27C}"/>
    <cellStyle name="Normal 4 2 2 3 4 2 4" xfId="9369" xr:uid="{62A86AAE-014F-4DFD-BAD3-EE1EB00D2B8D}"/>
    <cellStyle name="Normal 4 2 2 3 4 2 5" xfId="17804" xr:uid="{34F7812B-AD06-46AF-ADDB-A17F1EFA57B1}"/>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A26E0938-AE09-46BE-B6EE-FC7F61EB1E04}"/>
    <cellStyle name="Normal 4 2 2 3 4 3 2 2 3" xfId="24579" xr:uid="{B60AB01D-C3F2-49DE-914D-A46F3E2F3FD6}"/>
    <cellStyle name="Normal 4 2 2 3 4 3 2 3" xfId="11927" xr:uid="{B2D55E23-DBF6-47FF-BA56-4BA608122F74}"/>
    <cellStyle name="Normal 4 2 2 3 4 3 2 4" xfId="20362" xr:uid="{2669A81C-0026-4FF7-9E1E-4DB015ECA726}"/>
    <cellStyle name="Normal 4 2 2 3 4 3 3" xfId="5550" xr:uid="{00000000-0005-0000-0000-000074120000}"/>
    <cellStyle name="Normal 4 2 2 3 4 3 3 2" xfId="14000" xr:uid="{BA37E2BE-6773-40C5-8F3A-308091370841}"/>
    <cellStyle name="Normal 4 2 2 3 4 3 3 3" xfId="22434" xr:uid="{92CA0515-45B6-4537-92DB-C12120ACBFF6}"/>
    <cellStyle name="Normal 4 2 2 3 4 3 4" xfId="9782" xr:uid="{4BEB4BEB-1EEC-4523-9BF5-D7D8D9DCA7F6}"/>
    <cellStyle name="Normal 4 2 2 3 4 3 5" xfId="18217" xr:uid="{3D49D2EA-6571-4411-8A54-AABD28BF4A1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EB29C118-0A52-4A10-8ECA-147631C95171}"/>
    <cellStyle name="Normal 4 2 2 3 4 4 2 2 3" xfId="24992" xr:uid="{E523B8B2-F746-425C-A18D-0A4967113901}"/>
    <cellStyle name="Normal 4 2 2 3 4 4 2 3" xfId="12340" xr:uid="{93BA901A-6692-4293-B7E7-D086E8CFE743}"/>
    <cellStyle name="Normal 4 2 2 3 4 4 2 4" xfId="20775" xr:uid="{FB96DC4B-35BF-4831-8FD6-DEA5A43F6253}"/>
    <cellStyle name="Normal 4 2 2 3 4 4 3" xfId="5963" xr:uid="{00000000-0005-0000-0000-000078120000}"/>
    <cellStyle name="Normal 4 2 2 3 4 4 3 2" xfId="14413" xr:uid="{5370FF3B-9C64-4DA9-AAF4-83868621BEEC}"/>
    <cellStyle name="Normal 4 2 2 3 4 4 3 3" xfId="22847" xr:uid="{B76976F0-1AFF-4E09-A527-62427AF0C168}"/>
    <cellStyle name="Normal 4 2 2 3 4 4 4" xfId="10195" xr:uid="{7E3D72D0-1754-4BC2-8958-694463D494FB}"/>
    <cellStyle name="Normal 4 2 2 3 4 4 5" xfId="18630" xr:uid="{0166A936-D2AF-486C-B5FA-B47632C4977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422E4BDD-F6EB-48AE-88C2-B1A7E0BEAEFA}"/>
    <cellStyle name="Normal 4 2 2 3 4 5 2 2 3" xfId="25405" xr:uid="{FE447AA5-2D00-49AF-97FF-48A44C008CE6}"/>
    <cellStyle name="Normal 4 2 2 3 4 5 2 3" xfId="12753" xr:uid="{0EC4FA62-C836-4EB9-8634-C1DAF63F0D72}"/>
    <cellStyle name="Normal 4 2 2 3 4 5 2 4" xfId="21188" xr:uid="{6AD5698D-2711-4A9C-9CAD-2E1FDD1F94A1}"/>
    <cellStyle name="Normal 4 2 2 3 4 5 3" xfId="6376" xr:uid="{00000000-0005-0000-0000-00007C120000}"/>
    <cellStyle name="Normal 4 2 2 3 4 5 3 2" xfId="14826" xr:uid="{F48ECC11-E1EA-4E7B-9CA9-4CD342F120B0}"/>
    <cellStyle name="Normal 4 2 2 3 4 5 3 3" xfId="23260" xr:uid="{18883023-D52F-4507-A854-794C0B44276D}"/>
    <cellStyle name="Normal 4 2 2 3 4 5 4" xfId="10608" xr:uid="{073AD2F8-F9C9-4AE7-A00A-D7018A117736}"/>
    <cellStyle name="Normal 4 2 2 3 4 5 5" xfId="19043" xr:uid="{C591CC2E-59DA-4F37-B56A-29F5E667D696}"/>
    <cellStyle name="Normal 4 2 2 3 4 6" xfId="2506" xr:uid="{00000000-0005-0000-0000-00007D120000}"/>
    <cellStyle name="Normal 4 2 2 3 4 6 2" xfId="6789" xr:uid="{00000000-0005-0000-0000-00007E120000}"/>
    <cellStyle name="Normal 4 2 2 3 4 6 2 2" xfId="15239" xr:uid="{5D3AD2DC-3DA3-40FD-AB10-DD8266907EE1}"/>
    <cellStyle name="Normal 4 2 2 3 4 6 2 3" xfId="23673" xr:uid="{424910B3-AE14-4550-9E86-D991FEE7B106}"/>
    <cellStyle name="Normal 4 2 2 3 4 6 3" xfId="11021" xr:uid="{6841E03C-7646-4E4A-AE14-EE52906C9597}"/>
    <cellStyle name="Normal 4 2 2 3 4 6 4" xfId="19456" xr:uid="{E2CC7834-FE34-49A7-B266-971B3F34527A}"/>
    <cellStyle name="Normal 4 2 2 3 4 7" xfId="4724" xr:uid="{00000000-0005-0000-0000-00007F120000}"/>
    <cellStyle name="Normal 4 2 2 3 4 7 2" xfId="13174" xr:uid="{55E979EA-F3FD-466B-A70B-576E8E3DE7E5}"/>
    <cellStyle name="Normal 4 2 2 3 4 7 3" xfId="21608" xr:uid="{C2910F81-2140-4392-936C-874725829EA1}"/>
    <cellStyle name="Normal 4 2 2 3 4 8" xfId="8956" xr:uid="{155BC3B1-AC7E-48FD-A15A-0BE7EDE2E027}"/>
    <cellStyle name="Normal 4 2 2 3 4 9" xfId="17391" xr:uid="{8EEEC92D-10D5-4F3A-96E3-9944BD1151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1C5F8FF8-E266-4E64-9D09-3C59F4702D4E}"/>
    <cellStyle name="Normal 4 2 2 3 5 2 2 3" xfId="24159" xr:uid="{E6AB3F56-88C0-4C4C-909B-30A8A9553209}"/>
    <cellStyle name="Normal 4 2 2 3 5 2 3" xfId="11507" xr:uid="{A1C55EBF-0BCB-4FB0-9566-F52BDE68521A}"/>
    <cellStyle name="Normal 4 2 2 3 5 2 4" xfId="19942" xr:uid="{1EB3AADD-FB35-4041-9423-C34324484033}"/>
    <cellStyle name="Normal 4 2 2 3 5 3" xfId="5130" xr:uid="{00000000-0005-0000-0000-000083120000}"/>
    <cellStyle name="Normal 4 2 2 3 5 3 2" xfId="13580" xr:uid="{493E8777-24C0-4125-90A8-376E4922C5E2}"/>
    <cellStyle name="Normal 4 2 2 3 5 3 3" xfId="22014" xr:uid="{702D70A3-8BE1-499A-AF35-E86E87026524}"/>
    <cellStyle name="Normal 4 2 2 3 5 4" xfId="9362" xr:uid="{B7D0CAB4-A879-47D8-8523-5C8DC6C1C366}"/>
    <cellStyle name="Normal 4 2 2 3 5 5" xfId="17797" xr:uid="{BD27C13B-ECCC-43EF-A4A6-E6331CDD7DE3}"/>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C8DB268-F7F5-46E3-AB47-5826366E5961}"/>
    <cellStyle name="Normal 4 2 2 3 6 2 2 3" xfId="24572" xr:uid="{9EF65118-A4EB-43D4-8AC2-6DC5B5D27823}"/>
    <cellStyle name="Normal 4 2 2 3 6 2 3" xfId="11920" xr:uid="{F732FB6A-DB1F-422C-8016-2A1FC2FA1324}"/>
    <cellStyle name="Normal 4 2 2 3 6 2 4" xfId="20355" xr:uid="{DBE76B1A-0E4F-432E-9B9E-92D0F66B4441}"/>
    <cellStyle name="Normal 4 2 2 3 6 3" xfId="5543" xr:uid="{00000000-0005-0000-0000-000087120000}"/>
    <cellStyle name="Normal 4 2 2 3 6 3 2" xfId="13993" xr:uid="{8ABB98D1-9518-4804-9AFF-8F4376F6FECD}"/>
    <cellStyle name="Normal 4 2 2 3 6 3 3" xfId="22427" xr:uid="{6812605E-CCD3-4661-B2D6-C3D960E0E289}"/>
    <cellStyle name="Normal 4 2 2 3 6 4" xfId="9775" xr:uid="{FA7A7814-4555-4DBA-96D9-E9E812FDB718}"/>
    <cellStyle name="Normal 4 2 2 3 6 5" xfId="18210" xr:uid="{366A0C54-7D65-41FA-9C94-2297E6CC7E6D}"/>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FE22B9EF-0C47-4749-8E15-5EFFE3528C02}"/>
    <cellStyle name="Normal 4 2 2 3 7 2 2 3" xfId="24985" xr:uid="{EC271986-9CC0-490B-B421-04CFBAA311C1}"/>
    <cellStyle name="Normal 4 2 2 3 7 2 3" xfId="12333" xr:uid="{289672E8-DD58-4FAA-81A7-545EC3CA689A}"/>
    <cellStyle name="Normal 4 2 2 3 7 2 4" xfId="20768" xr:uid="{941EEB23-C5BC-45B3-BFFF-50B46EE46087}"/>
    <cellStyle name="Normal 4 2 2 3 7 3" xfId="5956" xr:uid="{00000000-0005-0000-0000-00008B120000}"/>
    <cellStyle name="Normal 4 2 2 3 7 3 2" xfId="14406" xr:uid="{C108C326-9CA6-4838-95D6-4C21318898B4}"/>
    <cellStyle name="Normal 4 2 2 3 7 3 3" xfId="22840" xr:uid="{C782C6B9-D57B-4343-9C41-920A570D8C2C}"/>
    <cellStyle name="Normal 4 2 2 3 7 4" xfId="10188" xr:uid="{CAD002E3-4933-46CA-BFD2-2DECE8E73240}"/>
    <cellStyle name="Normal 4 2 2 3 7 5" xfId="18623" xr:uid="{5CDBBFF4-D6EA-4A7E-9F23-6C0ECD8B48C0}"/>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9C411B07-8541-4740-80E5-FED5124B7A82}"/>
    <cellStyle name="Normal 4 2 2 3 8 2 2 3" xfId="25398" xr:uid="{9CFE0E81-ED89-41CF-B284-7ABBEF7BFFC9}"/>
    <cellStyle name="Normal 4 2 2 3 8 2 3" xfId="12746" xr:uid="{CFAA79F7-A868-4954-8EF9-9B0217C22AE7}"/>
    <cellStyle name="Normal 4 2 2 3 8 2 4" xfId="21181" xr:uid="{E6343DAE-984D-42F3-8F8E-6A4B08B53642}"/>
    <cellStyle name="Normal 4 2 2 3 8 3" xfId="6369" xr:uid="{00000000-0005-0000-0000-00008F120000}"/>
    <cellStyle name="Normal 4 2 2 3 8 3 2" xfId="14819" xr:uid="{7C8BF5BD-3BDC-4310-A52F-4E390CB7068B}"/>
    <cellStyle name="Normal 4 2 2 3 8 3 3" xfId="23253" xr:uid="{BA4BCF62-FD06-4C26-AD78-425BB7656C07}"/>
    <cellStyle name="Normal 4 2 2 3 8 4" xfId="10601" xr:uid="{81703291-B3A7-4A53-B215-1294D80CF517}"/>
    <cellStyle name="Normal 4 2 2 3 8 5" xfId="19036" xr:uid="{C82E076D-ED59-4D4B-B3E1-3DE90AFC22EA}"/>
    <cellStyle name="Normal 4 2 2 3 9" xfId="2499" xr:uid="{00000000-0005-0000-0000-000090120000}"/>
    <cellStyle name="Normal 4 2 2 3 9 2" xfId="6782" xr:uid="{00000000-0005-0000-0000-000091120000}"/>
    <cellStyle name="Normal 4 2 2 3 9 2 2" xfId="15232" xr:uid="{1F1A422A-5E36-4534-942A-939EE2707905}"/>
    <cellStyle name="Normal 4 2 2 3 9 2 3" xfId="23666" xr:uid="{CE47FB9B-683D-4C14-8768-BC6A05D453B9}"/>
    <cellStyle name="Normal 4 2 2 3 9 3" xfId="11014" xr:uid="{E8299354-7CA2-4123-8C5B-3CC2042903E6}"/>
    <cellStyle name="Normal 4 2 2 3 9 4" xfId="19449" xr:uid="{EE5C38A2-90E2-4723-947E-A5C3862DA058}"/>
    <cellStyle name="Normal 4 2 2 4" xfId="347" xr:uid="{00000000-0005-0000-0000-000092120000}"/>
    <cellStyle name="Normal 4 2 2 4 10" xfId="8957" xr:uid="{BB9CC986-3165-493C-9495-CED705865A83}"/>
    <cellStyle name="Normal 4 2 2 4 11" xfId="17392" xr:uid="{071BF233-CEF3-49D0-B893-1EC1FC1DDE51}"/>
    <cellStyle name="Normal 4 2 2 4 2" xfId="348" xr:uid="{00000000-0005-0000-0000-000093120000}"/>
    <cellStyle name="Normal 4 2 2 4 2 10" xfId="17393" xr:uid="{1090498D-D051-41E8-8BC5-43BC5E6E15FC}"/>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B5EB9556-A293-44D3-8C7E-B352A508AD85}"/>
    <cellStyle name="Normal 4 2 2 4 2 2 2 2 2 3" xfId="24169" xr:uid="{1C634686-40BF-4F47-B9C2-4134EEE7A229}"/>
    <cellStyle name="Normal 4 2 2 4 2 2 2 2 3" xfId="11517" xr:uid="{352A681A-541F-421E-9045-E7DB849956A6}"/>
    <cellStyle name="Normal 4 2 2 4 2 2 2 2 4" xfId="19952" xr:uid="{1ED85EBD-AEAA-4059-AF13-938034DCCEE3}"/>
    <cellStyle name="Normal 4 2 2 4 2 2 2 3" xfId="5140" xr:uid="{00000000-0005-0000-0000-000098120000}"/>
    <cellStyle name="Normal 4 2 2 4 2 2 2 3 2" xfId="13590" xr:uid="{E518B611-8AF3-4707-8588-4AA769458BFE}"/>
    <cellStyle name="Normal 4 2 2 4 2 2 2 3 3" xfId="22024" xr:uid="{BBC48130-D6D7-4D4A-993B-6FE45510CB19}"/>
    <cellStyle name="Normal 4 2 2 4 2 2 2 4" xfId="9372" xr:uid="{240072D6-63D7-4A49-B0B7-89016D7275D6}"/>
    <cellStyle name="Normal 4 2 2 4 2 2 2 5" xfId="17807" xr:uid="{7D1668E3-12A4-4502-A672-1D7CD862C46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41001298-8D4B-4E9C-B721-632AEB5232CA}"/>
    <cellStyle name="Normal 4 2 2 4 2 2 3 2 2 3" xfId="24582" xr:uid="{3C52A0F4-56D0-4BCD-A78D-63458EAC4527}"/>
    <cellStyle name="Normal 4 2 2 4 2 2 3 2 3" xfId="11930" xr:uid="{FD191151-FC3E-4CD2-B2DD-CFBF2ABD8F1F}"/>
    <cellStyle name="Normal 4 2 2 4 2 2 3 2 4" xfId="20365" xr:uid="{DC3F8904-7FF7-469D-8374-7629872E947B}"/>
    <cellStyle name="Normal 4 2 2 4 2 2 3 3" xfId="5553" xr:uid="{00000000-0005-0000-0000-00009C120000}"/>
    <cellStyle name="Normal 4 2 2 4 2 2 3 3 2" xfId="14003" xr:uid="{1CF53951-5D2D-485C-83F2-6475FC4FD2A9}"/>
    <cellStyle name="Normal 4 2 2 4 2 2 3 3 3" xfId="22437" xr:uid="{5D2D9877-32C4-4D44-9B86-75E106E913C5}"/>
    <cellStyle name="Normal 4 2 2 4 2 2 3 4" xfId="9785" xr:uid="{85E33B74-39B3-4B00-ABB4-5B9EE66659C0}"/>
    <cellStyle name="Normal 4 2 2 4 2 2 3 5" xfId="18220" xr:uid="{FA1004CD-9663-4584-8D75-C0AC4151D46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36EDB847-CD47-44BB-AC1D-2BEEEA2A9795}"/>
    <cellStyle name="Normal 4 2 2 4 2 2 4 2 2 3" xfId="24995" xr:uid="{DDAA9BF6-8E7F-4CC6-A3EF-2F8559A958C0}"/>
    <cellStyle name="Normal 4 2 2 4 2 2 4 2 3" xfId="12343" xr:uid="{12732C84-92C5-4FAB-8D2D-400851D7612C}"/>
    <cellStyle name="Normal 4 2 2 4 2 2 4 2 4" xfId="20778" xr:uid="{12F96E47-26FF-4DDB-B596-3C145529D1C6}"/>
    <cellStyle name="Normal 4 2 2 4 2 2 4 3" xfId="5966" xr:uid="{00000000-0005-0000-0000-0000A0120000}"/>
    <cellStyle name="Normal 4 2 2 4 2 2 4 3 2" xfId="14416" xr:uid="{D8989BC9-FE18-41E3-B306-CF2554913238}"/>
    <cellStyle name="Normal 4 2 2 4 2 2 4 3 3" xfId="22850" xr:uid="{0A880331-3F92-447A-8549-5F88E8F13F97}"/>
    <cellStyle name="Normal 4 2 2 4 2 2 4 4" xfId="10198" xr:uid="{4D4C20A8-AEF7-476B-A889-AF0026094BCB}"/>
    <cellStyle name="Normal 4 2 2 4 2 2 4 5" xfId="18633" xr:uid="{86803E90-6319-4788-B84D-CC93332F9436}"/>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F0491CFD-CC99-4AEA-9D01-76840EA16B17}"/>
    <cellStyle name="Normal 4 2 2 4 2 2 5 2 2 3" xfId="25408" xr:uid="{224C4E4A-1179-4B36-87CA-385EA46A800F}"/>
    <cellStyle name="Normal 4 2 2 4 2 2 5 2 3" xfId="12756" xr:uid="{6AA38D4A-5BA3-4964-8978-13FC85CFA76F}"/>
    <cellStyle name="Normal 4 2 2 4 2 2 5 2 4" xfId="21191" xr:uid="{F1160C56-8A29-4576-BDA6-3CC3C9735065}"/>
    <cellStyle name="Normal 4 2 2 4 2 2 5 3" xfId="6379" xr:uid="{00000000-0005-0000-0000-0000A4120000}"/>
    <cellStyle name="Normal 4 2 2 4 2 2 5 3 2" xfId="14829" xr:uid="{B30299E7-A6F1-4232-8A21-5AF062A8214C}"/>
    <cellStyle name="Normal 4 2 2 4 2 2 5 3 3" xfId="23263" xr:uid="{B54956EB-E6A2-47BC-9E36-7603857934F9}"/>
    <cellStyle name="Normal 4 2 2 4 2 2 5 4" xfId="10611" xr:uid="{9059BD7E-F5B3-4610-81AA-1D58647494A7}"/>
    <cellStyle name="Normal 4 2 2 4 2 2 5 5" xfId="19046" xr:uid="{8634EE62-B929-45BB-B1E4-BE99ECAF44EA}"/>
    <cellStyle name="Normal 4 2 2 4 2 2 6" xfId="2509" xr:uid="{00000000-0005-0000-0000-0000A5120000}"/>
    <cellStyle name="Normal 4 2 2 4 2 2 6 2" xfId="6792" xr:uid="{00000000-0005-0000-0000-0000A6120000}"/>
    <cellStyle name="Normal 4 2 2 4 2 2 6 2 2" xfId="15242" xr:uid="{06690F6F-A3F5-49F1-AC19-89DD1E8CCDBD}"/>
    <cellStyle name="Normal 4 2 2 4 2 2 6 2 3" xfId="23676" xr:uid="{F4EFD8DB-070D-4129-AFF8-C14450EF38BA}"/>
    <cellStyle name="Normal 4 2 2 4 2 2 6 3" xfId="11024" xr:uid="{FFAD0B81-5871-4CAF-901B-30CD6E50E125}"/>
    <cellStyle name="Normal 4 2 2 4 2 2 6 4" xfId="19459" xr:uid="{1FE60014-11D2-4AC4-A86D-5851CB16ED1D}"/>
    <cellStyle name="Normal 4 2 2 4 2 2 7" xfId="4727" xr:uid="{00000000-0005-0000-0000-0000A7120000}"/>
    <cellStyle name="Normal 4 2 2 4 2 2 7 2" xfId="13177" xr:uid="{8728D90F-0C4C-4B9B-ACC8-A7CBA4C7F611}"/>
    <cellStyle name="Normal 4 2 2 4 2 2 7 3" xfId="21611" xr:uid="{6F6182C0-2C78-4781-94C4-BD23CB6C8AD8}"/>
    <cellStyle name="Normal 4 2 2 4 2 2 8" xfId="8959" xr:uid="{EE3E0EA1-C7F0-4C0B-88D3-D745C9571F6D}"/>
    <cellStyle name="Normal 4 2 2 4 2 2 9" xfId="17394" xr:uid="{3BBCB62D-C349-4EC9-8C1A-E4AECBCD983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701D86B8-2E32-4B61-AA83-D90521323BC2}"/>
    <cellStyle name="Normal 4 2 2 4 2 3 2 2 3" xfId="24168" xr:uid="{10D7D8B9-EF17-47E7-9A33-4EF5539BADCA}"/>
    <cellStyle name="Normal 4 2 2 4 2 3 2 3" xfId="11516" xr:uid="{F1519BD0-C98B-4BC3-A14B-B22D78A6099C}"/>
    <cellStyle name="Normal 4 2 2 4 2 3 2 4" xfId="19951" xr:uid="{32D59475-961D-4329-A0AF-16ACB7557BBA}"/>
    <cellStyle name="Normal 4 2 2 4 2 3 3" xfId="5139" xr:uid="{00000000-0005-0000-0000-0000AB120000}"/>
    <cellStyle name="Normal 4 2 2 4 2 3 3 2" xfId="13589" xr:uid="{2BA3CA47-C683-487C-8F7F-02D0E7822BBD}"/>
    <cellStyle name="Normal 4 2 2 4 2 3 3 3" xfId="22023" xr:uid="{7E41B3EA-1FA0-4B4E-8BEC-0F87C6666400}"/>
    <cellStyle name="Normal 4 2 2 4 2 3 4" xfId="9371" xr:uid="{B1E915F5-1439-4F84-AC93-E077A620FF19}"/>
    <cellStyle name="Normal 4 2 2 4 2 3 5" xfId="17806" xr:uid="{3F41C6EA-F992-46E9-B078-2FDE1DD6D6D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3F5B72C2-C6EA-42D9-B101-2AD74F8A7CB7}"/>
    <cellStyle name="Normal 4 2 2 4 2 4 2 2 3" xfId="24581" xr:uid="{1CB53E25-B19E-48BF-AC43-85625401BDC4}"/>
    <cellStyle name="Normal 4 2 2 4 2 4 2 3" xfId="11929" xr:uid="{392ACE48-371C-48BE-985C-C666B8EEFED1}"/>
    <cellStyle name="Normal 4 2 2 4 2 4 2 4" xfId="20364" xr:uid="{39ADC66A-DDEE-4FDB-8108-D4BF94C71036}"/>
    <cellStyle name="Normal 4 2 2 4 2 4 3" xfId="5552" xr:uid="{00000000-0005-0000-0000-0000AF120000}"/>
    <cellStyle name="Normal 4 2 2 4 2 4 3 2" xfId="14002" xr:uid="{C6A7B22B-28AE-4D66-81F3-CBF8A1BE9E46}"/>
    <cellStyle name="Normal 4 2 2 4 2 4 3 3" xfId="22436" xr:uid="{ADBC61F5-2084-4F9F-ADC2-51D7454336C2}"/>
    <cellStyle name="Normal 4 2 2 4 2 4 4" xfId="9784" xr:uid="{6193B182-F647-4C5F-8215-8BC4A0F0557E}"/>
    <cellStyle name="Normal 4 2 2 4 2 4 5" xfId="18219" xr:uid="{1AC19249-0815-46D7-819A-89E76EB6826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B58C674F-C0C8-48F8-9168-B4380320E13B}"/>
    <cellStyle name="Normal 4 2 2 4 2 5 2 2 3" xfId="24994" xr:uid="{08948DDE-493A-4490-B1AA-2A177A80429F}"/>
    <cellStyle name="Normal 4 2 2 4 2 5 2 3" xfId="12342" xr:uid="{424EE37F-DFA1-4434-A862-F4934189483A}"/>
    <cellStyle name="Normal 4 2 2 4 2 5 2 4" xfId="20777" xr:uid="{6E85CA67-7D27-4CB4-82A2-52D3E848B561}"/>
    <cellStyle name="Normal 4 2 2 4 2 5 3" xfId="5965" xr:uid="{00000000-0005-0000-0000-0000B3120000}"/>
    <cellStyle name="Normal 4 2 2 4 2 5 3 2" xfId="14415" xr:uid="{A64DB3C1-60A7-40DB-A01C-DC9C6497F0A9}"/>
    <cellStyle name="Normal 4 2 2 4 2 5 3 3" xfId="22849" xr:uid="{766217AE-2078-4FFD-ABF0-7B0C70EE37D6}"/>
    <cellStyle name="Normal 4 2 2 4 2 5 4" xfId="10197" xr:uid="{CB1E12DA-6543-435A-A572-725F0E549B20}"/>
    <cellStyle name="Normal 4 2 2 4 2 5 5" xfId="18632" xr:uid="{222B0BCE-78E6-4FCA-B9BF-8521B8302D6A}"/>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1DE2DE5D-5D45-44B3-833C-FDDDAD06B3F6}"/>
    <cellStyle name="Normal 4 2 2 4 2 6 2 2 3" xfId="25407" xr:uid="{962CE898-7C5E-4F13-890A-9AC1EBCB52FD}"/>
    <cellStyle name="Normal 4 2 2 4 2 6 2 3" xfId="12755" xr:uid="{47BBAAD8-C75E-4C06-A5C5-50F7D8BD7DF6}"/>
    <cellStyle name="Normal 4 2 2 4 2 6 2 4" xfId="21190" xr:uid="{155ADAE6-4C50-4767-9B25-55EF69DB7CA5}"/>
    <cellStyle name="Normal 4 2 2 4 2 6 3" xfId="6378" xr:uid="{00000000-0005-0000-0000-0000B7120000}"/>
    <cellStyle name="Normal 4 2 2 4 2 6 3 2" xfId="14828" xr:uid="{AD690C2F-A2B2-4166-BBEC-83966977E1F1}"/>
    <cellStyle name="Normal 4 2 2 4 2 6 3 3" xfId="23262" xr:uid="{899D7308-5C3B-4266-A33C-D37394DD57BC}"/>
    <cellStyle name="Normal 4 2 2 4 2 6 4" xfId="10610" xr:uid="{555BE00A-BFA7-416A-BE90-49A473B5904E}"/>
    <cellStyle name="Normal 4 2 2 4 2 6 5" xfId="19045" xr:uid="{702CAA82-88DF-409A-9ED4-C8E513C1DE2D}"/>
    <cellStyle name="Normal 4 2 2 4 2 7" xfId="2508" xr:uid="{00000000-0005-0000-0000-0000B8120000}"/>
    <cellStyle name="Normal 4 2 2 4 2 7 2" xfId="6791" xr:uid="{00000000-0005-0000-0000-0000B9120000}"/>
    <cellStyle name="Normal 4 2 2 4 2 7 2 2" xfId="15241" xr:uid="{AB8C770C-0C85-4CEA-A28D-569F82CFB5BC}"/>
    <cellStyle name="Normal 4 2 2 4 2 7 2 3" xfId="23675" xr:uid="{B141A4C6-AFCE-4EF1-89FE-6D11C882C1B4}"/>
    <cellStyle name="Normal 4 2 2 4 2 7 3" xfId="11023" xr:uid="{9EDBD6A7-1F31-4A06-B7DE-46196436C976}"/>
    <cellStyle name="Normal 4 2 2 4 2 7 4" xfId="19458" xr:uid="{9D809947-4A96-4E03-B7BD-21DA6F0AADA7}"/>
    <cellStyle name="Normal 4 2 2 4 2 8" xfId="4726" xr:uid="{00000000-0005-0000-0000-0000BA120000}"/>
    <cellStyle name="Normal 4 2 2 4 2 8 2" xfId="13176" xr:uid="{2CF868D8-31D6-4CC3-BC66-4476C16D2D37}"/>
    <cellStyle name="Normal 4 2 2 4 2 8 3" xfId="21610" xr:uid="{D3A13A02-5F5A-4A45-8957-971451B265A0}"/>
    <cellStyle name="Normal 4 2 2 4 2 9" xfId="8958" xr:uid="{32120EDF-8086-41AA-BAE9-14F1C4E72E75}"/>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F2B77DC6-BFC4-4C1E-8634-C28D783FAF24}"/>
    <cellStyle name="Normal 4 2 2 4 3 2 2 2 3" xfId="24170" xr:uid="{E92CA182-D5CD-4D37-96FC-9B49C8940223}"/>
    <cellStyle name="Normal 4 2 2 4 3 2 2 3" xfId="11518" xr:uid="{50C3EFDC-EA49-4A26-B847-4A3D8C6B0BCB}"/>
    <cellStyle name="Normal 4 2 2 4 3 2 2 4" xfId="19953" xr:uid="{1312BD58-2EB2-4DF8-8C42-E808770AC6B8}"/>
    <cellStyle name="Normal 4 2 2 4 3 2 3" xfId="5141" xr:uid="{00000000-0005-0000-0000-0000BF120000}"/>
    <cellStyle name="Normal 4 2 2 4 3 2 3 2" xfId="13591" xr:uid="{A06295B8-6AAB-4B2D-B4A5-DB9268B49860}"/>
    <cellStyle name="Normal 4 2 2 4 3 2 3 3" xfId="22025" xr:uid="{DE844122-649B-41B3-979E-3B5326655183}"/>
    <cellStyle name="Normal 4 2 2 4 3 2 4" xfId="9373" xr:uid="{1E24F44D-455A-4C4F-84A1-9E5A2AF38417}"/>
    <cellStyle name="Normal 4 2 2 4 3 2 5" xfId="17808" xr:uid="{9B2DE300-7B97-402C-97E3-4FB73E26BC9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D37751BA-410F-4112-987A-9B309F116C92}"/>
    <cellStyle name="Normal 4 2 2 4 3 3 2 2 3" xfId="24583" xr:uid="{658D0A72-FD09-47D6-916C-2597E686988A}"/>
    <cellStyle name="Normal 4 2 2 4 3 3 2 3" xfId="11931" xr:uid="{A973D36C-1E3F-4122-9D10-AE1EF76F094D}"/>
    <cellStyle name="Normal 4 2 2 4 3 3 2 4" xfId="20366" xr:uid="{302A754D-668D-48AA-8ADB-501A5BA7BD27}"/>
    <cellStyle name="Normal 4 2 2 4 3 3 3" xfId="5554" xr:uid="{00000000-0005-0000-0000-0000C3120000}"/>
    <cellStyle name="Normal 4 2 2 4 3 3 3 2" xfId="14004" xr:uid="{16D1DDFF-3A41-4756-9967-F9B19A32A223}"/>
    <cellStyle name="Normal 4 2 2 4 3 3 3 3" xfId="22438" xr:uid="{556875A7-286B-4DE5-ADC7-CF314C7B9878}"/>
    <cellStyle name="Normal 4 2 2 4 3 3 4" xfId="9786" xr:uid="{633A816D-09A7-4FF1-B7FB-8C5685034057}"/>
    <cellStyle name="Normal 4 2 2 4 3 3 5" xfId="18221" xr:uid="{B5A1E15E-F030-4EFE-A891-3BF3A24E8E2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6EEF6991-70B7-4DC1-91D7-4B0CA34EE228}"/>
    <cellStyle name="Normal 4 2 2 4 3 4 2 2 3" xfId="24996" xr:uid="{ABD67C90-1E51-4352-8A30-4EEC7B57E46D}"/>
    <cellStyle name="Normal 4 2 2 4 3 4 2 3" xfId="12344" xr:uid="{601E00F1-3E8A-48BB-8162-310E9E97EF51}"/>
    <cellStyle name="Normal 4 2 2 4 3 4 2 4" xfId="20779" xr:uid="{E0318180-6BD5-4193-9090-EDB91BD74160}"/>
    <cellStyle name="Normal 4 2 2 4 3 4 3" xfId="5967" xr:uid="{00000000-0005-0000-0000-0000C7120000}"/>
    <cellStyle name="Normal 4 2 2 4 3 4 3 2" xfId="14417" xr:uid="{5F339FDC-5C8D-4356-A2C2-1ADF3A2385C6}"/>
    <cellStyle name="Normal 4 2 2 4 3 4 3 3" xfId="22851" xr:uid="{24F1154C-C081-4660-B13A-90E5881A64DD}"/>
    <cellStyle name="Normal 4 2 2 4 3 4 4" xfId="10199" xr:uid="{AE37C551-12F5-46D6-B326-EF2AC621D1F9}"/>
    <cellStyle name="Normal 4 2 2 4 3 4 5" xfId="18634" xr:uid="{BCD54D97-C17E-4360-8E02-B28951D230F3}"/>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5AB74973-C265-4DF9-AC52-E7A0F40835AE}"/>
    <cellStyle name="Normal 4 2 2 4 3 5 2 2 3" xfId="25409" xr:uid="{C2F9366C-BBCB-4DC5-959B-D2F8782E436D}"/>
    <cellStyle name="Normal 4 2 2 4 3 5 2 3" xfId="12757" xr:uid="{096CC3D5-C2D0-442A-9D1E-B2A82F8149E6}"/>
    <cellStyle name="Normal 4 2 2 4 3 5 2 4" xfId="21192" xr:uid="{3F8B6087-C398-47E0-A2C6-EDB30BA2F043}"/>
    <cellStyle name="Normal 4 2 2 4 3 5 3" xfId="6380" xr:uid="{00000000-0005-0000-0000-0000CB120000}"/>
    <cellStyle name="Normal 4 2 2 4 3 5 3 2" xfId="14830" xr:uid="{AA6C08E1-B21A-46BF-944D-F83498A4D1CC}"/>
    <cellStyle name="Normal 4 2 2 4 3 5 3 3" xfId="23264" xr:uid="{C088FF7D-5357-43F5-BE65-F6F5238AE409}"/>
    <cellStyle name="Normal 4 2 2 4 3 5 4" xfId="10612" xr:uid="{EF01BF19-4C9E-45B3-A34D-337DFDE860B3}"/>
    <cellStyle name="Normal 4 2 2 4 3 5 5" xfId="19047" xr:uid="{D045AEED-9E13-4504-9FAC-68815848C45B}"/>
    <cellStyle name="Normal 4 2 2 4 3 6" xfId="2510" xr:uid="{00000000-0005-0000-0000-0000CC120000}"/>
    <cellStyle name="Normal 4 2 2 4 3 6 2" xfId="6793" xr:uid="{00000000-0005-0000-0000-0000CD120000}"/>
    <cellStyle name="Normal 4 2 2 4 3 6 2 2" xfId="15243" xr:uid="{406C339A-D6CE-4786-A556-67BD6A1C57EF}"/>
    <cellStyle name="Normal 4 2 2 4 3 6 2 3" xfId="23677" xr:uid="{08C9EFD6-2BE0-4E9C-A61E-FEA18D7F1C60}"/>
    <cellStyle name="Normal 4 2 2 4 3 6 3" xfId="11025" xr:uid="{3B0C8581-5748-4392-8419-65B5AAF2464E}"/>
    <cellStyle name="Normal 4 2 2 4 3 6 4" xfId="19460" xr:uid="{8B1BC322-F599-4AC7-85CA-F584D11BEA34}"/>
    <cellStyle name="Normal 4 2 2 4 3 7" xfId="4728" xr:uid="{00000000-0005-0000-0000-0000CE120000}"/>
    <cellStyle name="Normal 4 2 2 4 3 7 2" xfId="13178" xr:uid="{05CC62DB-28BC-4FC0-A327-AA4505440439}"/>
    <cellStyle name="Normal 4 2 2 4 3 7 3" xfId="21612" xr:uid="{70A8B53B-9050-485C-8D2E-572A00CDA2AF}"/>
    <cellStyle name="Normal 4 2 2 4 3 8" xfId="8960" xr:uid="{C7EABE89-CDE2-411C-94CB-2BE0250C5B80}"/>
    <cellStyle name="Normal 4 2 2 4 3 9" xfId="17395" xr:uid="{2E254178-F0D8-46E6-88F2-14DDC34FE599}"/>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BE13D33C-953A-4187-85AE-B79EE2B88F51}"/>
    <cellStyle name="Normal 4 2 2 4 4 2 2 3" xfId="24167" xr:uid="{8AE8E2DD-5E99-4EFD-AA87-B67967B20771}"/>
    <cellStyle name="Normal 4 2 2 4 4 2 3" xfId="11515" xr:uid="{C0643F0F-0DDF-46D3-9EA6-AD508CD0AF73}"/>
    <cellStyle name="Normal 4 2 2 4 4 2 4" xfId="19950" xr:uid="{E32475F7-C58D-47B2-A61D-2F37ED87B616}"/>
    <cellStyle name="Normal 4 2 2 4 4 3" xfId="5138" xr:uid="{00000000-0005-0000-0000-0000D2120000}"/>
    <cellStyle name="Normal 4 2 2 4 4 3 2" xfId="13588" xr:uid="{422157FE-DD5C-4A8E-97B2-58CB3C0099EB}"/>
    <cellStyle name="Normal 4 2 2 4 4 3 3" xfId="22022" xr:uid="{CEDB3829-38B9-4955-9A10-66AC54E5B6C6}"/>
    <cellStyle name="Normal 4 2 2 4 4 4" xfId="9370" xr:uid="{AB2579F7-0C7A-4E0D-8977-0B4BD2EB5349}"/>
    <cellStyle name="Normal 4 2 2 4 4 5" xfId="17805" xr:uid="{74601F93-AF36-494C-8E69-49E08F38C62F}"/>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8D9CCE70-6773-4AAE-96D7-70655ED35B7A}"/>
    <cellStyle name="Normal 4 2 2 4 5 2 2 3" xfId="24580" xr:uid="{8030519A-2003-4C3A-B4F0-6F766C4B513E}"/>
    <cellStyle name="Normal 4 2 2 4 5 2 3" xfId="11928" xr:uid="{D3A4B15E-E408-4F76-8C8F-D1BBDD98A491}"/>
    <cellStyle name="Normal 4 2 2 4 5 2 4" xfId="20363" xr:uid="{A0BF22A0-F4DD-43A7-AE0F-8F3600222979}"/>
    <cellStyle name="Normal 4 2 2 4 5 3" xfId="5551" xr:uid="{00000000-0005-0000-0000-0000D6120000}"/>
    <cellStyle name="Normal 4 2 2 4 5 3 2" xfId="14001" xr:uid="{718E7F1E-DB9D-42E4-8C9F-5BCE5C9E6A8F}"/>
    <cellStyle name="Normal 4 2 2 4 5 3 3" xfId="22435" xr:uid="{C6430922-8A13-4C90-ACED-32B78F3B2330}"/>
    <cellStyle name="Normal 4 2 2 4 5 4" xfId="9783" xr:uid="{94A023F0-F0BD-4452-8EE5-88CA16AF3F7C}"/>
    <cellStyle name="Normal 4 2 2 4 5 5" xfId="18218" xr:uid="{7011E5F1-D894-4CE4-A8A7-61FCE9710362}"/>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C71919EF-6E91-41ED-A841-8A91A3C6E46F}"/>
    <cellStyle name="Normal 4 2 2 4 6 2 2 3" xfId="24993" xr:uid="{B482C1EF-E597-41CD-B4A6-A41F3C8B8CFB}"/>
    <cellStyle name="Normal 4 2 2 4 6 2 3" xfId="12341" xr:uid="{B9899D86-6603-4095-AADD-93A05D79E6BE}"/>
    <cellStyle name="Normal 4 2 2 4 6 2 4" xfId="20776" xr:uid="{4DE0D183-A6D2-47A0-99AD-B08481B49B7A}"/>
    <cellStyle name="Normal 4 2 2 4 6 3" xfId="5964" xr:uid="{00000000-0005-0000-0000-0000DA120000}"/>
    <cellStyle name="Normal 4 2 2 4 6 3 2" xfId="14414" xr:uid="{A5903847-A0DE-4A68-B52C-E0E2762F7BD0}"/>
    <cellStyle name="Normal 4 2 2 4 6 3 3" xfId="22848" xr:uid="{3A3F7319-47A7-4315-BB13-5EC8BC9E35AE}"/>
    <cellStyle name="Normal 4 2 2 4 6 4" xfId="10196" xr:uid="{C0A8334E-B77A-4587-9343-9E20918449B4}"/>
    <cellStyle name="Normal 4 2 2 4 6 5" xfId="18631" xr:uid="{144008ED-388F-4182-BC70-7C3939D256AA}"/>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98038C3E-02B3-42D4-B548-E4FF5FF5E6FD}"/>
    <cellStyle name="Normal 4 2 2 4 7 2 2 3" xfId="25406" xr:uid="{81AD7F9B-6088-4CC2-98F6-19EF4DA9CE31}"/>
    <cellStyle name="Normal 4 2 2 4 7 2 3" xfId="12754" xr:uid="{F9A74FF5-BE33-40B2-B195-F30A8EB26B77}"/>
    <cellStyle name="Normal 4 2 2 4 7 2 4" xfId="21189" xr:uid="{E92FFE43-9AEA-495B-A8BD-1A1103D2CCC2}"/>
    <cellStyle name="Normal 4 2 2 4 7 3" xfId="6377" xr:uid="{00000000-0005-0000-0000-0000DE120000}"/>
    <cellStyle name="Normal 4 2 2 4 7 3 2" xfId="14827" xr:uid="{51E888E6-B7DF-4AF2-95EC-A76B6EE01666}"/>
    <cellStyle name="Normal 4 2 2 4 7 3 3" xfId="23261" xr:uid="{B814CA1D-C05C-4662-8B9F-7178558677D6}"/>
    <cellStyle name="Normal 4 2 2 4 7 4" xfId="10609" xr:uid="{16E32CEE-93E8-4B22-867A-3A44DD0BA5FE}"/>
    <cellStyle name="Normal 4 2 2 4 7 5" xfId="19044" xr:uid="{7A7A359D-AA58-41A9-AC63-56EA0CCE8CC0}"/>
    <cellStyle name="Normal 4 2 2 4 8" xfId="2507" xr:uid="{00000000-0005-0000-0000-0000DF120000}"/>
    <cellStyle name="Normal 4 2 2 4 8 2" xfId="6790" xr:uid="{00000000-0005-0000-0000-0000E0120000}"/>
    <cellStyle name="Normal 4 2 2 4 8 2 2" xfId="15240" xr:uid="{CC771630-D4F3-435D-B60E-5462CF89CC06}"/>
    <cellStyle name="Normal 4 2 2 4 8 2 3" xfId="23674" xr:uid="{5276FE90-9420-4B6E-9B00-85FED26E4E84}"/>
    <cellStyle name="Normal 4 2 2 4 8 3" xfId="11022" xr:uid="{6FBD311C-AA35-49E4-8FA1-8E9F174D7ECD}"/>
    <cellStyle name="Normal 4 2 2 4 8 4" xfId="19457" xr:uid="{B3A00734-3915-493C-97FC-AFA9DBA0F35E}"/>
    <cellStyle name="Normal 4 2 2 4 9" xfId="4725" xr:uid="{00000000-0005-0000-0000-0000E1120000}"/>
    <cellStyle name="Normal 4 2 2 4 9 2" xfId="13175" xr:uid="{AF4CF55B-5413-445D-A7DA-3B81AEC54647}"/>
    <cellStyle name="Normal 4 2 2 4 9 3" xfId="21609" xr:uid="{35BFAC93-AFF0-4BCB-B1E8-74AD26308FAF}"/>
    <cellStyle name="Normal 4 2 2 5" xfId="351" xr:uid="{00000000-0005-0000-0000-0000E2120000}"/>
    <cellStyle name="Normal 4 2 2 5 10" xfId="17396" xr:uid="{7D923E0D-282F-4242-BD74-E9A918AEE49E}"/>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2CEC2AAB-614E-4A7D-B93D-BF8D5E3A5E7C}"/>
    <cellStyle name="Normal 4 2 2 5 2 2 2 2 3" xfId="24172" xr:uid="{5DABEE35-2499-4359-9BC6-0032058682AA}"/>
    <cellStyle name="Normal 4 2 2 5 2 2 2 3" xfId="11520" xr:uid="{4FC46AAF-1D3F-4626-AFE4-3DF8D8BBACD0}"/>
    <cellStyle name="Normal 4 2 2 5 2 2 2 4" xfId="19955" xr:uid="{10DB3303-4670-4508-91C0-5651B19F6A4A}"/>
    <cellStyle name="Normal 4 2 2 5 2 2 3" xfId="5143" xr:uid="{00000000-0005-0000-0000-0000E7120000}"/>
    <cellStyle name="Normal 4 2 2 5 2 2 3 2" xfId="13593" xr:uid="{D3B76709-59B1-4160-AF1D-1F3079CB9AA8}"/>
    <cellStyle name="Normal 4 2 2 5 2 2 3 3" xfId="22027" xr:uid="{9372364F-77B9-4422-AE3C-E926F066C106}"/>
    <cellStyle name="Normal 4 2 2 5 2 2 4" xfId="9375" xr:uid="{590F8FF7-4D7D-48C2-A4D5-E2A9F6671822}"/>
    <cellStyle name="Normal 4 2 2 5 2 2 5" xfId="17810" xr:uid="{1843DD3E-741D-433D-BFD7-D2944F7E4D8A}"/>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DAADDB07-C3E8-49D1-BA7F-8F30763E0859}"/>
    <cellStyle name="Normal 4 2 2 5 2 3 2 2 3" xfId="24585" xr:uid="{5EFCEA27-13A9-4AC0-BB66-675351BF21A2}"/>
    <cellStyle name="Normal 4 2 2 5 2 3 2 3" xfId="11933" xr:uid="{70DFC55E-E073-49B2-987C-634A2016628A}"/>
    <cellStyle name="Normal 4 2 2 5 2 3 2 4" xfId="20368" xr:uid="{8CADD10F-A3DB-45DB-8CB5-6D5F2D784E51}"/>
    <cellStyle name="Normal 4 2 2 5 2 3 3" xfId="5556" xr:uid="{00000000-0005-0000-0000-0000EB120000}"/>
    <cellStyle name="Normal 4 2 2 5 2 3 3 2" xfId="14006" xr:uid="{274A94D2-7BCF-44C0-87A5-8B5DB515F156}"/>
    <cellStyle name="Normal 4 2 2 5 2 3 3 3" xfId="22440" xr:uid="{5C2DE503-1218-46E5-8FF4-D5BD8BC29F75}"/>
    <cellStyle name="Normal 4 2 2 5 2 3 4" xfId="9788" xr:uid="{F692A840-F6E9-4814-AC93-6C63BF0BD17D}"/>
    <cellStyle name="Normal 4 2 2 5 2 3 5" xfId="18223" xr:uid="{67F449D8-98AC-41EC-98E1-6E2D5659CB16}"/>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02B0CF5F-4E9E-4720-B814-7D21E24369EC}"/>
    <cellStyle name="Normal 4 2 2 5 2 4 2 2 3" xfId="24998" xr:uid="{D100B9F8-7AB1-4BA2-873C-16BAAB5397A7}"/>
    <cellStyle name="Normal 4 2 2 5 2 4 2 3" xfId="12346" xr:uid="{443C1D3B-7595-413F-8B28-A596A5F113F5}"/>
    <cellStyle name="Normal 4 2 2 5 2 4 2 4" xfId="20781" xr:uid="{6C34ADDD-FA25-4905-A3D1-82CA62E5BD1F}"/>
    <cellStyle name="Normal 4 2 2 5 2 4 3" xfId="5969" xr:uid="{00000000-0005-0000-0000-0000EF120000}"/>
    <cellStyle name="Normal 4 2 2 5 2 4 3 2" xfId="14419" xr:uid="{9839410D-A1D3-46AF-B4DE-EDC015A76C03}"/>
    <cellStyle name="Normal 4 2 2 5 2 4 3 3" xfId="22853" xr:uid="{10B71FBE-0911-4A2F-9474-577CBE1D0310}"/>
    <cellStyle name="Normal 4 2 2 5 2 4 4" xfId="10201" xr:uid="{66B5A33D-C24D-42DB-BD54-B18D1E47BE83}"/>
    <cellStyle name="Normal 4 2 2 5 2 4 5" xfId="18636" xr:uid="{2B61033E-CD99-411F-A523-9A935E11ACA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DFE629BF-F68E-40E8-941F-2CE9498EFCC2}"/>
    <cellStyle name="Normal 4 2 2 5 2 5 2 2 3" xfId="25411" xr:uid="{B67E7AFA-734B-42E9-A264-77D881CCB89E}"/>
    <cellStyle name="Normal 4 2 2 5 2 5 2 3" xfId="12759" xr:uid="{20F09267-8B76-4EBB-8309-1D40DFE20D23}"/>
    <cellStyle name="Normal 4 2 2 5 2 5 2 4" xfId="21194" xr:uid="{272B7D59-EFA9-44C1-942B-B54863952140}"/>
    <cellStyle name="Normal 4 2 2 5 2 5 3" xfId="6382" xr:uid="{00000000-0005-0000-0000-0000F3120000}"/>
    <cellStyle name="Normal 4 2 2 5 2 5 3 2" xfId="14832" xr:uid="{0DF8CD10-C8DF-4127-9CB3-59E3160ACAE1}"/>
    <cellStyle name="Normal 4 2 2 5 2 5 3 3" xfId="23266" xr:uid="{EE87DECA-12CB-44E1-9936-40B90A87B8CF}"/>
    <cellStyle name="Normal 4 2 2 5 2 5 4" xfId="10614" xr:uid="{8F5B7FD0-D631-416C-A646-B328A8DFF0A1}"/>
    <cellStyle name="Normal 4 2 2 5 2 5 5" xfId="19049" xr:uid="{7DA9B466-F149-43CF-804B-AEAA82FA7F9A}"/>
    <cellStyle name="Normal 4 2 2 5 2 6" xfId="2512" xr:uid="{00000000-0005-0000-0000-0000F4120000}"/>
    <cellStyle name="Normal 4 2 2 5 2 6 2" xfId="6795" xr:uid="{00000000-0005-0000-0000-0000F5120000}"/>
    <cellStyle name="Normal 4 2 2 5 2 6 2 2" xfId="15245" xr:uid="{A43C62CF-6FBA-46FD-BECE-F486B40BEBBC}"/>
    <cellStyle name="Normal 4 2 2 5 2 6 2 3" xfId="23679" xr:uid="{18A6B651-4C52-46B6-9932-324AD22726E4}"/>
    <cellStyle name="Normal 4 2 2 5 2 6 3" xfId="11027" xr:uid="{048C04E9-7C98-4943-8190-0388D1BC494F}"/>
    <cellStyle name="Normal 4 2 2 5 2 6 4" xfId="19462" xr:uid="{DA9B2C48-DF9C-4553-BE07-E1DCDC3F2E96}"/>
    <cellStyle name="Normal 4 2 2 5 2 7" xfId="4730" xr:uid="{00000000-0005-0000-0000-0000F6120000}"/>
    <cellStyle name="Normal 4 2 2 5 2 7 2" xfId="13180" xr:uid="{692C0369-D96D-4020-8EBE-D7B3EF5484C2}"/>
    <cellStyle name="Normal 4 2 2 5 2 7 3" xfId="21614" xr:uid="{963A7373-B357-4336-95A0-B1421132C8D2}"/>
    <cellStyle name="Normal 4 2 2 5 2 8" xfId="8962" xr:uid="{218313F2-2051-4B2F-A001-BBA350C72CAB}"/>
    <cellStyle name="Normal 4 2 2 5 2 9" xfId="17397" xr:uid="{2B487CC8-937D-43B8-9B64-B7C18BE29A0F}"/>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A87F8C87-8983-44CF-BFEB-F04F6A607F07}"/>
    <cellStyle name="Normal 4 2 2 5 3 2 2 3" xfId="24171" xr:uid="{2B63AB82-FB0E-465E-B429-3D924DC05154}"/>
    <cellStyle name="Normal 4 2 2 5 3 2 3" xfId="11519" xr:uid="{6B193BE7-968E-4C82-8F1E-B51575E90AAC}"/>
    <cellStyle name="Normal 4 2 2 5 3 2 4" xfId="19954" xr:uid="{132F359E-3C10-4151-B68C-2F12E843ED6A}"/>
    <cellStyle name="Normal 4 2 2 5 3 3" xfId="5142" xr:uid="{00000000-0005-0000-0000-0000FA120000}"/>
    <cellStyle name="Normal 4 2 2 5 3 3 2" xfId="13592" xr:uid="{6385FA0C-8EE5-4F2D-A0DC-1B0C1F675D5B}"/>
    <cellStyle name="Normal 4 2 2 5 3 3 3" xfId="22026" xr:uid="{2F3B0CBE-8822-4C22-B444-5C25C549C6FE}"/>
    <cellStyle name="Normal 4 2 2 5 3 4" xfId="9374" xr:uid="{80FAC5B7-45A7-4318-9AF3-8E3435FDE67E}"/>
    <cellStyle name="Normal 4 2 2 5 3 5" xfId="17809" xr:uid="{D343377B-0EFB-42C6-9C2B-2D0788DD8A26}"/>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5B9553D-8989-4716-A989-2ABFFA2A1FEF}"/>
    <cellStyle name="Normal 4 2 2 5 4 2 2 3" xfId="24584" xr:uid="{E5793AA8-E009-4F78-969F-2AA073B6286A}"/>
    <cellStyle name="Normal 4 2 2 5 4 2 3" xfId="11932" xr:uid="{2CFC93F0-AE88-4C88-A049-65B7F4A9587E}"/>
    <cellStyle name="Normal 4 2 2 5 4 2 4" xfId="20367" xr:uid="{C0D9E2C2-377E-478B-9CDA-8F83E0928D13}"/>
    <cellStyle name="Normal 4 2 2 5 4 3" xfId="5555" xr:uid="{00000000-0005-0000-0000-0000FE120000}"/>
    <cellStyle name="Normal 4 2 2 5 4 3 2" xfId="14005" xr:uid="{A9934ED9-B645-4C7B-A6AF-2581624B636B}"/>
    <cellStyle name="Normal 4 2 2 5 4 3 3" xfId="22439" xr:uid="{AF92D0C1-9604-4ECC-99BB-94E8922C94E5}"/>
    <cellStyle name="Normal 4 2 2 5 4 4" xfId="9787" xr:uid="{8E5A581E-BEF8-402B-B919-FE74E99DF0B0}"/>
    <cellStyle name="Normal 4 2 2 5 4 5" xfId="18222" xr:uid="{A22BE7EA-2610-44AC-929A-F7A063A20032}"/>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7875451-8BEA-4320-B4D4-6EE2DCF4716A}"/>
    <cellStyle name="Normal 4 2 2 5 5 2 2 3" xfId="24997" xr:uid="{5E26FDA6-4454-453E-8D38-D3C8DC6B602A}"/>
    <cellStyle name="Normal 4 2 2 5 5 2 3" xfId="12345" xr:uid="{14A5270C-27C7-4986-8C47-C99F697A0F51}"/>
    <cellStyle name="Normal 4 2 2 5 5 2 4" xfId="20780" xr:uid="{84CE9666-E4F5-4A22-84BD-EF52995EB3CA}"/>
    <cellStyle name="Normal 4 2 2 5 5 3" xfId="5968" xr:uid="{00000000-0005-0000-0000-000002130000}"/>
    <cellStyle name="Normal 4 2 2 5 5 3 2" xfId="14418" xr:uid="{A60CCD03-4737-4E27-AB5E-1C4B2AC28830}"/>
    <cellStyle name="Normal 4 2 2 5 5 3 3" xfId="22852" xr:uid="{43413E65-9748-4E90-8A10-147520F326BE}"/>
    <cellStyle name="Normal 4 2 2 5 5 4" xfId="10200" xr:uid="{10350DF5-C35F-46E7-9801-41C639E0A993}"/>
    <cellStyle name="Normal 4 2 2 5 5 5" xfId="18635" xr:uid="{E4D3CD6B-3C82-47D3-9234-333319A33A2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494A12B5-7DC2-468E-BF23-E8AC70DEF7AE}"/>
    <cellStyle name="Normal 4 2 2 5 6 2 2 3" xfId="25410" xr:uid="{288163B1-AAA6-4F6E-983C-2CC23FFFCD3C}"/>
    <cellStyle name="Normal 4 2 2 5 6 2 3" xfId="12758" xr:uid="{928E65E4-B968-4550-8125-2E6922D8CFA5}"/>
    <cellStyle name="Normal 4 2 2 5 6 2 4" xfId="21193" xr:uid="{003666A3-3F20-4CA8-8445-8209D9089D43}"/>
    <cellStyle name="Normal 4 2 2 5 6 3" xfId="6381" xr:uid="{00000000-0005-0000-0000-000006130000}"/>
    <cellStyle name="Normal 4 2 2 5 6 3 2" xfId="14831" xr:uid="{F8A873C7-CC93-4A38-9485-EE4F1831E626}"/>
    <cellStyle name="Normal 4 2 2 5 6 3 3" xfId="23265" xr:uid="{8F2B5D29-2556-47BE-B909-43EF722B1975}"/>
    <cellStyle name="Normal 4 2 2 5 6 4" xfId="10613" xr:uid="{74A3AEE2-0BCA-411D-9FCD-C4D3E90E9BC1}"/>
    <cellStyle name="Normal 4 2 2 5 6 5" xfId="19048" xr:uid="{F42E1BED-6D1B-4CD1-B236-479241C6CA06}"/>
    <cellStyle name="Normal 4 2 2 5 7" xfId="2511" xr:uid="{00000000-0005-0000-0000-000007130000}"/>
    <cellStyle name="Normal 4 2 2 5 7 2" xfId="6794" xr:uid="{00000000-0005-0000-0000-000008130000}"/>
    <cellStyle name="Normal 4 2 2 5 7 2 2" xfId="15244" xr:uid="{88FFEC3F-D5B5-4300-AE36-32C514ADE57A}"/>
    <cellStyle name="Normal 4 2 2 5 7 2 3" xfId="23678" xr:uid="{6AB1EB5C-1293-4017-9FF4-413E5CD8DE13}"/>
    <cellStyle name="Normal 4 2 2 5 7 3" xfId="11026" xr:uid="{7A602C28-E1AE-4A9E-9F10-7B1EFDE11304}"/>
    <cellStyle name="Normal 4 2 2 5 7 4" xfId="19461" xr:uid="{F2A2011D-EF94-4C88-A945-577CB169DB96}"/>
    <cellStyle name="Normal 4 2 2 5 8" xfId="4729" xr:uid="{00000000-0005-0000-0000-000009130000}"/>
    <cellStyle name="Normal 4 2 2 5 8 2" xfId="13179" xr:uid="{100ADB75-F1D0-4224-B51F-2CF43B37BC34}"/>
    <cellStyle name="Normal 4 2 2 5 8 3" xfId="21613" xr:uid="{EF0AB4B6-4F29-4262-8BFD-929344334F8A}"/>
    <cellStyle name="Normal 4 2 2 5 9" xfId="8961" xr:uid="{194C8D00-AE6E-4FE0-9BAC-ADD4B166023A}"/>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51AF8C4-4846-4618-AA4D-E33CFE286907}"/>
    <cellStyle name="Normal 4 2 2 6 2 2 2 3" xfId="24173" xr:uid="{C353F66A-410D-41EC-9935-C1056781926E}"/>
    <cellStyle name="Normal 4 2 2 6 2 2 3" xfId="11521" xr:uid="{653A4729-4B53-448A-875C-F258C0CE6DD1}"/>
    <cellStyle name="Normal 4 2 2 6 2 2 4" xfId="19956" xr:uid="{5984108B-8E5F-4207-88F9-0D22DBF0D0E7}"/>
    <cellStyle name="Normal 4 2 2 6 2 3" xfId="5144" xr:uid="{00000000-0005-0000-0000-00000E130000}"/>
    <cellStyle name="Normal 4 2 2 6 2 3 2" xfId="13594" xr:uid="{65E1DEB1-EFC7-4B43-A456-040464AA5FBB}"/>
    <cellStyle name="Normal 4 2 2 6 2 3 3" xfId="22028" xr:uid="{198EBEDC-84A5-49C7-BD0A-04363B8CA33C}"/>
    <cellStyle name="Normal 4 2 2 6 2 4" xfId="9376" xr:uid="{CBF90690-8FFE-457C-8C79-5F0CB2D9B846}"/>
    <cellStyle name="Normal 4 2 2 6 2 5" xfId="17811" xr:uid="{F593ABD4-9A57-4928-8634-676D932DAB5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4EEED133-4BF4-402F-8E79-81735E97507E}"/>
    <cellStyle name="Normal 4 2 2 6 3 2 2 3" xfId="24586" xr:uid="{5CCDFAA4-B651-4E78-9F70-C63578500F42}"/>
    <cellStyle name="Normal 4 2 2 6 3 2 3" xfId="11934" xr:uid="{BE23BAFD-65FD-4BFB-82B4-D41E6B34ADD4}"/>
    <cellStyle name="Normal 4 2 2 6 3 2 4" xfId="20369" xr:uid="{415EE229-CB6A-48D5-BFB2-558536F56401}"/>
    <cellStyle name="Normal 4 2 2 6 3 3" xfId="5557" xr:uid="{00000000-0005-0000-0000-000012130000}"/>
    <cellStyle name="Normal 4 2 2 6 3 3 2" xfId="14007" xr:uid="{8ED8C723-4548-4808-B90A-463580DF256B}"/>
    <cellStyle name="Normal 4 2 2 6 3 3 3" xfId="22441" xr:uid="{A9D9597E-931A-4E1D-9B6F-F2BD67277184}"/>
    <cellStyle name="Normal 4 2 2 6 3 4" xfId="9789" xr:uid="{BDCD0526-68FE-4FA4-AC8C-C7CC10EB2F9C}"/>
    <cellStyle name="Normal 4 2 2 6 3 5" xfId="18224" xr:uid="{45A26EC6-F5F5-4BF3-B044-ED7B4FB29EC5}"/>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9507D2BF-C72B-426D-84E0-6E569F657F5C}"/>
    <cellStyle name="Normal 4 2 2 6 4 2 2 3" xfId="24999" xr:uid="{7139CE98-CE4F-48D8-9964-7F3537ED8C6F}"/>
    <cellStyle name="Normal 4 2 2 6 4 2 3" xfId="12347" xr:uid="{2F80D2F4-BBB0-4B94-B83D-21528BC96623}"/>
    <cellStyle name="Normal 4 2 2 6 4 2 4" xfId="20782" xr:uid="{3345114C-7D67-4CD0-9B03-0F389B0F70D7}"/>
    <cellStyle name="Normal 4 2 2 6 4 3" xfId="5970" xr:uid="{00000000-0005-0000-0000-000016130000}"/>
    <cellStyle name="Normal 4 2 2 6 4 3 2" xfId="14420" xr:uid="{FC0EA043-BC40-474C-93D3-0D570DBACCE3}"/>
    <cellStyle name="Normal 4 2 2 6 4 3 3" xfId="22854" xr:uid="{929F992D-0E84-47DB-9E85-44E7B70A8F0F}"/>
    <cellStyle name="Normal 4 2 2 6 4 4" xfId="10202" xr:uid="{1F5DDA2A-54A2-4377-9F1D-C4D347C51E19}"/>
    <cellStyle name="Normal 4 2 2 6 4 5" xfId="18637" xr:uid="{80D1437B-5A48-4B49-ABC5-F8305068EFA5}"/>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C5326C09-4EDA-4767-8736-84434DD5BB84}"/>
    <cellStyle name="Normal 4 2 2 6 5 2 2 3" xfId="25412" xr:uid="{C6308357-5430-4FF5-99FB-E2D9B32BE081}"/>
    <cellStyle name="Normal 4 2 2 6 5 2 3" xfId="12760" xr:uid="{52ADE8F2-3366-4FC0-BA70-F6D3032696C8}"/>
    <cellStyle name="Normal 4 2 2 6 5 2 4" xfId="21195" xr:uid="{DBDA8B90-6AE3-4D01-9835-A023F6D0B825}"/>
    <cellStyle name="Normal 4 2 2 6 5 3" xfId="6383" xr:uid="{00000000-0005-0000-0000-00001A130000}"/>
    <cellStyle name="Normal 4 2 2 6 5 3 2" xfId="14833" xr:uid="{3AACF413-7965-47F2-B4CD-002AB0CC54A3}"/>
    <cellStyle name="Normal 4 2 2 6 5 3 3" xfId="23267" xr:uid="{E838682B-49FD-4184-BFEC-7A313B519ED1}"/>
    <cellStyle name="Normal 4 2 2 6 5 4" xfId="10615" xr:uid="{BA64A62C-C3DD-45B1-BD99-C7100AF17787}"/>
    <cellStyle name="Normal 4 2 2 6 5 5" xfId="19050" xr:uid="{8E3215AD-5236-4367-B0C0-1F1CB852D5CE}"/>
    <cellStyle name="Normal 4 2 2 6 6" xfId="2513" xr:uid="{00000000-0005-0000-0000-00001B130000}"/>
    <cellStyle name="Normal 4 2 2 6 6 2" xfId="6796" xr:uid="{00000000-0005-0000-0000-00001C130000}"/>
    <cellStyle name="Normal 4 2 2 6 6 2 2" xfId="15246" xr:uid="{44620E78-9D0B-4FB0-B9B7-1C0A015DB612}"/>
    <cellStyle name="Normal 4 2 2 6 6 2 3" xfId="23680" xr:uid="{098A6749-ADD4-4DEF-999D-39B4C6E6BA41}"/>
    <cellStyle name="Normal 4 2 2 6 6 3" xfId="11028" xr:uid="{9C252F4C-3528-4256-A420-55EB384BF0C9}"/>
    <cellStyle name="Normal 4 2 2 6 6 4" xfId="19463" xr:uid="{8E5166C3-D592-40BF-A980-A068B0E31ABE}"/>
    <cellStyle name="Normal 4 2 2 6 7" xfId="4731" xr:uid="{00000000-0005-0000-0000-00001D130000}"/>
    <cellStyle name="Normal 4 2 2 6 7 2" xfId="13181" xr:uid="{D00E3200-8DAB-45F4-B828-B00949FEA092}"/>
    <cellStyle name="Normal 4 2 2 6 7 3" xfId="21615" xr:uid="{2E2A8E3C-8FE9-412F-B266-95F83D359033}"/>
    <cellStyle name="Normal 4 2 2 6 8" xfId="8963" xr:uid="{9E204F2C-E400-4BC7-ACC7-C96DF9CA429A}"/>
    <cellStyle name="Normal 4 2 2 6 9" xfId="17398" xr:uid="{0F15274B-B59B-4E3F-86C5-AC07E0F00D34}"/>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497791F6-67B0-4D19-B13D-11D73368F0D5}"/>
    <cellStyle name="Normal 4 2 2 7 2 2 3" xfId="24158" xr:uid="{311EB94A-19BB-4A3D-8505-C8702581ECF0}"/>
    <cellStyle name="Normal 4 2 2 7 2 3" xfId="11506" xr:uid="{60179104-8B1D-4186-89A4-D896C437DEB4}"/>
    <cellStyle name="Normal 4 2 2 7 2 4" xfId="19941" xr:uid="{7AA6B92C-1253-4C01-AEF3-BBA8C5D83716}"/>
    <cellStyle name="Normal 4 2 2 7 3" xfId="5129" xr:uid="{00000000-0005-0000-0000-000021130000}"/>
    <cellStyle name="Normal 4 2 2 7 3 2" xfId="13579" xr:uid="{26BBE728-438F-490E-808B-A6472D8F067D}"/>
    <cellStyle name="Normal 4 2 2 7 3 3" xfId="22013" xr:uid="{69E80444-AFF8-437E-AE89-2DF4481EAB82}"/>
    <cellStyle name="Normal 4 2 2 7 4" xfId="9361" xr:uid="{4778A04E-8D9E-48D7-A046-A66EB92E83D9}"/>
    <cellStyle name="Normal 4 2 2 7 5" xfId="17796" xr:uid="{AD8FD576-F979-4347-BBF0-AD3E5B1E92DD}"/>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5E3BA9DE-FC33-42B6-8225-6E4714E0F3C0}"/>
    <cellStyle name="Normal 4 2 2 8 2 2 3" xfId="24571" xr:uid="{42D6DEED-FE51-4602-B208-61713B233506}"/>
    <cellStyle name="Normal 4 2 2 8 2 3" xfId="11919" xr:uid="{1584BE5F-06CA-4517-86CF-D8732430E80F}"/>
    <cellStyle name="Normal 4 2 2 8 2 4" xfId="20354" xr:uid="{B7D42574-502B-4CB7-934C-DFE26F18BD2C}"/>
    <cellStyle name="Normal 4 2 2 8 3" xfId="5542" xr:uid="{00000000-0005-0000-0000-000025130000}"/>
    <cellStyle name="Normal 4 2 2 8 3 2" xfId="13992" xr:uid="{CEE63263-BBA9-42AB-A6A9-AF98FA417D3B}"/>
    <cellStyle name="Normal 4 2 2 8 3 3" xfId="22426" xr:uid="{B673B394-12BB-4984-AD21-6021BEE4DE0E}"/>
    <cellStyle name="Normal 4 2 2 8 4" xfId="9774" xr:uid="{420A2984-AE2C-4040-9C15-B076AFAE4829}"/>
    <cellStyle name="Normal 4 2 2 8 5" xfId="18209" xr:uid="{62A8F049-D028-4A30-BC96-26C9E63DB811}"/>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91276E80-DD1F-4D47-9CAB-823C1F77091C}"/>
    <cellStyle name="Normal 4 2 2 9 2 2 3" xfId="24984" xr:uid="{2D30DDD8-F6A0-4107-A7B3-937F11DBA976}"/>
    <cellStyle name="Normal 4 2 2 9 2 3" xfId="12332" xr:uid="{3047B228-FF6C-4C42-9493-4249100F7E79}"/>
    <cellStyle name="Normal 4 2 2 9 2 4" xfId="20767" xr:uid="{3C169592-7C6C-4147-9719-56D3B20A6CF2}"/>
    <cellStyle name="Normal 4 2 2 9 3" xfId="5955" xr:uid="{00000000-0005-0000-0000-000029130000}"/>
    <cellStyle name="Normal 4 2 2 9 3 2" xfId="14405" xr:uid="{982FD80B-34CB-4571-B7E0-B48394F9F5F3}"/>
    <cellStyle name="Normal 4 2 2 9 3 3" xfId="22839" xr:uid="{A5AB0312-47D5-4D8C-B26A-3BF00BBEC5EE}"/>
    <cellStyle name="Normal 4 2 2 9 4" xfId="10187" xr:uid="{B2617727-4E28-45A6-AF62-0A63A56453C7}"/>
    <cellStyle name="Normal 4 2 2 9 5" xfId="18622" xr:uid="{785243EC-6B89-4798-9161-F0EEB3226356}"/>
    <cellStyle name="Normal 4 2 3" xfId="354" xr:uid="{00000000-0005-0000-0000-00002A130000}"/>
    <cellStyle name="Normal 4 2 4" xfId="355" xr:uid="{00000000-0005-0000-0000-00002B130000}"/>
    <cellStyle name="Normal 4 2 4 10" xfId="4732" xr:uid="{00000000-0005-0000-0000-00002C130000}"/>
    <cellStyle name="Normal 4 2 4 10 2" xfId="13182" xr:uid="{F53F185A-D0E2-4FAE-B204-DCB0587D277D}"/>
    <cellStyle name="Normal 4 2 4 10 3" xfId="21616" xr:uid="{8477891B-B15A-4A90-9E6A-313012ECDE94}"/>
    <cellStyle name="Normal 4 2 4 11" xfId="8964" xr:uid="{950882E1-7293-4154-AB53-9A8EEBB400ED}"/>
    <cellStyle name="Normal 4 2 4 12" xfId="17399" xr:uid="{D0851C7F-4504-45CB-B73F-BFFA683411E0}"/>
    <cellStyle name="Normal 4 2 4 2" xfId="356" xr:uid="{00000000-0005-0000-0000-00002D130000}"/>
    <cellStyle name="Normal 4 2 4 2 10" xfId="8965" xr:uid="{AA4D20BE-ADF2-4700-A43B-852337F98E2B}"/>
    <cellStyle name="Normal 4 2 4 2 11" xfId="17400" xr:uid="{6A0BC023-DA53-4025-99DC-B59B6CAF2434}"/>
    <cellStyle name="Normal 4 2 4 2 2" xfId="357" xr:uid="{00000000-0005-0000-0000-00002E130000}"/>
    <cellStyle name="Normal 4 2 4 2 2 10" xfId="17401" xr:uid="{D31F6DC7-8204-4274-9741-7C59E6475B91}"/>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DCDBD1EA-4890-463F-998E-F7A044F88365}"/>
    <cellStyle name="Normal 4 2 4 2 2 2 2 2 2 3" xfId="24177" xr:uid="{09CD319C-8C91-4EF0-8C62-191DB91E76FA}"/>
    <cellStyle name="Normal 4 2 4 2 2 2 2 2 3" xfId="11525" xr:uid="{10C10BFB-DEF0-45EE-8BD0-09354CEC2543}"/>
    <cellStyle name="Normal 4 2 4 2 2 2 2 2 4" xfId="19960" xr:uid="{16BA01AC-D3BD-44D2-B612-091084108AE4}"/>
    <cellStyle name="Normal 4 2 4 2 2 2 2 3" xfId="5148" xr:uid="{00000000-0005-0000-0000-000033130000}"/>
    <cellStyle name="Normal 4 2 4 2 2 2 2 3 2" xfId="13598" xr:uid="{4BF8F717-238D-4A48-AF9D-2EF4B4FD93CD}"/>
    <cellStyle name="Normal 4 2 4 2 2 2 2 3 3" xfId="22032" xr:uid="{72148A83-9CBA-4DEA-AC29-8A7925828D60}"/>
    <cellStyle name="Normal 4 2 4 2 2 2 2 4" xfId="9380" xr:uid="{877C5CA0-D6B8-4FF7-B22A-9E6D8441C555}"/>
    <cellStyle name="Normal 4 2 4 2 2 2 2 5" xfId="17815" xr:uid="{5C5FDC6E-7012-4C8D-B911-DE57CEA2B825}"/>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3EEB73C1-DE69-40F8-BCFA-2C871405F938}"/>
    <cellStyle name="Normal 4 2 4 2 2 2 3 2 2 3" xfId="24590" xr:uid="{D88A5CE5-A151-4A14-A528-391A676E52C0}"/>
    <cellStyle name="Normal 4 2 4 2 2 2 3 2 3" xfId="11938" xr:uid="{9F7AE068-BB31-4292-8FC2-77977347B74E}"/>
    <cellStyle name="Normal 4 2 4 2 2 2 3 2 4" xfId="20373" xr:uid="{6144BC98-4EAC-4EBE-9D6C-848614ED85A2}"/>
    <cellStyle name="Normal 4 2 4 2 2 2 3 3" xfId="5561" xr:uid="{00000000-0005-0000-0000-000037130000}"/>
    <cellStyle name="Normal 4 2 4 2 2 2 3 3 2" xfId="14011" xr:uid="{C30C5D4D-4B43-42B7-BC72-01104BE449AA}"/>
    <cellStyle name="Normal 4 2 4 2 2 2 3 3 3" xfId="22445" xr:uid="{356A3BBB-D42E-4F23-8D3A-E144C2DAD3F0}"/>
    <cellStyle name="Normal 4 2 4 2 2 2 3 4" xfId="9793" xr:uid="{EDF25DD3-828F-49A5-A0A4-FAA3BCE8556F}"/>
    <cellStyle name="Normal 4 2 4 2 2 2 3 5" xfId="18228" xr:uid="{39C29A8C-AA79-4D11-AA87-6B6F251F1F33}"/>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AEF984A7-9964-4311-A856-F6ABBA3ACC56}"/>
    <cellStyle name="Normal 4 2 4 2 2 2 4 2 2 3" xfId="25003" xr:uid="{EA956C38-3186-4061-8E01-B2DD442A0220}"/>
    <cellStyle name="Normal 4 2 4 2 2 2 4 2 3" xfId="12351" xr:uid="{A416B556-32B5-462F-94CE-C1789081B4C3}"/>
    <cellStyle name="Normal 4 2 4 2 2 2 4 2 4" xfId="20786" xr:uid="{12044110-00A5-4300-9197-092EE9F055A2}"/>
    <cellStyle name="Normal 4 2 4 2 2 2 4 3" xfId="5974" xr:uid="{00000000-0005-0000-0000-00003B130000}"/>
    <cellStyle name="Normal 4 2 4 2 2 2 4 3 2" xfId="14424" xr:uid="{ECC4DD94-510F-4BE8-8EF7-6074C46B629B}"/>
    <cellStyle name="Normal 4 2 4 2 2 2 4 3 3" xfId="22858" xr:uid="{FF2B2D74-614F-40B9-9227-BD042699D57E}"/>
    <cellStyle name="Normal 4 2 4 2 2 2 4 4" xfId="10206" xr:uid="{B25BA27A-4E9C-4325-9362-5EAE73E70B5B}"/>
    <cellStyle name="Normal 4 2 4 2 2 2 4 5" xfId="18641" xr:uid="{22847406-EA64-4CFB-840E-794C120176A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24DDFA7A-9C76-42E2-9DCC-277B0BC036C9}"/>
    <cellStyle name="Normal 4 2 4 2 2 2 5 2 2 3" xfId="25416" xr:uid="{E3A9654D-FD23-403D-A9E4-FBDF26DF41B7}"/>
    <cellStyle name="Normal 4 2 4 2 2 2 5 2 3" xfId="12764" xr:uid="{90DB69F3-44B0-45E3-ABD0-3B08B5E8534A}"/>
    <cellStyle name="Normal 4 2 4 2 2 2 5 2 4" xfId="21199" xr:uid="{1D9D5D94-F6BA-4490-829C-8C95025FF932}"/>
    <cellStyle name="Normal 4 2 4 2 2 2 5 3" xfId="6387" xr:uid="{00000000-0005-0000-0000-00003F130000}"/>
    <cellStyle name="Normal 4 2 4 2 2 2 5 3 2" xfId="14837" xr:uid="{1930A1C8-9A2E-47D7-A191-BAB023598065}"/>
    <cellStyle name="Normal 4 2 4 2 2 2 5 3 3" xfId="23271" xr:uid="{4CB8B952-28EE-491E-BC71-B2C81311AD7E}"/>
    <cellStyle name="Normal 4 2 4 2 2 2 5 4" xfId="10619" xr:uid="{8BC03B99-2C02-4CFB-96CF-1A33A1822E27}"/>
    <cellStyle name="Normal 4 2 4 2 2 2 5 5" xfId="19054" xr:uid="{0E3DB6C2-C598-4F67-9475-354F0AFFB806}"/>
    <cellStyle name="Normal 4 2 4 2 2 2 6" xfId="2517" xr:uid="{00000000-0005-0000-0000-000040130000}"/>
    <cellStyle name="Normal 4 2 4 2 2 2 6 2" xfId="6800" xr:uid="{00000000-0005-0000-0000-000041130000}"/>
    <cellStyle name="Normal 4 2 4 2 2 2 6 2 2" xfId="15250" xr:uid="{680E4F78-6BA1-4DF9-A115-5F4FE906F767}"/>
    <cellStyle name="Normal 4 2 4 2 2 2 6 2 3" xfId="23684" xr:uid="{71B23126-62C6-4BAB-B369-FDD8E424D1B3}"/>
    <cellStyle name="Normal 4 2 4 2 2 2 6 3" xfId="11032" xr:uid="{AF5379EC-DD15-44A7-AB92-C96921AC7022}"/>
    <cellStyle name="Normal 4 2 4 2 2 2 6 4" xfId="19467" xr:uid="{6A1ED315-FDCB-4EA0-A46A-0374C2A71762}"/>
    <cellStyle name="Normal 4 2 4 2 2 2 7" xfId="4735" xr:uid="{00000000-0005-0000-0000-000042130000}"/>
    <cellStyle name="Normal 4 2 4 2 2 2 7 2" xfId="13185" xr:uid="{B1BD252E-68B2-4484-989C-E725ABDE2FAA}"/>
    <cellStyle name="Normal 4 2 4 2 2 2 7 3" xfId="21619" xr:uid="{13AAB8BD-D409-4E8C-AF54-A3A18A937315}"/>
    <cellStyle name="Normal 4 2 4 2 2 2 8" xfId="8967" xr:uid="{4B882FD7-2FF9-49BE-AC89-9A2468304BFC}"/>
    <cellStyle name="Normal 4 2 4 2 2 2 9" xfId="17402" xr:uid="{47A3F65E-F33E-42C9-A067-8664DD682DD7}"/>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0263D5BE-A2D4-4ED6-94CC-985470DB27F5}"/>
    <cellStyle name="Normal 4 2 4 2 2 3 2 2 3" xfId="24176" xr:uid="{35C4B6AB-DF32-4F9A-92ED-FB96315CAC5D}"/>
    <cellStyle name="Normal 4 2 4 2 2 3 2 3" xfId="11524" xr:uid="{2BCD3FAE-006A-4110-BB0C-B59AD2C46B14}"/>
    <cellStyle name="Normal 4 2 4 2 2 3 2 4" xfId="19959" xr:uid="{CB528037-6E35-48D4-8703-0CDD43CD484E}"/>
    <cellStyle name="Normal 4 2 4 2 2 3 3" xfId="5147" xr:uid="{00000000-0005-0000-0000-000046130000}"/>
    <cellStyle name="Normal 4 2 4 2 2 3 3 2" xfId="13597" xr:uid="{9B0CED70-07D8-426A-95D5-91E36BB2A60F}"/>
    <cellStyle name="Normal 4 2 4 2 2 3 3 3" xfId="22031" xr:uid="{DF22C7A2-DDB8-4356-8811-E38976F49971}"/>
    <cellStyle name="Normal 4 2 4 2 2 3 4" xfId="9379" xr:uid="{09E363AE-2FC4-42FC-9CE8-E4896716738D}"/>
    <cellStyle name="Normal 4 2 4 2 2 3 5" xfId="17814" xr:uid="{2B8DB7D8-452A-4561-8251-1C347F536269}"/>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E63A6B5C-6C1A-471C-82C5-BAFB3398D6E6}"/>
    <cellStyle name="Normal 4 2 4 2 2 4 2 2 3" xfId="24589" xr:uid="{4064B5A5-79BA-48FF-B4F7-77C32208952E}"/>
    <cellStyle name="Normal 4 2 4 2 2 4 2 3" xfId="11937" xr:uid="{7A2FE5D1-8637-4FD3-84E1-54428E57DD48}"/>
    <cellStyle name="Normal 4 2 4 2 2 4 2 4" xfId="20372" xr:uid="{ED3D31D7-97B2-4D71-8957-A3125E122C96}"/>
    <cellStyle name="Normal 4 2 4 2 2 4 3" xfId="5560" xr:uid="{00000000-0005-0000-0000-00004A130000}"/>
    <cellStyle name="Normal 4 2 4 2 2 4 3 2" xfId="14010" xr:uid="{E8BBC249-3552-4D1B-A163-39C8E7608062}"/>
    <cellStyle name="Normal 4 2 4 2 2 4 3 3" xfId="22444" xr:uid="{E144B399-BE83-4636-ABE6-D16E4CCCCD9C}"/>
    <cellStyle name="Normal 4 2 4 2 2 4 4" xfId="9792" xr:uid="{7E9C9F9D-2281-4C34-ADEF-8A62DD1D9601}"/>
    <cellStyle name="Normal 4 2 4 2 2 4 5" xfId="18227" xr:uid="{BD22398F-8B99-45C8-9AAC-135EFB21BBC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95BD07AC-9186-448E-8C38-B2B2A362B1B1}"/>
    <cellStyle name="Normal 4 2 4 2 2 5 2 2 3" xfId="25002" xr:uid="{2F95FC38-0F88-4E3A-9B6E-791A1046A15C}"/>
    <cellStyle name="Normal 4 2 4 2 2 5 2 3" xfId="12350" xr:uid="{DE796051-0003-40B2-8D81-0BD1BD92AD59}"/>
    <cellStyle name="Normal 4 2 4 2 2 5 2 4" xfId="20785" xr:uid="{FAF93AE1-ED1E-481F-B150-944A15C3FC67}"/>
    <cellStyle name="Normal 4 2 4 2 2 5 3" xfId="5973" xr:uid="{00000000-0005-0000-0000-00004E130000}"/>
    <cellStyle name="Normal 4 2 4 2 2 5 3 2" xfId="14423" xr:uid="{6675B3B2-9D0E-4311-84A5-F259A04F2792}"/>
    <cellStyle name="Normal 4 2 4 2 2 5 3 3" xfId="22857" xr:uid="{D1DB4418-BB06-487B-A95E-FE4A35D33C3F}"/>
    <cellStyle name="Normal 4 2 4 2 2 5 4" xfId="10205" xr:uid="{28523262-6705-4744-8AD6-0EC606DEE846}"/>
    <cellStyle name="Normal 4 2 4 2 2 5 5" xfId="18640" xr:uid="{39437C1F-97CE-4E71-B191-A307F3D40639}"/>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FEFDA98-9A1E-49C1-AFF4-EF72907CECB4}"/>
    <cellStyle name="Normal 4 2 4 2 2 6 2 2 3" xfId="25415" xr:uid="{B12A4DAF-0759-46F1-B855-F1633CB1230A}"/>
    <cellStyle name="Normal 4 2 4 2 2 6 2 3" xfId="12763" xr:uid="{85785401-D497-480B-B0A5-2511E654BAC4}"/>
    <cellStyle name="Normal 4 2 4 2 2 6 2 4" xfId="21198" xr:uid="{7799403A-9383-4E51-A8DD-2549507DF7FD}"/>
    <cellStyle name="Normal 4 2 4 2 2 6 3" xfId="6386" xr:uid="{00000000-0005-0000-0000-000052130000}"/>
    <cellStyle name="Normal 4 2 4 2 2 6 3 2" xfId="14836" xr:uid="{66D82B58-3EF5-46C3-8128-1FEFD8D7BA73}"/>
    <cellStyle name="Normal 4 2 4 2 2 6 3 3" xfId="23270" xr:uid="{DCA16E11-4753-496A-ACAD-738FA71F8642}"/>
    <cellStyle name="Normal 4 2 4 2 2 6 4" xfId="10618" xr:uid="{D46B58EC-4EB4-40D5-ABB7-0A47E2415EA5}"/>
    <cellStyle name="Normal 4 2 4 2 2 6 5" xfId="19053" xr:uid="{9434DC2C-48F2-4A1C-9C12-8F6C220BAA9F}"/>
    <cellStyle name="Normal 4 2 4 2 2 7" xfId="2516" xr:uid="{00000000-0005-0000-0000-000053130000}"/>
    <cellStyle name="Normal 4 2 4 2 2 7 2" xfId="6799" xr:uid="{00000000-0005-0000-0000-000054130000}"/>
    <cellStyle name="Normal 4 2 4 2 2 7 2 2" xfId="15249" xr:uid="{F0FF060C-0F0E-4908-AFB3-71ECE37E6A6A}"/>
    <cellStyle name="Normal 4 2 4 2 2 7 2 3" xfId="23683" xr:uid="{B5E23133-66A8-4912-926B-36E8D5ECD818}"/>
    <cellStyle name="Normal 4 2 4 2 2 7 3" xfId="11031" xr:uid="{7C761D94-10F6-49A3-A1D2-B41E39011736}"/>
    <cellStyle name="Normal 4 2 4 2 2 7 4" xfId="19466" xr:uid="{9259347C-D3D2-41AA-A70E-2DB156853E77}"/>
    <cellStyle name="Normal 4 2 4 2 2 8" xfId="4734" xr:uid="{00000000-0005-0000-0000-000055130000}"/>
    <cellStyle name="Normal 4 2 4 2 2 8 2" xfId="13184" xr:uid="{1D621823-930B-4EB6-8D78-5ACDF89E3D27}"/>
    <cellStyle name="Normal 4 2 4 2 2 8 3" xfId="21618" xr:uid="{28C5F398-78B0-4D88-8706-AC70C951D47E}"/>
    <cellStyle name="Normal 4 2 4 2 2 9" xfId="8966" xr:uid="{CBA92A15-4F44-430F-A5F0-B0FB821D7AE1}"/>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CCF53237-70B4-4BCF-8472-36C589AE2D43}"/>
    <cellStyle name="Normal 4 2 4 2 3 2 2 2 3" xfId="24178" xr:uid="{FB8CF2DD-F86E-4BF2-AE85-B5BBD01E6E82}"/>
    <cellStyle name="Normal 4 2 4 2 3 2 2 3" xfId="11526" xr:uid="{135C3175-84A6-4F9B-ADCD-32910BE1F0B8}"/>
    <cellStyle name="Normal 4 2 4 2 3 2 2 4" xfId="19961" xr:uid="{9FF5BA9A-79E8-48E3-868C-863997F991AF}"/>
    <cellStyle name="Normal 4 2 4 2 3 2 3" xfId="5149" xr:uid="{00000000-0005-0000-0000-00005A130000}"/>
    <cellStyle name="Normal 4 2 4 2 3 2 3 2" xfId="13599" xr:uid="{CFE5B434-2B71-46D9-8636-D30B6CE3841D}"/>
    <cellStyle name="Normal 4 2 4 2 3 2 3 3" xfId="22033" xr:uid="{EFEA4CAA-3E81-47FF-B2B3-87F781C43EED}"/>
    <cellStyle name="Normal 4 2 4 2 3 2 4" xfId="9381" xr:uid="{9B46A79D-10C8-4E44-9C74-3AFC209FE59C}"/>
    <cellStyle name="Normal 4 2 4 2 3 2 5" xfId="17816" xr:uid="{8920A8FF-E7E1-407D-8D25-3DEF511BB72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CEFB8FB7-D4E4-4BBB-9166-D4987611E911}"/>
    <cellStyle name="Normal 4 2 4 2 3 3 2 2 3" xfId="24591" xr:uid="{C836613A-C122-4990-95AE-A5E7128510D8}"/>
    <cellStyle name="Normal 4 2 4 2 3 3 2 3" xfId="11939" xr:uid="{CE02D769-28EE-43B9-876D-2CD66F27C39A}"/>
    <cellStyle name="Normal 4 2 4 2 3 3 2 4" xfId="20374" xr:uid="{1E15ED86-F837-4CE0-A021-CFCC55459CC0}"/>
    <cellStyle name="Normal 4 2 4 2 3 3 3" xfId="5562" xr:uid="{00000000-0005-0000-0000-00005E130000}"/>
    <cellStyle name="Normal 4 2 4 2 3 3 3 2" xfId="14012" xr:uid="{BDED0F2C-C0C0-4C52-BEC7-C7EAE53941FC}"/>
    <cellStyle name="Normal 4 2 4 2 3 3 3 3" xfId="22446" xr:uid="{9C7D3DDF-E74E-4343-82BC-57C33795938E}"/>
    <cellStyle name="Normal 4 2 4 2 3 3 4" xfId="9794" xr:uid="{3BBEC339-C0BB-408C-935B-FD7DFFE4F90E}"/>
    <cellStyle name="Normal 4 2 4 2 3 3 5" xfId="18229" xr:uid="{D8177C0C-0A96-4BDE-8797-5C13D3DCEA17}"/>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2355B358-B7DD-4AD7-BD3D-18E2376DC322}"/>
    <cellStyle name="Normal 4 2 4 2 3 4 2 2 3" xfId="25004" xr:uid="{19C3F303-1C9A-4CE2-ADA6-F052E4821678}"/>
    <cellStyle name="Normal 4 2 4 2 3 4 2 3" xfId="12352" xr:uid="{D9957942-DD40-4D78-8960-53DAEFC42E09}"/>
    <cellStyle name="Normal 4 2 4 2 3 4 2 4" xfId="20787" xr:uid="{4D393F0E-43AA-43F1-A047-EF6FB4CEFB8E}"/>
    <cellStyle name="Normal 4 2 4 2 3 4 3" xfId="5975" xr:uid="{00000000-0005-0000-0000-000062130000}"/>
    <cellStyle name="Normal 4 2 4 2 3 4 3 2" xfId="14425" xr:uid="{97954262-5FD3-42EC-85B0-36D385E88D58}"/>
    <cellStyle name="Normal 4 2 4 2 3 4 3 3" xfId="22859" xr:uid="{651E7EAC-BEA0-4463-9CFF-574169DD6AD7}"/>
    <cellStyle name="Normal 4 2 4 2 3 4 4" xfId="10207" xr:uid="{660D2E10-09D3-44CD-A511-3C9E421B886E}"/>
    <cellStyle name="Normal 4 2 4 2 3 4 5" xfId="18642" xr:uid="{C8C5A38C-8AB9-4052-A7F0-42D35716909B}"/>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A8BACD53-AE56-4445-A5F2-B68FA23B5D90}"/>
    <cellStyle name="Normal 4 2 4 2 3 5 2 2 3" xfId="25417" xr:uid="{13AFEA69-1AF0-4994-BF60-6D22CD9E5BDE}"/>
    <cellStyle name="Normal 4 2 4 2 3 5 2 3" xfId="12765" xr:uid="{4C9A44EC-90BD-472A-9A01-EF340B9D3B52}"/>
    <cellStyle name="Normal 4 2 4 2 3 5 2 4" xfId="21200" xr:uid="{8418020F-E784-4761-B132-1881372917DF}"/>
    <cellStyle name="Normal 4 2 4 2 3 5 3" xfId="6388" xr:uid="{00000000-0005-0000-0000-000066130000}"/>
    <cellStyle name="Normal 4 2 4 2 3 5 3 2" xfId="14838" xr:uid="{4B6D735A-2F5C-4DE4-B192-895A4C3619BD}"/>
    <cellStyle name="Normal 4 2 4 2 3 5 3 3" xfId="23272" xr:uid="{34F18F8B-9D83-4338-956F-04FA4BB75CF7}"/>
    <cellStyle name="Normal 4 2 4 2 3 5 4" xfId="10620" xr:uid="{3AA38B92-76B1-442D-8CC6-F3180B911A2C}"/>
    <cellStyle name="Normal 4 2 4 2 3 5 5" xfId="19055" xr:uid="{DC6AB436-0178-4E17-A0E7-5B74A54BCC10}"/>
    <cellStyle name="Normal 4 2 4 2 3 6" xfId="2518" xr:uid="{00000000-0005-0000-0000-000067130000}"/>
    <cellStyle name="Normal 4 2 4 2 3 6 2" xfId="6801" xr:uid="{00000000-0005-0000-0000-000068130000}"/>
    <cellStyle name="Normal 4 2 4 2 3 6 2 2" xfId="15251" xr:uid="{17A142F6-E059-4ACE-B171-D340F1BE2BAB}"/>
    <cellStyle name="Normal 4 2 4 2 3 6 2 3" xfId="23685" xr:uid="{48B50C8C-B5B0-4540-BA93-A0FD8976C4C5}"/>
    <cellStyle name="Normal 4 2 4 2 3 6 3" xfId="11033" xr:uid="{9C32AF44-A5FA-41BE-950D-3C286288488B}"/>
    <cellStyle name="Normal 4 2 4 2 3 6 4" xfId="19468" xr:uid="{5420C252-E0B9-4311-AA45-F1E824673FED}"/>
    <cellStyle name="Normal 4 2 4 2 3 7" xfId="4736" xr:uid="{00000000-0005-0000-0000-000069130000}"/>
    <cellStyle name="Normal 4 2 4 2 3 7 2" xfId="13186" xr:uid="{780C547E-03C3-4416-95FB-DF3B04B67EDE}"/>
    <cellStyle name="Normal 4 2 4 2 3 7 3" xfId="21620" xr:uid="{7D7BD5D6-AA24-4A93-B2C4-0CD9007C7137}"/>
    <cellStyle name="Normal 4 2 4 2 3 8" xfId="8968" xr:uid="{0D9A51D3-D1C2-4D9F-8B57-19B4C071A4AA}"/>
    <cellStyle name="Normal 4 2 4 2 3 9" xfId="17403" xr:uid="{AFF462D5-4B37-408C-B481-F3DCF8C52356}"/>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E96D1D46-988B-4948-991F-F77E7025607A}"/>
    <cellStyle name="Normal 4 2 4 2 4 2 2 3" xfId="24175" xr:uid="{FFEC672F-E27D-4D57-93ED-070025A16E82}"/>
    <cellStyle name="Normal 4 2 4 2 4 2 3" xfId="11523" xr:uid="{95F85CE0-D3B8-4190-9CDF-9764A16C6799}"/>
    <cellStyle name="Normal 4 2 4 2 4 2 4" xfId="19958" xr:uid="{1452E33D-3DD5-440C-9C2C-3A2090669054}"/>
    <cellStyle name="Normal 4 2 4 2 4 3" xfId="5146" xr:uid="{00000000-0005-0000-0000-00006D130000}"/>
    <cellStyle name="Normal 4 2 4 2 4 3 2" xfId="13596" xr:uid="{0C942076-9EAF-42E8-B700-AF102F34C99D}"/>
    <cellStyle name="Normal 4 2 4 2 4 3 3" xfId="22030" xr:uid="{F0441C44-0B56-4CA3-824D-7993F6264BCF}"/>
    <cellStyle name="Normal 4 2 4 2 4 4" xfId="9378" xr:uid="{A300C9D1-3D7E-4E88-A3E3-3B0542B5446A}"/>
    <cellStyle name="Normal 4 2 4 2 4 5" xfId="17813" xr:uid="{E597E3BD-A515-4420-B693-511957B565A7}"/>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964AC402-1D24-4ADA-8828-3F9B09E746CE}"/>
    <cellStyle name="Normal 4 2 4 2 5 2 2 3" xfId="24588" xr:uid="{47FD0E9A-4A5E-43AD-9F9D-D603352A4F8B}"/>
    <cellStyle name="Normal 4 2 4 2 5 2 3" xfId="11936" xr:uid="{DA648D8E-2984-4997-8B05-7696A53CA2A1}"/>
    <cellStyle name="Normal 4 2 4 2 5 2 4" xfId="20371" xr:uid="{2299D622-C168-4D23-80DB-EF698C358701}"/>
    <cellStyle name="Normal 4 2 4 2 5 3" xfId="5559" xr:uid="{00000000-0005-0000-0000-000071130000}"/>
    <cellStyle name="Normal 4 2 4 2 5 3 2" xfId="14009" xr:uid="{F8E854ED-2266-42FE-97CF-D23008B35D98}"/>
    <cellStyle name="Normal 4 2 4 2 5 3 3" xfId="22443" xr:uid="{360DC955-A73F-4400-969F-D3C95AF764CA}"/>
    <cellStyle name="Normal 4 2 4 2 5 4" xfId="9791" xr:uid="{16AAC998-B8FE-42DF-A4F7-2693F8D51417}"/>
    <cellStyle name="Normal 4 2 4 2 5 5" xfId="18226" xr:uid="{4CF16F35-3189-41DD-95DE-2740F0041FCF}"/>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30AB66BA-1B96-4B88-8352-89A7004B12ED}"/>
    <cellStyle name="Normal 4 2 4 2 6 2 2 3" xfId="25001" xr:uid="{A0ED5CCA-9972-4E5B-B8B0-97D6326EB1A1}"/>
    <cellStyle name="Normal 4 2 4 2 6 2 3" xfId="12349" xr:uid="{C1D645EC-912A-4ABF-9D3D-B35FCC6942F6}"/>
    <cellStyle name="Normal 4 2 4 2 6 2 4" xfId="20784" xr:uid="{AB959244-B075-4050-B2A0-617B2FFC200B}"/>
    <cellStyle name="Normal 4 2 4 2 6 3" xfId="5972" xr:uid="{00000000-0005-0000-0000-000075130000}"/>
    <cellStyle name="Normal 4 2 4 2 6 3 2" xfId="14422" xr:uid="{7279011B-B288-4609-B0A6-456C0BAE5D42}"/>
    <cellStyle name="Normal 4 2 4 2 6 3 3" xfId="22856" xr:uid="{B801F4DA-5FA5-46A2-97E2-F75891E683C9}"/>
    <cellStyle name="Normal 4 2 4 2 6 4" xfId="10204" xr:uid="{547DD02D-074A-4D02-A6A6-8487487EDFB9}"/>
    <cellStyle name="Normal 4 2 4 2 6 5" xfId="18639" xr:uid="{81DD7779-0F2E-409A-B495-4FFCEAB2EF76}"/>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A9A5DC2B-3C8E-4EE9-B338-26B05E01DD95}"/>
    <cellStyle name="Normal 4 2 4 2 7 2 2 3" xfId="25414" xr:uid="{1572B3CA-84A4-4EDB-9B28-A59662899E6E}"/>
    <cellStyle name="Normal 4 2 4 2 7 2 3" xfId="12762" xr:uid="{AFE1E20B-770E-4654-BE04-4905E36ED9DD}"/>
    <cellStyle name="Normal 4 2 4 2 7 2 4" xfId="21197" xr:uid="{E9ACE9B3-2416-4031-B3F1-E9C7C74E65AC}"/>
    <cellStyle name="Normal 4 2 4 2 7 3" xfId="6385" xr:uid="{00000000-0005-0000-0000-000079130000}"/>
    <cellStyle name="Normal 4 2 4 2 7 3 2" xfId="14835" xr:uid="{1AECCF51-2959-4155-AC2B-F295D456703A}"/>
    <cellStyle name="Normal 4 2 4 2 7 3 3" xfId="23269" xr:uid="{47D21207-F49E-40E1-B8F6-401F941D5095}"/>
    <cellStyle name="Normal 4 2 4 2 7 4" xfId="10617" xr:uid="{7975BD4D-F6E4-42A1-BB69-1FD4EE5AA74E}"/>
    <cellStyle name="Normal 4 2 4 2 7 5" xfId="19052" xr:uid="{89EC1C54-A556-4123-AD43-1DA1C5D7C60A}"/>
    <cellStyle name="Normal 4 2 4 2 8" xfId="2515" xr:uid="{00000000-0005-0000-0000-00007A130000}"/>
    <cellStyle name="Normal 4 2 4 2 8 2" xfId="6798" xr:uid="{00000000-0005-0000-0000-00007B130000}"/>
    <cellStyle name="Normal 4 2 4 2 8 2 2" xfId="15248" xr:uid="{846B534A-6912-4588-B784-381F59BDDACF}"/>
    <cellStyle name="Normal 4 2 4 2 8 2 3" xfId="23682" xr:uid="{63B1B15A-A5C7-4811-A67D-DAFEBAB356E4}"/>
    <cellStyle name="Normal 4 2 4 2 8 3" xfId="11030" xr:uid="{40527091-F07F-4FE9-9DD8-88AF36D3D489}"/>
    <cellStyle name="Normal 4 2 4 2 8 4" xfId="19465" xr:uid="{FC644411-CDD1-4891-B0C3-9EB501A35236}"/>
    <cellStyle name="Normal 4 2 4 2 9" xfId="4733" xr:uid="{00000000-0005-0000-0000-00007C130000}"/>
    <cellStyle name="Normal 4 2 4 2 9 2" xfId="13183" xr:uid="{22C04162-272E-4560-AA01-94840DB5B9C7}"/>
    <cellStyle name="Normal 4 2 4 2 9 3" xfId="21617" xr:uid="{5499D3B0-6BEF-4DF4-9D42-B5F56E4EB3C4}"/>
    <cellStyle name="Normal 4 2 4 3" xfId="360" xr:uid="{00000000-0005-0000-0000-00007D130000}"/>
    <cellStyle name="Normal 4 2 4 3 10" xfId="17404" xr:uid="{8D0911DB-2368-4F4B-A98D-931F8510E7CD}"/>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83767BF3-B1BF-4A16-B9A9-66D6F8EC6299}"/>
    <cellStyle name="Normal 4 2 4 3 2 2 2 2 3" xfId="24180" xr:uid="{758B75BB-783F-46CF-8834-F8F2F3A8FCEC}"/>
    <cellStyle name="Normal 4 2 4 3 2 2 2 3" xfId="11528" xr:uid="{61451B8C-1242-4D46-AA06-05BC174102AC}"/>
    <cellStyle name="Normal 4 2 4 3 2 2 2 4" xfId="19963" xr:uid="{02F65DD8-6D60-4A3C-9639-8C5A9029DCCA}"/>
    <cellStyle name="Normal 4 2 4 3 2 2 3" xfId="5151" xr:uid="{00000000-0005-0000-0000-000082130000}"/>
    <cellStyle name="Normal 4 2 4 3 2 2 3 2" xfId="13601" xr:uid="{75107B2D-C91F-4A3B-AEBC-C44DB5968EAA}"/>
    <cellStyle name="Normal 4 2 4 3 2 2 3 3" xfId="22035" xr:uid="{43ABD191-BC2A-476F-B22B-B1822A594E05}"/>
    <cellStyle name="Normal 4 2 4 3 2 2 4" xfId="9383" xr:uid="{9F79B5C2-CD0F-40B0-A1CB-6E716D8ED0DD}"/>
    <cellStyle name="Normal 4 2 4 3 2 2 5" xfId="17818" xr:uid="{36D6FE40-2D17-48D9-8499-0C58EF067767}"/>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285CCA40-AA75-4A5A-98A7-0E90BEB0AAF9}"/>
    <cellStyle name="Normal 4 2 4 3 2 3 2 2 3" xfId="24593" xr:uid="{35FA5BF0-38EF-4CBF-AAD0-2D40EE3ED5E7}"/>
    <cellStyle name="Normal 4 2 4 3 2 3 2 3" xfId="11941" xr:uid="{3064B8AD-A348-4041-B335-16393F703213}"/>
    <cellStyle name="Normal 4 2 4 3 2 3 2 4" xfId="20376" xr:uid="{20499F43-F0A4-45E6-8F79-F6AF1F13FAC3}"/>
    <cellStyle name="Normal 4 2 4 3 2 3 3" xfId="5564" xr:uid="{00000000-0005-0000-0000-000086130000}"/>
    <cellStyle name="Normal 4 2 4 3 2 3 3 2" xfId="14014" xr:uid="{5D6E03F7-628D-4F4B-B568-1262ED724C7E}"/>
    <cellStyle name="Normal 4 2 4 3 2 3 3 3" xfId="22448" xr:uid="{61234887-F682-43FA-9475-C10BFA5C1B38}"/>
    <cellStyle name="Normal 4 2 4 3 2 3 4" xfId="9796" xr:uid="{57751910-B455-40D0-BF24-3FD005FD99AF}"/>
    <cellStyle name="Normal 4 2 4 3 2 3 5" xfId="18231" xr:uid="{A0DE5DCE-5AD7-4A14-B318-7F5D905CC0E2}"/>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09104071-F50D-49AD-B583-222DB872AFE9}"/>
    <cellStyle name="Normal 4 2 4 3 2 4 2 2 3" xfId="25006" xr:uid="{2437E050-9EFF-4E3A-A99C-7ABE514586B7}"/>
    <cellStyle name="Normal 4 2 4 3 2 4 2 3" xfId="12354" xr:uid="{0A0F41E5-4CF7-4F31-B527-9508ADCCAA84}"/>
    <cellStyle name="Normal 4 2 4 3 2 4 2 4" xfId="20789" xr:uid="{1DC01719-01FC-4C4A-8006-8F5F26C14CAF}"/>
    <cellStyle name="Normal 4 2 4 3 2 4 3" xfId="5977" xr:uid="{00000000-0005-0000-0000-00008A130000}"/>
    <cellStyle name="Normal 4 2 4 3 2 4 3 2" xfId="14427" xr:uid="{E3C9F75C-3DB0-467A-B8A0-F47294E462C6}"/>
    <cellStyle name="Normal 4 2 4 3 2 4 3 3" xfId="22861" xr:uid="{9CCD5E4B-D9F4-4C86-86BD-6D9D09770886}"/>
    <cellStyle name="Normal 4 2 4 3 2 4 4" xfId="10209" xr:uid="{C88A521A-6A8D-4CA2-B3FB-34FF4CED7E72}"/>
    <cellStyle name="Normal 4 2 4 3 2 4 5" xfId="18644" xr:uid="{999848CD-DF3A-4456-8F2B-8055E96EF2C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FFF78AB8-28BD-4810-8BB7-4857AD99578A}"/>
    <cellStyle name="Normal 4 2 4 3 2 5 2 2 3" xfId="25419" xr:uid="{9B5ECD34-A83F-4A2C-AF65-9D5BAF46912B}"/>
    <cellStyle name="Normal 4 2 4 3 2 5 2 3" xfId="12767" xr:uid="{0353EA6D-29C6-4678-AAC8-9D8E2DA0E484}"/>
    <cellStyle name="Normal 4 2 4 3 2 5 2 4" xfId="21202" xr:uid="{0F60C2AF-896C-458B-B302-9EA1B7B8A543}"/>
    <cellStyle name="Normal 4 2 4 3 2 5 3" xfId="6390" xr:uid="{00000000-0005-0000-0000-00008E130000}"/>
    <cellStyle name="Normal 4 2 4 3 2 5 3 2" xfId="14840" xr:uid="{96B6DF5B-100D-47FA-8EAF-2E4FBEE5C244}"/>
    <cellStyle name="Normal 4 2 4 3 2 5 3 3" xfId="23274" xr:uid="{68DBFC7A-9D09-4495-A54B-DB3EB9831ABC}"/>
    <cellStyle name="Normal 4 2 4 3 2 5 4" xfId="10622" xr:uid="{B27F467F-2805-4738-BFA5-2A8EF1C4B606}"/>
    <cellStyle name="Normal 4 2 4 3 2 5 5" xfId="19057" xr:uid="{D3E5DF29-7686-49DB-B54A-8F824FC9402C}"/>
    <cellStyle name="Normal 4 2 4 3 2 6" xfId="2520" xr:uid="{00000000-0005-0000-0000-00008F130000}"/>
    <cellStyle name="Normal 4 2 4 3 2 6 2" xfId="6803" xr:uid="{00000000-0005-0000-0000-000090130000}"/>
    <cellStyle name="Normal 4 2 4 3 2 6 2 2" xfId="15253" xr:uid="{9197993E-D338-4649-BCE2-19A454F210B1}"/>
    <cellStyle name="Normal 4 2 4 3 2 6 2 3" xfId="23687" xr:uid="{C6ED5EF9-D24B-45C8-ADDD-1C75105F7CDE}"/>
    <cellStyle name="Normal 4 2 4 3 2 6 3" xfId="11035" xr:uid="{F7D89A48-54AA-4DA6-9E50-04D65F2E1C51}"/>
    <cellStyle name="Normal 4 2 4 3 2 6 4" xfId="19470" xr:uid="{C34818C4-3D8C-4516-866A-AB0DDFE88BA2}"/>
    <cellStyle name="Normal 4 2 4 3 2 7" xfId="4738" xr:uid="{00000000-0005-0000-0000-000091130000}"/>
    <cellStyle name="Normal 4 2 4 3 2 7 2" xfId="13188" xr:uid="{12AF8B6E-6A94-4E99-87B5-CBA489104F23}"/>
    <cellStyle name="Normal 4 2 4 3 2 7 3" xfId="21622" xr:uid="{E8DB1BE5-F3A6-4C4A-A8D2-E382B479EBC2}"/>
    <cellStyle name="Normal 4 2 4 3 2 8" xfId="8970" xr:uid="{686EAEA6-8C86-4D0C-B0D6-4ECADDD36BF1}"/>
    <cellStyle name="Normal 4 2 4 3 2 9" xfId="17405" xr:uid="{FAD379EA-A92E-4AE0-BCE7-D4A3BC97B752}"/>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58DB981F-03E3-49D4-B148-D8A6E007E9D0}"/>
    <cellStyle name="Normal 4 2 4 3 3 2 2 3" xfId="24179" xr:uid="{F3F52676-AE91-4926-87DB-2875B2157236}"/>
    <cellStyle name="Normal 4 2 4 3 3 2 3" xfId="11527" xr:uid="{97C7C662-233D-4EDB-A68E-46DB32323C3C}"/>
    <cellStyle name="Normal 4 2 4 3 3 2 4" xfId="19962" xr:uid="{FBFC98C1-02B5-424F-9208-5E79698D1999}"/>
    <cellStyle name="Normal 4 2 4 3 3 3" xfId="5150" xr:uid="{00000000-0005-0000-0000-000095130000}"/>
    <cellStyle name="Normal 4 2 4 3 3 3 2" xfId="13600" xr:uid="{A3522F6C-EC53-4346-940A-00A2FDD55949}"/>
    <cellStyle name="Normal 4 2 4 3 3 3 3" xfId="22034" xr:uid="{747B964A-CDBF-4749-9B7E-19B76B623690}"/>
    <cellStyle name="Normal 4 2 4 3 3 4" xfId="9382" xr:uid="{DAE317AD-7DB8-414A-9002-B89E28BFAEEC}"/>
    <cellStyle name="Normal 4 2 4 3 3 5" xfId="17817" xr:uid="{78A46D65-7CBD-40D6-8408-47CF9B50C595}"/>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1A2B8780-9E30-4B96-A58D-1D9B2F24C77F}"/>
    <cellStyle name="Normal 4 2 4 3 4 2 2 3" xfId="24592" xr:uid="{634298A4-3563-4B2F-B1B8-9BDD0ACAABD1}"/>
    <cellStyle name="Normal 4 2 4 3 4 2 3" xfId="11940" xr:uid="{A077EBCA-2DD6-4E45-9308-9DEFE901AC8A}"/>
    <cellStyle name="Normal 4 2 4 3 4 2 4" xfId="20375" xr:uid="{9F4AC5AA-DCE5-4B99-8656-22CF0FB2B72B}"/>
    <cellStyle name="Normal 4 2 4 3 4 3" xfId="5563" xr:uid="{00000000-0005-0000-0000-000099130000}"/>
    <cellStyle name="Normal 4 2 4 3 4 3 2" xfId="14013" xr:uid="{30FF178E-B75A-4B59-9910-F28F13154B0C}"/>
    <cellStyle name="Normal 4 2 4 3 4 3 3" xfId="22447" xr:uid="{F0A9B3E8-3A7F-4271-A2AD-4949AA3D521B}"/>
    <cellStyle name="Normal 4 2 4 3 4 4" xfId="9795" xr:uid="{643C3DA9-A805-4181-A863-BA9C51F9F6BA}"/>
    <cellStyle name="Normal 4 2 4 3 4 5" xfId="18230" xr:uid="{B3923552-C196-434A-AF9E-D3060DA25AA6}"/>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F2CF9619-3ABC-4175-82F3-861885AA8319}"/>
    <cellStyle name="Normal 4 2 4 3 5 2 2 3" xfId="25005" xr:uid="{E7FA888A-E8D7-42A2-97BD-38BDA532BE0D}"/>
    <cellStyle name="Normal 4 2 4 3 5 2 3" xfId="12353" xr:uid="{825A7B5D-0968-49FB-8585-834C58060217}"/>
    <cellStyle name="Normal 4 2 4 3 5 2 4" xfId="20788" xr:uid="{3AF0DF07-443F-4E9B-96F1-12306E0F5E15}"/>
    <cellStyle name="Normal 4 2 4 3 5 3" xfId="5976" xr:uid="{00000000-0005-0000-0000-00009D130000}"/>
    <cellStyle name="Normal 4 2 4 3 5 3 2" xfId="14426" xr:uid="{2344A4E8-3DF6-4EEB-89BB-28A8B3F3A800}"/>
    <cellStyle name="Normal 4 2 4 3 5 3 3" xfId="22860" xr:uid="{C4C5BD1B-3EF6-4C08-A6AB-ACBE08D515E4}"/>
    <cellStyle name="Normal 4 2 4 3 5 4" xfId="10208" xr:uid="{1768B966-A92F-43B2-91A8-EB427D901928}"/>
    <cellStyle name="Normal 4 2 4 3 5 5" xfId="18643" xr:uid="{F159E63A-4641-4DDE-9822-3E9645C9B83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14CAD3C2-C95B-42BA-AD57-B8E9DAEA0DB1}"/>
    <cellStyle name="Normal 4 2 4 3 6 2 2 3" xfId="25418" xr:uid="{34457C9E-7236-4D99-A728-C366F2267E90}"/>
    <cellStyle name="Normal 4 2 4 3 6 2 3" xfId="12766" xr:uid="{395942D9-82D1-4B12-BCA5-8551A778F9CE}"/>
    <cellStyle name="Normal 4 2 4 3 6 2 4" xfId="21201" xr:uid="{2FB556F7-599B-4178-ADED-1C72152933A6}"/>
    <cellStyle name="Normal 4 2 4 3 6 3" xfId="6389" xr:uid="{00000000-0005-0000-0000-0000A1130000}"/>
    <cellStyle name="Normal 4 2 4 3 6 3 2" xfId="14839" xr:uid="{6D64EA65-3B81-44E2-8D7C-D15E3BB3939F}"/>
    <cellStyle name="Normal 4 2 4 3 6 3 3" xfId="23273" xr:uid="{96E61C7C-74BD-4F81-8721-DD8D676B8B44}"/>
    <cellStyle name="Normal 4 2 4 3 6 4" xfId="10621" xr:uid="{DE50839D-08A6-442A-B4CD-4FE9AF5F97D6}"/>
    <cellStyle name="Normal 4 2 4 3 6 5" xfId="19056" xr:uid="{33085AE2-2A34-4549-B1B6-315EC8F0C4D3}"/>
    <cellStyle name="Normal 4 2 4 3 7" xfId="2519" xr:uid="{00000000-0005-0000-0000-0000A2130000}"/>
    <cellStyle name="Normal 4 2 4 3 7 2" xfId="6802" xr:uid="{00000000-0005-0000-0000-0000A3130000}"/>
    <cellStyle name="Normal 4 2 4 3 7 2 2" xfId="15252" xr:uid="{2251B247-F59F-4F87-A822-BB993058E8AA}"/>
    <cellStyle name="Normal 4 2 4 3 7 2 3" xfId="23686" xr:uid="{BBDFADA6-601C-47C8-9587-C2D8DEEE560B}"/>
    <cellStyle name="Normal 4 2 4 3 7 3" xfId="11034" xr:uid="{6EA5316C-2749-4272-A6F3-2ED39FE6CE42}"/>
    <cellStyle name="Normal 4 2 4 3 7 4" xfId="19469" xr:uid="{D22BE677-B8A2-4E31-892D-FF5E9A8CEBE1}"/>
    <cellStyle name="Normal 4 2 4 3 8" xfId="4737" xr:uid="{00000000-0005-0000-0000-0000A4130000}"/>
    <cellStyle name="Normal 4 2 4 3 8 2" xfId="13187" xr:uid="{930A37B9-5EFE-4AA4-BF1E-4D97CAE20EDB}"/>
    <cellStyle name="Normal 4 2 4 3 8 3" xfId="21621" xr:uid="{E3D51710-1EA6-48EC-9E20-AD308F308945}"/>
    <cellStyle name="Normal 4 2 4 3 9" xfId="8969" xr:uid="{789363BA-814A-4D0F-BC74-12E51789C84B}"/>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F0F0F0E2-0702-4563-B582-6BFF89D3F639}"/>
    <cellStyle name="Normal 4 2 4 4 2 2 2 3" xfId="24181" xr:uid="{D7B97A88-3489-449A-A88E-0FEC1332768D}"/>
    <cellStyle name="Normal 4 2 4 4 2 2 3" xfId="11529" xr:uid="{8F349A63-56C7-44D1-A9E1-636D5E2C426A}"/>
    <cellStyle name="Normal 4 2 4 4 2 2 4" xfId="19964" xr:uid="{188FF819-6B24-4A24-B916-FDDA53401186}"/>
    <cellStyle name="Normal 4 2 4 4 2 3" xfId="5152" xr:uid="{00000000-0005-0000-0000-0000A9130000}"/>
    <cellStyle name="Normal 4 2 4 4 2 3 2" xfId="13602" xr:uid="{C3D12DC8-2900-4AB2-B12C-411AB1146C63}"/>
    <cellStyle name="Normal 4 2 4 4 2 3 3" xfId="22036" xr:uid="{7E6925C9-DCE4-4C36-8681-3DFF02A2B963}"/>
    <cellStyle name="Normal 4 2 4 4 2 4" xfId="9384" xr:uid="{341AA04E-6A8B-4D8D-8862-7769D2FD7E9D}"/>
    <cellStyle name="Normal 4 2 4 4 2 5" xfId="17819" xr:uid="{9EC0CE87-CBCE-4D84-901C-F855D18F7118}"/>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DA72D8ED-27C8-4569-A200-D15FF0E8F62C}"/>
    <cellStyle name="Normal 4 2 4 4 3 2 2 3" xfId="24594" xr:uid="{FECC5896-FEE4-459D-8110-40F14F5F475B}"/>
    <cellStyle name="Normal 4 2 4 4 3 2 3" xfId="11942" xr:uid="{BF60E697-4E31-46BD-B022-549B776FB417}"/>
    <cellStyle name="Normal 4 2 4 4 3 2 4" xfId="20377" xr:uid="{6F5945C1-8261-47AF-B154-198E5749AC02}"/>
    <cellStyle name="Normal 4 2 4 4 3 3" xfId="5565" xr:uid="{00000000-0005-0000-0000-0000AD130000}"/>
    <cellStyle name="Normal 4 2 4 4 3 3 2" xfId="14015" xr:uid="{F128A963-14F2-4925-98B6-18F322E80018}"/>
    <cellStyle name="Normal 4 2 4 4 3 3 3" xfId="22449" xr:uid="{32D3E963-2F04-4187-97BA-59677ACB7CB3}"/>
    <cellStyle name="Normal 4 2 4 4 3 4" xfId="9797" xr:uid="{6181C2A1-3C3D-4BD5-96BC-35E7C3E42887}"/>
    <cellStyle name="Normal 4 2 4 4 3 5" xfId="18232" xr:uid="{B5A96710-7B87-4E83-A209-4AE35BDAC9C1}"/>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42A07181-1ECB-42C3-A712-AD88D6DEBC36}"/>
    <cellStyle name="Normal 4 2 4 4 4 2 2 3" xfId="25007" xr:uid="{B1DD044C-0D34-4CBA-8E52-70BB72B028F3}"/>
    <cellStyle name="Normal 4 2 4 4 4 2 3" xfId="12355" xr:uid="{3D283AF1-3306-4652-825D-31D6CCE05353}"/>
    <cellStyle name="Normal 4 2 4 4 4 2 4" xfId="20790" xr:uid="{B3B6C560-FC1F-44B5-B233-BD3EB8F06E7F}"/>
    <cellStyle name="Normal 4 2 4 4 4 3" xfId="5978" xr:uid="{00000000-0005-0000-0000-0000B1130000}"/>
    <cellStyle name="Normal 4 2 4 4 4 3 2" xfId="14428" xr:uid="{A2E5814C-CB7D-45AA-B390-18410B99732F}"/>
    <cellStyle name="Normal 4 2 4 4 4 3 3" xfId="22862" xr:uid="{00F13FC2-BAAC-4825-AD24-C54CB54BFAEF}"/>
    <cellStyle name="Normal 4 2 4 4 4 4" xfId="10210" xr:uid="{2FD4F5ED-E1CA-4AE1-88E3-538C34CA710E}"/>
    <cellStyle name="Normal 4 2 4 4 4 5" xfId="18645" xr:uid="{FC588439-E739-4435-9F59-3C6B99BE3CB0}"/>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21C8D150-83F0-4B31-91B8-D5E6B81DC270}"/>
    <cellStyle name="Normal 4 2 4 4 5 2 2 3" xfId="25420" xr:uid="{82C5BECE-AFB0-45A4-81A1-07485052C4FE}"/>
    <cellStyle name="Normal 4 2 4 4 5 2 3" xfId="12768" xr:uid="{EE878B10-FE3C-49E9-876B-644622C13D28}"/>
    <cellStyle name="Normal 4 2 4 4 5 2 4" xfId="21203" xr:uid="{107FC42A-CA00-46F1-A8FA-3EDA8DDC4F7E}"/>
    <cellStyle name="Normal 4 2 4 4 5 3" xfId="6391" xr:uid="{00000000-0005-0000-0000-0000B5130000}"/>
    <cellStyle name="Normal 4 2 4 4 5 3 2" xfId="14841" xr:uid="{5CEC04F9-0C7C-404E-832D-B0C5A132A544}"/>
    <cellStyle name="Normal 4 2 4 4 5 3 3" xfId="23275" xr:uid="{4998BE0F-2734-4DE5-B46D-8B2560F54185}"/>
    <cellStyle name="Normal 4 2 4 4 5 4" xfId="10623" xr:uid="{EF22332A-A840-4DE4-9AE5-C8203D6D0AD0}"/>
    <cellStyle name="Normal 4 2 4 4 5 5" xfId="19058" xr:uid="{9EE04AAA-6E35-42A4-9C7F-FDE24235FAEB}"/>
    <cellStyle name="Normal 4 2 4 4 6" xfId="2521" xr:uid="{00000000-0005-0000-0000-0000B6130000}"/>
    <cellStyle name="Normal 4 2 4 4 6 2" xfId="6804" xr:uid="{00000000-0005-0000-0000-0000B7130000}"/>
    <cellStyle name="Normal 4 2 4 4 6 2 2" xfId="15254" xr:uid="{F20680B8-85D3-4E3F-B9D4-0113A7D95707}"/>
    <cellStyle name="Normal 4 2 4 4 6 2 3" xfId="23688" xr:uid="{82A63693-015D-4FB5-A497-9F6F640C77A0}"/>
    <cellStyle name="Normal 4 2 4 4 6 3" xfId="11036" xr:uid="{557F15E9-6F29-43A5-88B3-392B9538EA62}"/>
    <cellStyle name="Normal 4 2 4 4 6 4" xfId="19471" xr:uid="{4C68CC13-A41A-4C2B-AF72-3A4AA3A423C5}"/>
    <cellStyle name="Normal 4 2 4 4 7" xfId="4739" xr:uid="{00000000-0005-0000-0000-0000B8130000}"/>
    <cellStyle name="Normal 4 2 4 4 7 2" xfId="13189" xr:uid="{BC69CA76-2990-4E33-B80A-11AA4B83E128}"/>
    <cellStyle name="Normal 4 2 4 4 7 3" xfId="21623" xr:uid="{985CC278-A8EB-4C55-B84A-06D694882772}"/>
    <cellStyle name="Normal 4 2 4 4 8" xfId="8971" xr:uid="{DCD44383-2198-40FC-8C2F-99C4C9EB526B}"/>
    <cellStyle name="Normal 4 2 4 4 9" xfId="17406" xr:uid="{49C799DB-EA0D-4903-8F2C-5FF2DB294512}"/>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1D3581B4-0D2B-45AC-BF21-6FD08C14A93F}"/>
    <cellStyle name="Normal 4 2 4 5 2 2 3" xfId="24174" xr:uid="{8A4E69D8-ABB3-4B2D-BCFB-26DD1CD467D9}"/>
    <cellStyle name="Normal 4 2 4 5 2 3" xfId="11522" xr:uid="{76416680-5506-4216-857A-E233650979A8}"/>
    <cellStyle name="Normal 4 2 4 5 2 4" xfId="19957" xr:uid="{F2F2F6C3-4542-490A-A575-F3B406D7B8BC}"/>
    <cellStyle name="Normal 4 2 4 5 3" xfId="5145" xr:uid="{00000000-0005-0000-0000-0000BC130000}"/>
    <cellStyle name="Normal 4 2 4 5 3 2" xfId="13595" xr:uid="{021A5FFC-02FB-4AC0-B04E-5D2E803CF76C}"/>
    <cellStyle name="Normal 4 2 4 5 3 3" xfId="22029" xr:uid="{DE760F80-DE86-4485-B0BF-F3DC49C3853E}"/>
    <cellStyle name="Normal 4 2 4 5 4" xfId="9377" xr:uid="{8CF61DD4-BFC0-4A0F-9EBC-17056E3C9A98}"/>
    <cellStyle name="Normal 4 2 4 5 5" xfId="17812" xr:uid="{C54CB20C-B644-41C1-BBD1-D2548992157B}"/>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224B7948-6D5E-45B5-AB6E-82054DCDE754}"/>
    <cellStyle name="Normal 4 2 4 6 2 2 3" xfId="24587" xr:uid="{2E074D31-B5DE-4FA2-BB58-FA7E7BDA9A5A}"/>
    <cellStyle name="Normal 4 2 4 6 2 3" xfId="11935" xr:uid="{8AA10319-0587-4B5B-B036-995484202328}"/>
    <cellStyle name="Normal 4 2 4 6 2 4" xfId="20370" xr:uid="{CEF48D06-0028-468F-894B-CED866278062}"/>
    <cellStyle name="Normal 4 2 4 6 3" xfId="5558" xr:uid="{00000000-0005-0000-0000-0000C0130000}"/>
    <cellStyle name="Normal 4 2 4 6 3 2" xfId="14008" xr:uid="{CA18A200-1DD8-4ED3-AA6A-CD1EF1597516}"/>
    <cellStyle name="Normal 4 2 4 6 3 3" xfId="22442" xr:uid="{30713590-21C5-420A-8E12-B0FDCF2212EC}"/>
    <cellStyle name="Normal 4 2 4 6 4" xfId="9790" xr:uid="{61E05B9F-EA64-4F55-AB36-5294F6DD76FB}"/>
    <cellStyle name="Normal 4 2 4 6 5" xfId="18225" xr:uid="{BB4FD0AF-8C2D-4480-9E7E-B8F2E5583ED5}"/>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CD4F2EC4-FCAC-4956-89ED-CF841C2A3C21}"/>
    <cellStyle name="Normal 4 2 4 7 2 2 3" xfId="25000" xr:uid="{10477039-BB4B-4AAE-B456-B56C8917E885}"/>
    <cellStyle name="Normal 4 2 4 7 2 3" xfId="12348" xr:uid="{CF1FDAB5-22D1-443F-B688-EB2099BFFE24}"/>
    <cellStyle name="Normal 4 2 4 7 2 4" xfId="20783" xr:uid="{9C998AB1-42DD-4041-81D1-51FA5DC5A48C}"/>
    <cellStyle name="Normal 4 2 4 7 3" xfId="5971" xr:uid="{00000000-0005-0000-0000-0000C4130000}"/>
    <cellStyle name="Normal 4 2 4 7 3 2" xfId="14421" xr:uid="{F1459967-1410-4297-87DD-7F275FE97FCD}"/>
    <cellStyle name="Normal 4 2 4 7 3 3" xfId="22855" xr:uid="{52633011-E2E6-4E50-8B2C-0A6ACA3E487B}"/>
    <cellStyle name="Normal 4 2 4 7 4" xfId="10203" xr:uid="{D58F96A5-5263-40EB-BF65-2E8595816F01}"/>
    <cellStyle name="Normal 4 2 4 7 5" xfId="18638" xr:uid="{577F3D65-FA48-476F-984C-E3034FA3F93F}"/>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5DC1F30F-FBFB-4338-A9A8-5C5988669B2A}"/>
    <cellStyle name="Normal 4 2 4 8 2 2 3" xfId="25413" xr:uid="{D2CED317-7C27-47F0-A067-0F135E1DA278}"/>
    <cellStyle name="Normal 4 2 4 8 2 3" xfId="12761" xr:uid="{89A66E7A-3005-4F12-A0FB-9D60037A7F59}"/>
    <cellStyle name="Normal 4 2 4 8 2 4" xfId="21196" xr:uid="{DE9D15E6-2412-452D-930E-9C1A22D44244}"/>
    <cellStyle name="Normal 4 2 4 8 3" xfId="6384" xr:uid="{00000000-0005-0000-0000-0000C8130000}"/>
    <cellStyle name="Normal 4 2 4 8 3 2" xfId="14834" xr:uid="{C8EE193B-56C6-4F1F-8D05-DBF1FF4E072B}"/>
    <cellStyle name="Normal 4 2 4 8 3 3" xfId="23268" xr:uid="{F129ECBA-8681-45DC-8214-88B431B3A92B}"/>
    <cellStyle name="Normal 4 2 4 8 4" xfId="10616" xr:uid="{4DE315AD-4D99-46FD-A548-6D160B596452}"/>
    <cellStyle name="Normal 4 2 4 8 5" xfId="19051" xr:uid="{3F7A89CE-EE08-4A51-A31C-DDF69474395B}"/>
    <cellStyle name="Normal 4 2 4 9" xfId="2514" xr:uid="{00000000-0005-0000-0000-0000C9130000}"/>
    <cellStyle name="Normal 4 2 4 9 2" xfId="6797" xr:uid="{00000000-0005-0000-0000-0000CA130000}"/>
    <cellStyle name="Normal 4 2 4 9 2 2" xfId="15247" xr:uid="{975DF0BD-0DD2-454B-9744-083C6460338C}"/>
    <cellStyle name="Normal 4 2 4 9 2 3" xfId="23681" xr:uid="{A4AE3A9A-5EC6-4988-A6AB-DC077E14EA87}"/>
    <cellStyle name="Normal 4 2 4 9 3" xfId="11029" xr:uid="{D64D50A8-BA60-49C2-B53C-F5F9EA01A609}"/>
    <cellStyle name="Normal 4 2 4 9 4" xfId="19464" xr:uid="{2B55A611-A444-40FC-9F9E-090DD24F4AE4}"/>
    <cellStyle name="Normal 4 2 5" xfId="363" xr:uid="{00000000-0005-0000-0000-0000CB130000}"/>
    <cellStyle name="Normal 4 2 5 10" xfId="17407" xr:uid="{F46325D3-1801-4A7F-92D8-A834F4D3787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B2920E4A-09F8-4F2E-A181-2F371F3F3F5B}"/>
    <cellStyle name="Normal 4 2 5 2 2 2 2 3" xfId="24183" xr:uid="{C179C5BA-F8BA-4988-8D17-96700E94673C}"/>
    <cellStyle name="Normal 4 2 5 2 2 2 3" xfId="11531" xr:uid="{C89F66FC-81B8-4AD9-A193-EEF4E64B1EF4}"/>
    <cellStyle name="Normal 4 2 5 2 2 2 4" xfId="19966" xr:uid="{3D0C2070-89BB-4DA6-B481-FCFEA85A6668}"/>
    <cellStyle name="Normal 4 2 5 2 2 3" xfId="5154" xr:uid="{00000000-0005-0000-0000-0000D0130000}"/>
    <cellStyle name="Normal 4 2 5 2 2 3 2" xfId="13604" xr:uid="{91B972B2-6B08-472F-AFE9-C68B94918BFD}"/>
    <cellStyle name="Normal 4 2 5 2 2 3 3" xfId="22038" xr:uid="{1E9B87C0-3F86-476C-B19D-5841980F201D}"/>
    <cellStyle name="Normal 4 2 5 2 2 4" xfId="9386" xr:uid="{99DDCE74-F5E1-4448-9B3C-34B96D25FD18}"/>
    <cellStyle name="Normal 4 2 5 2 2 5" xfId="17821" xr:uid="{5F53266A-7061-4E6B-B9B3-0CD5C7FD490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ABFD1C7E-4BCB-4B78-ABB5-67A93EFE54F6}"/>
    <cellStyle name="Normal 4 2 5 2 3 2 2 3" xfId="24596" xr:uid="{44F7C759-2A28-4954-801E-8B106C9EF71B}"/>
    <cellStyle name="Normal 4 2 5 2 3 2 3" xfId="11944" xr:uid="{74D08AEA-4D41-43B9-B27D-07D7165F6EFB}"/>
    <cellStyle name="Normal 4 2 5 2 3 2 4" xfId="20379" xr:uid="{64A2B5B5-4C28-4B5A-82E2-F74A1E32E6FD}"/>
    <cellStyle name="Normal 4 2 5 2 3 3" xfId="5567" xr:uid="{00000000-0005-0000-0000-0000D4130000}"/>
    <cellStyle name="Normal 4 2 5 2 3 3 2" xfId="14017" xr:uid="{434C16C6-204B-4213-A87B-F4B5F1731FBB}"/>
    <cellStyle name="Normal 4 2 5 2 3 3 3" xfId="22451" xr:uid="{B7E262EF-ADB1-41F6-9FBE-E7E09826D855}"/>
    <cellStyle name="Normal 4 2 5 2 3 4" xfId="9799" xr:uid="{96137479-6566-4F6A-BFD4-848C131A00EB}"/>
    <cellStyle name="Normal 4 2 5 2 3 5" xfId="18234" xr:uid="{8E887E04-FA21-45FD-A235-FEC5EDF0B5E7}"/>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0AB45FF8-CDBD-4FC2-97CF-C627A715D3D0}"/>
    <cellStyle name="Normal 4 2 5 2 4 2 2 3" xfId="25009" xr:uid="{1ABC0888-F01A-47C9-A78D-47A30EEEE21C}"/>
    <cellStyle name="Normal 4 2 5 2 4 2 3" xfId="12357" xr:uid="{9A7B03F5-0909-4D93-90AD-9FF5414FCA28}"/>
    <cellStyle name="Normal 4 2 5 2 4 2 4" xfId="20792" xr:uid="{DB05C799-1434-4D6D-A06C-F253C4D947C0}"/>
    <cellStyle name="Normal 4 2 5 2 4 3" xfId="5980" xr:uid="{00000000-0005-0000-0000-0000D8130000}"/>
    <cellStyle name="Normal 4 2 5 2 4 3 2" xfId="14430" xr:uid="{FE3E5093-3F42-46FF-97F5-5E28B26F3CCF}"/>
    <cellStyle name="Normal 4 2 5 2 4 3 3" xfId="22864" xr:uid="{90EA0E83-927A-4F36-B812-EFA890B2269D}"/>
    <cellStyle name="Normal 4 2 5 2 4 4" xfId="10212" xr:uid="{728DC6C7-F861-4B87-9CD5-ADE0C0BADD1F}"/>
    <cellStyle name="Normal 4 2 5 2 4 5" xfId="18647" xr:uid="{64CA202F-D6DB-4AAC-858C-C59EB7E08B56}"/>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FA8F7F47-7109-4342-AC99-9108DB27BA04}"/>
    <cellStyle name="Normal 4 2 5 2 5 2 2 3" xfId="25422" xr:uid="{8D0DAB73-42D6-4EF0-B736-F5B8910D4C69}"/>
    <cellStyle name="Normal 4 2 5 2 5 2 3" xfId="12770" xr:uid="{95A4378D-E5DA-466D-913B-6C4F423BC3FD}"/>
    <cellStyle name="Normal 4 2 5 2 5 2 4" xfId="21205" xr:uid="{B0D908ED-EA7E-4AB8-B829-B556EC713802}"/>
    <cellStyle name="Normal 4 2 5 2 5 3" xfId="6393" xr:uid="{00000000-0005-0000-0000-0000DC130000}"/>
    <cellStyle name="Normal 4 2 5 2 5 3 2" xfId="14843" xr:uid="{BEF089C8-5472-44F5-AF27-BB46FD515C6A}"/>
    <cellStyle name="Normal 4 2 5 2 5 3 3" xfId="23277" xr:uid="{0AA722D6-7F6C-446C-84E0-0659EE98F5CE}"/>
    <cellStyle name="Normal 4 2 5 2 5 4" xfId="10625" xr:uid="{314D83F3-DE7C-4E48-AAAC-2AF78B05A4A4}"/>
    <cellStyle name="Normal 4 2 5 2 5 5" xfId="19060" xr:uid="{234D221C-0A11-4886-A743-32DBFBCFAFBE}"/>
    <cellStyle name="Normal 4 2 5 2 6" xfId="2523" xr:uid="{00000000-0005-0000-0000-0000DD130000}"/>
    <cellStyle name="Normal 4 2 5 2 6 2" xfId="6806" xr:uid="{00000000-0005-0000-0000-0000DE130000}"/>
    <cellStyle name="Normal 4 2 5 2 6 2 2" xfId="15256" xr:uid="{EC21BAAE-9ABA-4872-80BC-38C31BAE89C3}"/>
    <cellStyle name="Normal 4 2 5 2 6 2 3" xfId="23690" xr:uid="{6109A482-8D1D-4884-8131-36EBE57FB2E8}"/>
    <cellStyle name="Normal 4 2 5 2 6 3" xfId="11038" xr:uid="{3C405A8E-472A-4E03-8D9D-F205F6E7FD6A}"/>
    <cellStyle name="Normal 4 2 5 2 6 4" xfId="19473" xr:uid="{02CE8345-33FA-43ED-B282-6B31114F2BEF}"/>
    <cellStyle name="Normal 4 2 5 2 7" xfId="4741" xr:uid="{00000000-0005-0000-0000-0000DF130000}"/>
    <cellStyle name="Normal 4 2 5 2 7 2" xfId="13191" xr:uid="{73F8E5F4-BD7F-49BE-BECE-759E6D3871C8}"/>
    <cellStyle name="Normal 4 2 5 2 7 3" xfId="21625" xr:uid="{6585BA98-9F8F-426E-A658-65A2D7B84B04}"/>
    <cellStyle name="Normal 4 2 5 2 8" xfId="8973" xr:uid="{730B892B-4A33-49C3-88F5-109D6B789DF4}"/>
    <cellStyle name="Normal 4 2 5 2 9" xfId="17408" xr:uid="{1BCEABD7-708F-4DC3-AEF9-2F3BBC34D7E0}"/>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8A525BE5-0C45-48DC-82FA-C42083DAF5B8}"/>
    <cellStyle name="Normal 4 2 5 3 2 2 3" xfId="24182" xr:uid="{982BFB09-C23A-4511-B257-91884B1F9CBD}"/>
    <cellStyle name="Normal 4 2 5 3 2 3" xfId="11530" xr:uid="{F7377FBB-39A4-4BCF-A639-304CCC35A231}"/>
    <cellStyle name="Normal 4 2 5 3 2 4" xfId="19965" xr:uid="{E2F4422D-EB7B-4056-AAAA-9DB26C9387DB}"/>
    <cellStyle name="Normal 4 2 5 3 3" xfId="5153" xr:uid="{00000000-0005-0000-0000-0000E3130000}"/>
    <cellStyle name="Normal 4 2 5 3 3 2" xfId="13603" xr:uid="{6ADC3D03-53A0-4251-9A9F-0C6493C1B690}"/>
    <cellStyle name="Normal 4 2 5 3 3 3" xfId="22037" xr:uid="{70A4F26E-2920-4220-ABCA-3E68B834FC5F}"/>
    <cellStyle name="Normal 4 2 5 3 4" xfId="9385" xr:uid="{6CA8EB08-DFC2-4591-8727-6FFEDF02430E}"/>
    <cellStyle name="Normal 4 2 5 3 5" xfId="17820" xr:uid="{1CF3A480-C01A-4AA2-9B5B-B9F2A743398A}"/>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15D2E2B2-C96E-4E7D-9BCD-D801F21251AC}"/>
    <cellStyle name="Normal 4 2 5 4 2 2 3" xfId="24595" xr:uid="{57920023-0454-4811-B1A0-5753ECDFABF4}"/>
    <cellStyle name="Normal 4 2 5 4 2 3" xfId="11943" xr:uid="{D1703E30-E3BE-4525-8E09-8A17EFDAEA47}"/>
    <cellStyle name="Normal 4 2 5 4 2 4" xfId="20378" xr:uid="{D4BC824B-2702-4447-9892-3ECC7C74EFEE}"/>
    <cellStyle name="Normal 4 2 5 4 3" xfId="5566" xr:uid="{00000000-0005-0000-0000-0000E7130000}"/>
    <cellStyle name="Normal 4 2 5 4 3 2" xfId="14016" xr:uid="{3E3BAFD2-23A7-48F6-9817-9D2E9419838C}"/>
    <cellStyle name="Normal 4 2 5 4 3 3" xfId="22450" xr:uid="{49B5A366-6A0E-473F-B281-1C745F1EFCF7}"/>
    <cellStyle name="Normal 4 2 5 4 4" xfId="9798" xr:uid="{5961B2C5-21BE-4772-AA54-E9125D616BB5}"/>
    <cellStyle name="Normal 4 2 5 4 5" xfId="18233" xr:uid="{24279F15-96EE-4A65-AE0A-C4703E35FD6A}"/>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7EC07355-204D-424D-A03C-EF1C911B9A9A}"/>
    <cellStyle name="Normal 4 2 5 5 2 2 3" xfId="25008" xr:uid="{37673B0D-B390-4E5B-A5D6-3EEC979881C9}"/>
    <cellStyle name="Normal 4 2 5 5 2 3" xfId="12356" xr:uid="{9270B9A6-F34A-4BF4-9446-548C25AE1E65}"/>
    <cellStyle name="Normal 4 2 5 5 2 4" xfId="20791" xr:uid="{5BCBAC77-F580-4F08-ADEC-30EE0C60F8A7}"/>
    <cellStyle name="Normal 4 2 5 5 3" xfId="5979" xr:uid="{00000000-0005-0000-0000-0000EB130000}"/>
    <cellStyle name="Normal 4 2 5 5 3 2" xfId="14429" xr:uid="{654C1D1F-E619-4B6E-8C99-CC69C632B37E}"/>
    <cellStyle name="Normal 4 2 5 5 3 3" xfId="22863" xr:uid="{B781B88C-45E1-45F2-ACB2-E7C829E889D4}"/>
    <cellStyle name="Normal 4 2 5 5 4" xfId="10211" xr:uid="{09588ACA-7F23-4510-83B6-6D694155574E}"/>
    <cellStyle name="Normal 4 2 5 5 5" xfId="18646" xr:uid="{D20D6D8A-CAD1-4BB1-99E7-6BB3D62A82E9}"/>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053E691E-4061-41B0-92A4-13B8A24B377D}"/>
    <cellStyle name="Normal 4 2 5 6 2 2 3" xfId="25421" xr:uid="{B5879548-3F20-49C9-A397-47A01CF89382}"/>
    <cellStyle name="Normal 4 2 5 6 2 3" xfId="12769" xr:uid="{556924BB-5644-441F-A6FE-7B572311A7DA}"/>
    <cellStyle name="Normal 4 2 5 6 2 4" xfId="21204" xr:uid="{CC8BB175-0B81-4B01-BA66-FCA0C5B7C28F}"/>
    <cellStyle name="Normal 4 2 5 6 3" xfId="6392" xr:uid="{00000000-0005-0000-0000-0000EF130000}"/>
    <cellStyle name="Normal 4 2 5 6 3 2" xfId="14842" xr:uid="{E945169F-F879-489F-A2AB-81414D90F39D}"/>
    <cellStyle name="Normal 4 2 5 6 3 3" xfId="23276" xr:uid="{318C65D6-0204-4766-978C-45B4CA80091E}"/>
    <cellStyle name="Normal 4 2 5 6 4" xfId="10624" xr:uid="{304729DE-8237-4BEA-9CC9-942581B59757}"/>
    <cellStyle name="Normal 4 2 5 6 5" xfId="19059" xr:uid="{08DB7FFF-43D6-4998-BF99-838C5975FD45}"/>
    <cellStyle name="Normal 4 2 5 7" xfId="2522" xr:uid="{00000000-0005-0000-0000-0000F0130000}"/>
    <cellStyle name="Normal 4 2 5 7 2" xfId="6805" xr:uid="{00000000-0005-0000-0000-0000F1130000}"/>
    <cellStyle name="Normal 4 2 5 7 2 2" xfId="15255" xr:uid="{D8993EB5-4AFC-473A-BC98-78BB2944FB67}"/>
    <cellStyle name="Normal 4 2 5 7 2 3" xfId="23689" xr:uid="{28F0EDA2-26F6-4D1B-AA16-68C3BCF0F545}"/>
    <cellStyle name="Normal 4 2 5 7 3" xfId="11037" xr:uid="{A944758E-9459-45AD-BE33-7A01EE5A0734}"/>
    <cellStyle name="Normal 4 2 5 7 4" xfId="19472" xr:uid="{CFEA5F6E-592F-4EE8-8089-96470FA2667B}"/>
    <cellStyle name="Normal 4 2 5 8" xfId="4740" xr:uid="{00000000-0005-0000-0000-0000F2130000}"/>
    <cellStyle name="Normal 4 2 5 8 2" xfId="13190" xr:uid="{F64FF998-2914-49D9-B8E1-1BC09B1A3FBA}"/>
    <cellStyle name="Normal 4 2 5 8 3" xfId="21624" xr:uid="{453F81E9-5B92-42BC-832C-6AC6677369C8}"/>
    <cellStyle name="Normal 4 2 5 9" xfId="8972" xr:uid="{4E68101A-1451-4C5C-84F1-68C7111DC638}"/>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7700E5ED-74B3-4DCA-BF8E-88947107A4A5}"/>
    <cellStyle name="Normal 4 2 6 2 2 2 3" xfId="24184" xr:uid="{234AAE9A-02F0-4B2B-AA77-8DF9C124B8E4}"/>
    <cellStyle name="Normal 4 2 6 2 2 3" xfId="11532" xr:uid="{CC1EAB10-4303-4780-A9B7-9D0A5A9A976C}"/>
    <cellStyle name="Normal 4 2 6 2 2 4" xfId="19967" xr:uid="{F2638ACE-14B9-435F-BB0D-59B93B1E8F3F}"/>
    <cellStyle name="Normal 4 2 6 2 3" xfId="5155" xr:uid="{00000000-0005-0000-0000-0000F7130000}"/>
    <cellStyle name="Normal 4 2 6 2 3 2" xfId="13605" xr:uid="{5C307FD1-D8A4-471F-B175-9632A6622832}"/>
    <cellStyle name="Normal 4 2 6 2 3 3" xfId="22039" xr:uid="{A2A060BE-88A5-4B2B-9244-20AEB7247EE4}"/>
    <cellStyle name="Normal 4 2 6 2 4" xfId="9387" xr:uid="{AE8A1116-1677-470D-917E-F07EE5ACD7F4}"/>
    <cellStyle name="Normal 4 2 6 2 5" xfId="17822" xr:uid="{534B918F-8D3B-44C1-B76B-30419F52ADCB}"/>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8CAE9D09-3953-40AA-A244-2A83C83BEDAE}"/>
    <cellStyle name="Normal 4 2 6 3 2 2 3" xfId="24597" xr:uid="{67A8CE17-4674-46E0-93AD-D1147EE55776}"/>
    <cellStyle name="Normal 4 2 6 3 2 3" xfId="11945" xr:uid="{5E2A6F55-7F83-4240-AB8F-57388923D8FE}"/>
    <cellStyle name="Normal 4 2 6 3 2 4" xfId="20380" xr:uid="{1AA06B30-CAC5-42AB-8316-0608743935FF}"/>
    <cellStyle name="Normal 4 2 6 3 3" xfId="5568" xr:uid="{00000000-0005-0000-0000-0000FB130000}"/>
    <cellStyle name="Normal 4 2 6 3 3 2" xfId="14018" xr:uid="{F9558E7F-59FB-48AE-8F97-BFE14C233437}"/>
    <cellStyle name="Normal 4 2 6 3 3 3" xfId="22452" xr:uid="{AD022352-DF7C-4289-8D9C-3D66938871EA}"/>
    <cellStyle name="Normal 4 2 6 3 4" xfId="9800" xr:uid="{258F707A-9ACD-4110-9D72-BD4F0A28A8A3}"/>
    <cellStyle name="Normal 4 2 6 3 5" xfId="18235" xr:uid="{9F53E4E8-5DBA-4D90-AE69-C573C9E35A43}"/>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5409B642-9EDE-49C8-9ADE-3C53E6BBFF6E}"/>
    <cellStyle name="Normal 4 2 6 4 2 2 3" xfId="25010" xr:uid="{9FAA3225-5653-4E5C-B8D6-68CA28F864A6}"/>
    <cellStyle name="Normal 4 2 6 4 2 3" xfId="12358" xr:uid="{B29748E5-D3BE-463F-9B0B-B4FA5CCF7A31}"/>
    <cellStyle name="Normal 4 2 6 4 2 4" xfId="20793" xr:uid="{06E737F7-3AB2-43D5-8415-00391114F26C}"/>
    <cellStyle name="Normal 4 2 6 4 3" xfId="5981" xr:uid="{00000000-0005-0000-0000-0000FF130000}"/>
    <cellStyle name="Normal 4 2 6 4 3 2" xfId="14431" xr:uid="{2612AFED-8843-466A-9333-39324F24F144}"/>
    <cellStyle name="Normal 4 2 6 4 3 3" xfId="22865" xr:uid="{D22692DF-5557-48B3-8807-2A552656E63D}"/>
    <cellStyle name="Normal 4 2 6 4 4" xfId="10213" xr:uid="{4B04BE1C-A467-4725-A038-D237DE503520}"/>
    <cellStyle name="Normal 4 2 6 4 5" xfId="18648" xr:uid="{B9F34E8C-5D26-447A-8768-2DCF1349A231}"/>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83C2A70E-4306-4A9B-9069-2D30FD7E9540}"/>
    <cellStyle name="Normal 4 2 6 5 2 2 3" xfId="25423" xr:uid="{E0F5D1FB-82BF-4BE8-8771-394BA281C617}"/>
    <cellStyle name="Normal 4 2 6 5 2 3" xfId="12771" xr:uid="{E8AE93F5-8EA3-4C04-8A39-0D5B6122C386}"/>
    <cellStyle name="Normal 4 2 6 5 2 4" xfId="21206" xr:uid="{3CB8E83C-D59D-4F2A-8E22-3BC8F6BC422D}"/>
    <cellStyle name="Normal 4 2 6 5 3" xfId="6394" xr:uid="{00000000-0005-0000-0000-000003140000}"/>
    <cellStyle name="Normal 4 2 6 5 3 2" xfId="14844" xr:uid="{6784B82F-446A-41D6-8D2D-D0B2616B3B6A}"/>
    <cellStyle name="Normal 4 2 6 5 3 3" xfId="23278" xr:uid="{56F3D842-3063-44CC-A8E5-F24D32387AA1}"/>
    <cellStyle name="Normal 4 2 6 5 4" xfId="10626" xr:uid="{6D0854AE-B294-4647-9C33-3A0E51CB64B3}"/>
    <cellStyle name="Normal 4 2 6 5 5" xfId="19061" xr:uid="{2869AD69-3826-4F41-B6B7-FFEE29CC3207}"/>
    <cellStyle name="Normal 4 2 6 6" xfId="2524" xr:uid="{00000000-0005-0000-0000-000004140000}"/>
    <cellStyle name="Normal 4 2 6 6 2" xfId="6807" xr:uid="{00000000-0005-0000-0000-000005140000}"/>
    <cellStyle name="Normal 4 2 6 6 2 2" xfId="15257" xr:uid="{CAB2F3D7-BD6D-4709-B99C-1F0FC7E998E4}"/>
    <cellStyle name="Normal 4 2 6 6 2 3" xfId="23691" xr:uid="{56C004AA-FC3B-459D-8C8E-81A93E0736AC}"/>
    <cellStyle name="Normal 4 2 6 6 3" xfId="11039" xr:uid="{58BCAF0E-64ED-4AB2-9436-A81680435BF3}"/>
    <cellStyle name="Normal 4 2 6 6 4" xfId="19474" xr:uid="{52CBF36D-BFDA-4099-A4A5-D271233E3B5A}"/>
    <cellStyle name="Normal 4 2 6 7" xfId="4742" xr:uid="{00000000-0005-0000-0000-000006140000}"/>
    <cellStyle name="Normal 4 2 6 7 2" xfId="13192" xr:uid="{F0FB3511-AE3C-4B61-87EE-BFCBD71C1FF2}"/>
    <cellStyle name="Normal 4 2 6 7 3" xfId="21626" xr:uid="{B4857A2E-F398-466E-B38B-8DBFB339E478}"/>
    <cellStyle name="Normal 4 2 6 8" xfId="8974" xr:uid="{2EC9FEBA-9974-49B6-AE61-0DA189BCB010}"/>
    <cellStyle name="Normal 4 2 6 9" xfId="17409" xr:uid="{2CF73247-E3DA-48AC-B228-90797ABD7EAB}"/>
    <cellStyle name="Normal 4 3" xfId="366" xr:uid="{00000000-0005-0000-0000-000007140000}"/>
    <cellStyle name="Normal 4 3 10" xfId="8975" xr:uid="{ED13391E-FABE-4BFE-8E5C-B7849975BCC1}"/>
    <cellStyle name="Normal 4 3 11" xfId="17410" xr:uid="{53B9C4DD-D6EF-406D-B926-E4DF78B378BC}"/>
    <cellStyle name="Normal 4 3 2" xfId="367" xr:uid="{00000000-0005-0000-0000-000008140000}"/>
    <cellStyle name="Normal 4 3 2 2" xfId="368" xr:uid="{00000000-0005-0000-0000-000009140000}"/>
    <cellStyle name="Normal 4 3 2 2 2" xfId="369" xr:uid="{00000000-0005-0000-0000-00000A140000}"/>
    <cellStyle name="Normal 4 3 2 2 2 10" xfId="8976" xr:uid="{141FE882-D23C-4A0E-A723-90C42F1EBA89}"/>
    <cellStyle name="Normal 4 3 2 2 2 11" xfId="17411" xr:uid="{9F71602C-0D13-4287-9BBE-463FF1A957A2}"/>
    <cellStyle name="Normal 4 3 2 2 2 2" xfId="370" xr:uid="{00000000-0005-0000-0000-00000B140000}"/>
    <cellStyle name="Normal 4 3 2 2 2 2 10" xfId="17412" xr:uid="{D34083C5-FD6E-4F70-BDF0-F29D25884E9A}"/>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3E3A24F4-EEA2-40B6-84B9-F0DAF8661D8A}"/>
    <cellStyle name="Normal 4 3 2 2 2 2 2 2 2 2 3" xfId="24188" xr:uid="{F2FA48FD-DF4F-43BF-8632-4382CE0507B9}"/>
    <cellStyle name="Normal 4 3 2 2 2 2 2 2 2 3" xfId="11536" xr:uid="{280CFD4E-A386-49FA-8941-36D46BF08F53}"/>
    <cellStyle name="Normal 4 3 2 2 2 2 2 2 2 4" xfId="19971" xr:uid="{5E8C6520-1447-436D-B05B-A10CCDDAC01A}"/>
    <cellStyle name="Normal 4 3 2 2 2 2 2 2 3" xfId="5159" xr:uid="{00000000-0005-0000-0000-000010140000}"/>
    <cellStyle name="Normal 4 3 2 2 2 2 2 2 3 2" xfId="13609" xr:uid="{81EC223F-049E-45F5-9C29-2C39D415E834}"/>
    <cellStyle name="Normal 4 3 2 2 2 2 2 2 3 3" xfId="22043" xr:uid="{7056C409-A41F-47D6-BACE-1CDBDFCB543E}"/>
    <cellStyle name="Normal 4 3 2 2 2 2 2 2 4" xfId="9391" xr:uid="{D6EE658B-9C9F-4560-89C1-74124EB37208}"/>
    <cellStyle name="Normal 4 3 2 2 2 2 2 2 5" xfId="17826" xr:uid="{07DD1091-3F46-4B78-912C-B66E2099DF2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B8F1F408-62D7-4BFF-94FE-B96B36981285}"/>
    <cellStyle name="Normal 4 3 2 2 2 2 2 3 2 2 3" xfId="24601" xr:uid="{25B5FD0B-AE90-4A90-96E6-AC27FB4CE946}"/>
    <cellStyle name="Normal 4 3 2 2 2 2 2 3 2 3" xfId="11949" xr:uid="{4B22A07F-321A-49D3-8053-7E5FB4FF9EC6}"/>
    <cellStyle name="Normal 4 3 2 2 2 2 2 3 2 4" xfId="20384" xr:uid="{318D6E22-3773-451E-AA1F-8663775B70F5}"/>
    <cellStyle name="Normal 4 3 2 2 2 2 2 3 3" xfId="5572" xr:uid="{00000000-0005-0000-0000-000014140000}"/>
    <cellStyle name="Normal 4 3 2 2 2 2 2 3 3 2" xfId="14022" xr:uid="{DDB4FAFC-6459-4390-941D-03D0CEF44432}"/>
    <cellStyle name="Normal 4 3 2 2 2 2 2 3 3 3" xfId="22456" xr:uid="{24ED5FA3-78A0-4086-9E34-761DB0C7DE58}"/>
    <cellStyle name="Normal 4 3 2 2 2 2 2 3 4" xfId="9804" xr:uid="{A8AF307A-9F3F-49A0-B234-A992B25AEA16}"/>
    <cellStyle name="Normal 4 3 2 2 2 2 2 3 5" xfId="18239" xr:uid="{4591C77D-2B6A-4BD0-89A1-FC7C897531D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85D7126D-FFEF-4971-AF54-08C3BDD4B009}"/>
    <cellStyle name="Normal 4 3 2 2 2 2 2 4 2 2 3" xfId="25014" xr:uid="{F8E644E9-B0C6-408E-A38A-C47551D4EE41}"/>
    <cellStyle name="Normal 4 3 2 2 2 2 2 4 2 3" xfId="12362" xr:uid="{0BF0CC72-08E4-4C20-8A6B-0353940B538C}"/>
    <cellStyle name="Normal 4 3 2 2 2 2 2 4 2 4" xfId="20797" xr:uid="{1CCFE8F3-1AE2-463B-BACC-BC56BEB9A0FC}"/>
    <cellStyle name="Normal 4 3 2 2 2 2 2 4 3" xfId="5985" xr:uid="{00000000-0005-0000-0000-000018140000}"/>
    <cellStyle name="Normal 4 3 2 2 2 2 2 4 3 2" xfId="14435" xr:uid="{85EFD165-FF91-455D-971F-01D30DE8DBBC}"/>
    <cellStyle name="Normal 4 3 2 2 2 2 2 4 3 3" xfId="22869" xr:uid="{542F868D-9DC0-4665-9BD4-C2DD749A1BC0}"/>
    <cellStyle name="Normal 4 3 2 2 2 2 2 4 4" xfId="10217" xr:uid="{736D7CAA-C9BD-4E53-AA33-17D0A55D6C74}"/>
    <cellStyle name="Normal 4 3 2 2 2 2 2 4 5" xfId="18652" xr:uid="{B5F118C5-FA41-4F40-A485-ED0CF9FAB962}"/>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601CEBE3-53DB-47A3-A27C-979D9EC67A04}"/>
    <cellStyle name="Normal 4 3 2 2 2 2 2 5 2 2 3" xfId="25427" xr:uid="{23ACB65E-255E-4AF7-9CA2-E13AE289DC08}"/>
    <cellStyle name="Normal 4 3 2 2 2 2 2 5 2 3" xfId="12775" xr:uid="{33688436-A58D-4B2B-BFCD-8AC32248D368}"/>
    <cellStyle name="Normal 4 3 2 2 2 2 2 5 2 4" xfId="21210" xr:uid="{FA33497C-A402-4298-8BE8-B63EC9265067}"/>
    <cellStyle name="Normal 4 3 2 2 2 2 2 5 3" xfId="6398" xr:uid="{00000000-0005-0000-0000-00001C140000}"/>
    <cellStyle name="Normal 4 3 2 2 2 2 2 5 3 2" xfId="14848" xr:uid="{8169B256-E4D2-48C8-AC48-5FAB644883B1}"/>
    <cellStyle name="Normal 4 3 2 2 2 2 2 5 3 3" xfId="23282" xr:uid="{0E4F15F7-6E01-427A-8EB9-2D85F542655E}"/>
    <cellStyle name="Normal 4 3 2 2 2 2 2 5 4" xfId="10630" xr:uid="{AACC690C-FE53-4500-9F74-A1A9B4E21274}"/>
    <cellStyle name="Normal 4 3 2 2 2 2 2 5 5" xfId="19065" xr:uid="{2DFF15C4-73B3-4B50-9414-41BE64978F98}"/>
    <cellStyle name="Normal 4 3 2 2 2 2 2 6" xfId="2528" xr:uid="{00000000-0005-0000-0000-00001D140000}"/>
    <cellStyle name="Normal 4 3 2 2 2 2 2 6 2" xfId="6811" xr:uid="{00000000-0005-0000-0000-00001E140000}"/>
    <cellStyle name="Normal 4 3 2 2 2 2 2 6 2 2" xfId="15261" xr:uid="{3CD020CC-C7A4-4D84-BCCD-00A16228A05E}"/>
    <cellStyle name="Normal 4 3 2 2 2 2 2 6 2 3" xfId="23695" xr:uid="{4456A3A6-5DF3-41DA-83B7-E72EB25BFDBD}"/>
    <cellStyle name="Normal 4 3 2 2 2 2 2 6 3" xfId="11043" xr:uid="{5EABCB04-F042-4FE0-8DE8-70B14BD9DEA4}"/>
    <cellStyle name="Normal 4 3 2 2 2 2 2 6 4" xfId="19478" xr:uid="{24ADCE32-F70E-42AB-AE4C-596BC2342F1F}"/>
    <cellStyle name="Normal 4 3 2 2 2 2 2 7" xfId="4746" xr:uid="{00000000-0005-0000-0000-00001F140000}"/>
    <cellStyle name="Normal 4 3 2 2 2 2 2 7 2" xfId="13196" xr:uid="{87ABF8CD-2FBA-4839-83C5-17DC826F6F8D}"/>
    <cellStyle name="Normal 4 3 2 2 2 2 2 7 3" xfId="21630" xr:uid="{5BF277A8-4AC5-48A0-90C7-4193EC7640D2}"/>
    <cellStyle name="Normal 4 3 2 2 2 2 2 8" xfId="8978" xr:uid="{87F3E1C4-D3C5-4235-941B-0E27F02EFD9E}"/>
    <cellStyle name="Normal 4 3 2 2 2 2 2 9" xfId="17413" xr:uid="{166EA351-AAC8-4151-9632-2CE23C47D67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372038D0-21A0-49D6-9305-137BE9EDE0C4}"/>
    <cellStyle name="Normal 4 3 2 2 2 2 3 2 2 3" xfId="24187" xr:uid="{186B9AE4-F601-4BF1-9945-73E0AC9C8A62}"/>
    <cellStyle name="Normal 4 3 2 2 2 2 3 2 3" xfId="11535" xr:uid="{18B6F2F3-53BC-4698-927C-8219DB978E76}"/>
    <cellStyle name="Normal 4 3 2 2 2 2 3 2 4" xfId="19970" xr:uid="{6867EEB9-FE39-45C4-A534-EA6A1263E75E}"/>
    <cellStyle name="Normal 4 3 2 2 2 2 3 3" xfId="5158" xr:uid="{00000000-0005-0000-0000-000023140000}"/>
    <cellStyle name="Normal 4 3 2 2 2 2 3 3 2" xfId="13608" xr:uid="{E721C13D-43FA-43D5-A6FF-3EFE01FF7693}"/>
    <cellStyle name="Normal 4 3 2 2 2 2 3 3 3" xfId="22042" xr:uid="{8B8351AA-6792-444E-8ABE-903DBBECC2D5}"/>
    <cellStyle name="Normal 4 3 2 2 2 2 3 4" xfId="9390" xr:uid="{C691EE32-05DB-428B-9784-7258F91EA3E3}"/>
    <cellStyle name="Normal 4 3 2 2 2 2 3 5" xfId="17825" xr:uid="{6CA1149C-7647-4715-B4BC-CA49C7CB0AF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5FB3C345-A643-4075-A68E-E743B9ABADB5}"/>
    <cellStyle name="Normal 4 3 2 2 2 2 4 2 2 3" xfId="24600" xr:uid="{42C66F4F-55C7-4AF5-9A4B-B557C76EA018}"/>
    <cellStyle name="Normal 4 3 2 2 2 2 4 2 3" xfId="11948" xr:uid="{99CB2B56-56C9-4479-A144-9BAFC77B54E6}"/>
    <cellStyle name="Normal 4 3 2 2 2 2 4 2 4" xfId="20383" xr:uid="{F5D48CCA-EEDA-4F24-8959-FB0E6E51A0A9}"/>
    <cellStyle name="Normal 4 3 2 2 2 2 4 3" xfId="5571" xr:uid="{00000000-0005-0000-0000-000027140000}"/>
    <cellStyle name="Normal 4 3 2 2 2 2 4 3 2" xfId="14021" xr:uid="{2A42CDF1-142E-47D7-9D7A-3B2873756FCF}"/>
    <cellStyle name="Normal 4 3 2 2 2 2 4 3 3" xfId="22455" xr:uid="{16C5EC82-9D06-408F-8BDA-AD9104BA2A7D}"/>
    <cellStyle name="Normal 4 3 2 2 2 2 4 4" xfId="9803" xr:uid="{A0B46C8E-E2BA-4759-AAF3-29835B593F6F}"/>
    <cellStyle name="Normal 4 3 2 2 2 2 4 5" xfId="18238" xr:uid="{C53D1BB5-9822-4763-A1AB-A7F07D7C2022}"/>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2954EC43-2344-4F34-B349-509C7F7B6D8E}"/>
    <cellStyle name="Normal 4 3 2 2 2 2 5 2 2 3" xfId="25013" xr:uid="{FED9C7EE-A41B-4892-96A3-DD564C000219}"/>
    <cellStyle name="Normal 4 3 2 2 2 2 5 2 3" xfId="12361" xr:uid="{46038F4F-C689-4420-B85D-5F85781D66B4}"/>
    <cellStyle name="Normal 4 3 2 2 2 2 5 2 4" xfId="20796" xr:uid="{CF13BFFD-3390-4387-9D68-D208A5D28FA5}"/>
    <cellStyle name="Normal 4 3 2 2 2 2 5 3" xfId="5984" xr:uid="{00000000-0005-0000-0000-00002B140000}"/>
    <cellStyle name="Normal 4 3 2 2 2 2 5 3 2" xfId="14434" xr:uid="{F5A0BDCA-88E6-49E9-B04F-5D680EB4D23E}"/>
    <cellStyle name="Normal 4 3 2 2 2 2 5 3 3" xfId="22868" xr:uid="{66C2D8BE-795B-44CB-A596-9E9235C8A37A}"/>
    <cellStyle name="Normal 4 3 2 2 2 2 5 4" xfId="10216" xr:uid="{075F9CBE-9FF6-419C-B570-FD86AA18B5D0}"/>
    <cellStyle name="Normal 4 3 2 2 2 2 5 5" xfId="18651" xr:uid="{7DAD0233-35B4-4DB8-9181-80B4ED01763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9C76D47A-1525-4596-AD92-DA2C3A3B0980}"/>
    <cellStyle name="Normal 4 3 2 2 2 2 6 2 2 3" xfId="25426" xr:uid="{77A246B0-F9E7-4AD3-A84F-536DFBCB38D4}"/>
    <cellStyle name="Normal 4 3 2 2 2 2 6 2 3" xfId="12774" xr:uid="{B3A7C573-A619-43A8-9559-57423E511103}"/>
    <cellStyle name="Normal 4 3 2 2 2 2 6 2 4" xfId="21209" xr:uid="{69909EAB-925C-4D88-A32B-AF2DAF26F384}"/>
    <cellStyle name="Normal 4 3 2 2 2 2 6 3" xfId="6397" xr:uid="{00000000-0005-0000-0000-00002F140000}"/>
    <cellStyle name="Normal 4 3 2 2 2 2 6 3 2" xfId="14847" xr:uid="{C639AA8F-95B1-44D6-A610-25A7B67AA9A4}"/>
    <cellStyle name="Normal 4 3 2 2 2 2 6 3 3" xfId="23281" xr:uid="{83A8A676-5DA8-4D7B-9B46-00A2CE623665}"/>
    <cellStyle name="Normal 4 3 2 2 2 2 6 4" xfId="10629" xr:uid="{6052A423-E8BF-4FA6-8A71-8225EA78F476}"/>
    <cellStyle name="Normal 4 3 2 2 2 2 6 5" xfId="19064" xr:uid="{70E0A236-B787-453F-BDA6-A306EFE5F396}"/>
    <cellStyle name="Normal 4 3 2 2 2 2 7" xfId="2527" xr:uid="{00000000-0005-0000-0000-000030140000}"/>
    <cellStyle name="Normal 4 3 2 2 2 2 7 2" xfId="6810" xr:uid="{00000000-0005-0000-0000-000031140000}"/>
    <cellStyle name="Normal 4 3 2 2 2 2 7 2 2" xfId="15260" xr:uid="{1C5948A0-0A69-487B-B971-6B3D80666C2F}"/>
    <cellStyle name="Normal 4 3 2 2 2 2 7 2 3" xfId="23694" xr:uid="{F0C8F276-299F-4CD9-A693-CA4C616E7121}"/>
    <cellStyle name="Normal 4 3 2 2 2 2 7 3" xfId="11042" xr:uid="{BBB53EDA-6BE8-4FB7-939E-5C134C6FE972}"/>
    <cellStyle name="Normal 4 3 2 2 2 2 7 4" xfId="19477" xr:uid="{856A3EC7-161B-43AE-A00D-57646C6AD571}"/>
    <cellStyle name="Normal 4 3 2 2 2 2 8" xfId="4745" xr:uid="{00000000-0005-0000-0000-000032140000}"/>
    <cellStyle name="Normal 4 3 2 2 2 2 8 2" xfId="13195" xr:uid="{611CFE16-918D-48D5-AECF-E2143740EA86}"/>
    <cellStyle name="Normal 4 3 2 2 2 2 8 3" xfId="21629" xr:uid="{706EF011-C900-4B48-9AF5-5B0FB7AB0353}"/>
    <cellStyle name="Normal 4 3 2 2 2 2 9" xfId="8977" xr:uid="{26C0BE76-89C6-42EB-81DA-53005874AC1E}"/>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F273CFA8-88C6-4187-B8FB-6154C7AFBAE4}"/>
    <cellStyle name="Normal 4 3 2 2 2 3 2 2 2 3" xfId="24189" xr:uid="{361B037F-DCD9-401E-956C-E2606040BFCD}"/>
    <cellStyle name="Normal 4 3 2 2 2 3 2 2 3" xfId="11537" xr:uid="{275994F5-13EC-4BD0-9D7E-B0A9CBDA2C2C}"/>
    <cellStyle name="Normal 4 3 2 2 2 3 2 2 4" xfId="19972" xr:uid="{57D9F6E5-083D-49D6-80A6-A382AED58F84}"/>
    <cellStyle name="Normal 4 3 2 2 2 3 2 3" xfId="5160" xr:uid="{00000000-0005-0000-0000-000037140000}"/>
    <cellStyle name="Normal 4 3 2 2 2 3 2 3 2" xfId="13610" xr:uid="{B9E2363E-B0DC-40C0-AAB4-2157FD2CE7FD}"/>
    <cellStyle name="Normal 4 3 2 2 2 3 2 3 3" xfId="22044" xr:uid="{AF1776C1-6CF9-4789-927B-B5266A8F5664}"/>
    <cellStyle name="Normal 4 3 2 2 2 3 2 4" xfId="9392" xr:uid="{CF05E2FC-2382-41FE-8A68-E06CF5EEE3E0}"/>
    <cellStyle name="Normal 4 3 2 2 2 3 2 5" xfId="17827" xr:uid="{D7AD7256-7FC0-4401-B57D-567D24406621}"/>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437CF795-B47C-4420-A6D8-C7B81056B0FE}"/>
    <cellStyle name="Normal 4 3 2 2 2 3 3 2 2 3" xfId="24602" xr:uid="{4675CA0D-3C4D-4BEA-BCE6-F2C98B15FDC9}"/>
    <cellStyle name="Normal 4 3 2 2 2 3 3 2 3" xfId="11950" xr:uid="{E726BF50-E218-4E09-9BF1-602709F8E417}"/>
    <cellStyle name="Normal 4 3 2 2 2 3 3 2 4" xfId="20385" xr:uid="{3290FEDE-49E6-46A0-9079-F7706B079E51}"/>
    <cellStyle name="Normal 4 3 2 2 2 3 3 3" xfId="5573" xr:uid="{00000000-0005-0000-0000-00003B140000}"/>
    <cellStyle name="Normal 4 3 2 2 2 3 3 3 2" xfId="14023" xr:uid="{43DB837F-4710-4FAD-8DF8-D9DB22346BDC}"/>
    <cellStyle name="Normal 4 3 2 2 2 3 3 3 3" xfId="22457" xr:uid="{B692F3D1-33A4-4B54-98A0-3C333DB94E54}"/>
    <cellStyle name="Normal 4 3 2 2 2 3 3 4" xfId="9805" xr:uid="{47E097AC-674B-4DBC-BEDD-99E491738266}"/>
    <cellStyle name="Normal 4 3 2 2 2 3 3 5" xfId="18240" xr:uid="{EAB93E2A-326B-4F3C-BBB1-7BB5482B2C19}"/>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E310A1BF-86B5-4CEA-9151-A03533E78B06}"/>
    <cellStyle name="Normal 4 3 2 2 2 3 4 2 2 3" xfId="25015" xr:uid="{FC2CA4FB-A545-4E17-9D59-93953EFE1928}"/>
    <cellStyle name="Normal 4 3 2 2 2 3 4 2 3" xfId="12363" xr:uid="{86A32F9C-CBEF-409B-9941-78F8FACF31AF}"/>
    <cellStyle name="Normal 4 3 2 2 2 3 4 2 4" xfId="20798" xr:uid="{C743938B-62AC-40F4-BFCA-B23F2FF67C59}"/>
    <cellStyle name="Normal 4 3 2 2 2 3 4 3" xfId="5986" xr:uid="{00000000-0005-0000-0000-00003F140000}"/>
    <cellStyle name="Normal 4 3 2 2 2 3 4 3 2" xfId="14436" xr:uid="{FD1EF376-3B9C-4EEF-9744-B8802BD87B20}"/>
    <cellStyle name="Normal 4 3 2 2 2 3 4 3 3" xfId="22870" xr:uid="{113006BF-1A0E-4F74-A83B-3264DB79585D}"/>
    <cellStyle name="Normal 4 3 2 2 2 3 4 4" xfId="10218" xr:uid="{F7D6CE24-5087-4780-AB41-BE1971506E95}"/>
    <cellStyle name="Normal 4 3 2 2 2 3 4 5" xfId="18653" xr:uid="{77465895-FC40-4843-BC89-A79D0D3D4EE8}"/>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6F07D030-E0E0-43E7-90C3-13BCC9E081ED}"/>
    <cellStyle name="Normal 4 3 2 2 2 3 5 2 2 3" xfId="25428" xr:uid="{DC49226D-1534-4DDB-ACB0-26A9562402A3}"/>
    <cellStyle name="Normal 4 3 2 2 2 3 5 2 3" xfId="12776" xr:uid="{93937468-CF1C-46FD-9118-EAEC9B73BCF7}"/>
    <cellStyle name="Normal 4 3 2 2 2 3 5 2 4" xfId="21211" xr:uid="{C3DA5CD2-95DE-45A8-BB83-012556C87D2B}"/>
    <cellStyle name="Normal 4 3 2 2 2 3 5 3" xfId="6399" xr:uid="{00000000-0005-0000-0000-000043140000}"/>
    <cellStyle name="Normal 4 3 2 2 2 3 5 3 2" xfId="14849" xr:uid="{2751D93A-5AB3-43A2-AF5C-1E7ED40397A5}"/>
    <cellStyle name="Normal 4 3 2 2 2 3 5 3 3" xfId="23283" xr:uid="{D9BDC7C3-586A-4AA5-A819-5B96E7FC703E}"/>
    <cellStyle name="Normal 4 3 2 2 2 3 5 4" xfId="10631" xr:uid="{69F755DE-B50F-4FA2-91C2-C37D9A9C439A}"/>
    <cellStyle name="Normal 4 3 2 2 2 3 5 5" xfId="19066" xr:uid="{D01F2C6B-15F7-4F88-AE41-4304FBC09032}"/>
    <cellStyle name="Normal 4 3 2 2 2 3 6" xfId="2529" xr:uid="{00000000-0005-0000-0000-000044140000}"/>
    <cellStyle name="Normal 4 3 2 2 2 3 6 2" xfId="6812" xr:uid="{00000000-0005-0000-0000-000045140000}"/>
    <cellStyle name="Normal 4 3 2 2 2 3 6 2 2" xfId="15262" xr:uid="{BD0753D3-33E0-4D6A-90ED-57312CF312CF}"/>
    <cellStyle name="Normal 4 3 2 2 2 3 6 2 3" xfId="23696" xr:uid="{D7C0E810-0AF6-4223-A143-657FA915F3B2}"/>
    <cellStyle name="Normal 4 3 2 2 2 3 6 3" xfId="11044" xr:uid="{4CA47E0F-5A1F-4ADE-A044-85BEABC93F51}"/>
    <cellStyle name="Normal 4 3 2 2 2 3 6 4" xfId="19479" xr:uid="{DFA27FEC-64F9-43B2-95FD-B264D9921AA9}"/>
    <cellStyle name="Normal 4 3 2 2 2 3 7" xfId="4747" xr:uid="{00000000-0005-0000-0000-000046140000}"/>
    <cellStyle name="Normal 4 3 2 2 2 3 7 2" xfId="13197" xr:uid="{AEF4BEC9-81F4-4EAD-8505-6E6654E3B728}"/>
    <cellStyle name="Normal 4 3 2 2 2 3 7 3" xfId="21631" xr:uid="{879AC453-5722-4752-948D-5B0FCCBF9F92}"/>
    <cellStyle name="Normal 4 3 2 2 2 3 8" xfId="8979" xr:uid="{33B394A9-AFDE-46D4-AA7F-72054930C745}"/>
    <cellStyle name="Normal 4 3 2 2 2 3 9" xfId="17414" xr:uid="{A47DA38B-EDE8-47A9-8110-2C64EE2D1F8F}"/>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FE2EBB70-A19B-4469-9994-E0BBC6B92F32}"/>
    <cellStyle name="Normal 4 3 2 2 2 4 2 2 3" xfId="24186" xr:uid="{B4293B60-D020-4FD3-88DB-BF65DC4869DF}"/>
    <cellStyle name="Normal 4 3 2 2 2 4 2 3" xfId="11534" xr:uid="{113B1963-33DA-400D-A60F-6FBB16F327E9}"/>
    <cellStyle name="Normal 4 3 2 2 2 4 2 4" xfId="19969" xr:uid="{D8DDFA5A-EF53-46CC-B740-16ED174A87D7}"/>
    <cellStyle name="Normal 4 3 2 2 2 4 3" xfId="5157" xr:uid="{00000000-0005-0000-0000-00004A140000}"/>
    <cellStyle name="Normal 4 3 2 2 2 4 3 2" xfId="13607" xr:uid="{4ED98BF8-28D0-481A-905D-B867128AB874}"/>
    <cellStyle name="Normal 4 3 2 2 2 4 3 3" xfId="22041" xr:uid="{92AE75C9-ACD1-466F-9678-23347AAE8B9B}"/>
    <cellStyle name="Normal 4 3 2 2 2 4 4" xfId="9389" xr:uid="{D2B03ED6-2A0F-4636-957F-2563B8660734}"/>
    <cellStyle name="Normal 4 3 2 2 2 4 5" xfId="17824" xr:uid="{C8B8A193-A002-487B-B204-0D46DBAA365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8FF32195-0B20-4CA6-B154-9B8F747E02CE}"/>
    <cellStyle name="Normal 4 3 2 2 2 5 2 2 3" xfId="24599" xr:uid="{C2A7E069-31C7-482F-987C-4D9CC4C7C3E1}"/>
    <cellStyle name="Normal 4 3 2 2 2 5 2 3" xfId="11947" xr:uid="{F76B78FA-494B-4AFB-BC77-58364A33A5DB}"/>
    <cellStyle name="Normal 4 3 2 2 2 5 2 4" xfId="20382" xr:uid="{F0B35998-29A7-44A8-8EFC-61167C73B57F}"/>
    <cellStyle name="Normal 4 3 2 2 2 5 3" xfId="5570" xr:uid="{00000000-0005-0000-0000-00004E140000}"/>
    <cellStyle name="Normal 4 3 2 2 2 5 3 2" xfId="14020" xr:uid="{AE94A8B8-BB2F-4991-A4B7-C5AC49C679E9}"/>
    <cellStyle name="Normal 4 3 2 2 2 5 3 3" xfId="22454" xr:uid="{7CC77CB8-6893-4ACA-B126-DC8A5CE329A9}"/>
    <cellStyle name="Normal 4 3 2 2 2 5 4" xfId="9802" xr:uid="{91AE25E8-62B7-4457-A23D-325EE828BB8E}"/>
    <cellStyle name="Normal 4 3 2 2 2 5 5" xfId="18237" xr:uid="{1548A779-153D-4827-964F-4F614BE5AA1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831427FB-FAD9-4F85-8E0A-59B373BC889D}"/>
    <cellStyle name="Normal 4 3 2 2 2 6 2 2 3" xfId="25012" xr:uid="{F41E2AC3-8BF7-42E1-AED5-C0380F05481D}"/>
    <cellStyle name="Normal 4 3 2 2 2 6 2 3" xfId="12360" xr:uid="{80B2646B-A182-4861-8E60-60F91AD7E885}"/>
    <cellStyle name="Normal 4 3 2 2 2 6 2 4" xfId="20795" xr:uid="{C2F93080-DD89-4B82-B51B-FAADB8677A74}"/>
    <cellStyle name="Normal 4 3 2 2 2 6 3" xfId="5983" xr:uid="{00000000-0005-0000-0000-000052140000}"/>
    <cellStyle name="Normal 4 3 2 2 2 6 3 2" xfId="14433" xr:uid="{EE8949D1-BA29-4033-8389-8932184F2985}"/>
    <cellStyle name="Normal 4 3 2 2 2 6 3 3" xfId="22867" xr:uid="{EFEC103D-E437-42D4-93D4-70C7F3A88C92}"/>
    <cellStyle name="Normal 4 3 2 2 2 6 4" xfId="10215" xr:uid="{FBEEB68A-1E30-400B-A418-E86C4FA718B2}"/>
    <cellStyle name="Normal 4 3 2 2 2 6 5" xfId="18650" xr:uid="{9A5C49E8-04A5-4747-8EF3-7A449D66A7C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B59CDDAA-8909-4BC9-A51D-A3EA2BEF19DD}"/>
    <cellStyle name="Normal 4 3 2 2 2 7 2 2 3" xfId="25425" xr:uid="{54F7CD90-654E-4C83-8607-649F0433862F}"/>
    <cellStyle name="Normal 4 3 2 2 2 7 2 3" xfId="12773" xr:uid="{DC94351C-D373-4763-A68A-BDFB01E29363}"/>
    <cellStyle name="Normal 4 3 2 2 2 7 2 4" xfId="21208" xr:uid="{30C83355-E1BF-47E8-8110-B8177678376D}"/>
    <cellStyle name="Normal 4 3 2 2 2 7 3" xfId="6396" xr:uid="{00000000-0005-0000-0000-000056140000}"/>
    <cellStyle name="Normal 4 3 2 2 2 7 3 2" xfId="14846" xr:uid="{DCBBEDB5-4D6A-4932-BA9C-7B840A572EA0}"/>
    <cellStyle name="Normal 4 3 2 2 2 7 3 3" xfId="23280" xr:uid="{BB39AF4C-915B-406C-9096-7ED6FE4FE4BF}"/>
    <cellStyle name="Normal 4 3 2 2 2 7 4" xfId="10628" xr:uid="{D46A362D-4679-4347-893D-FEFB764A58EC}"/>
    <cellStyle name="Normal 4 3 2 2 2 7 5" xfId="19063" xr:uid="{D5E1819F-ED3C-4FED-A490-BB9AD3080C7A}"/>
    <cellStyle name="Normal 4 3 2 2 2 8" xfId="2526" xr:uid="{00000000-0005-0000-0000-000057140000}"/>
    <cellStyle name="Normal 4 3 2 2 2 8 2" xfId="6809" xr:uid="{00000000-0005-0000-0000-000058140000}"/>
    <cellStyle name="Normal 4 3 2 2 2 8 2 2" xfId="15259" xr:uid="{367EDE2F-B1EA-44C3-A3D1-38D0F6B38D3D}"/>
    <cellStyle name="Normal 4 3 2 2 2 8 2 3" xfId="23693" xr:uid="{9474BA62-B990-40C1-87AE-99F14459F891}"/>
    <cellStyle name="Normal 4 3 2 2 2 8 3" xfId="11041" xr:uid="{88C22F5D-DDAF-40A5-9A11-8079CE53E004}"/>
    <cellStyle name="Normal 4 3 2 2 2 8 4" xfId="19476" xr:uid="{E83E9FF2-94DD-4DC2-B631-A4BD1C642AF7}"/>
    <cellStyle name="Normal 4 3 2 2 2 9" xfId="4744" xr:uid="{00000000-0005-0000-0000-000059140000}"/>
    <cellStyle name="Normal 4 3 2 2 2 9 2" xfId="13194" xr:uid="{1C0864D5-4A94-4F9D-94EE-9F51F240FC91}"/>
    <cellStyle name="Normal 4 3 2 2 2 9 3" xfId="21628" xr:uid="{05B11AFA-BC3B-4028-B779-17C268863B8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4A9AF7FF-F496-4977-AC72-323B51D59C7A}"/>
    <cellStyle name="Normal 4 3 3 11" xfId="17415" xr:uid="{77D80097-27A1-4AF8-A08B-3F7A4CF5999D}"/>
    <cellStyle name="Normal 4 3 3 2" xfId="375" xr:uid="{00000000-0005-0000-0000-00005E140000}"/>
    <cellStyle name="Normal 4 3 3 2 10" xfId="17416" xr:uid="{D82F63DC-2C6D-4A01-A1CE-69CBEA2B35C1}"/>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F58F29BF-38CA-4D73-90EF-511F1ADD50B7}"/>
    <cellStyle name="Normal 4 3 3 2 2 2 2 2 3" xfId="24192" xr:uid="{90FB7E08-2E84-4F4F-8FC7-1BF83D67EEF2}"/>
    <cellStyle name="Normal 4 3 3 2 2 2 2 3" xfId="11540" xr:uid="{5A281AEE-7B8B-4F6F-9B0E-D8976915C88C}"/>
    <cellStyle name="Normal 4 3 3 2 2 2 2 4" xfId="19975" xr:uid="{04C61FF2-2868-4227-8E89-CBC00B4EF380}"/>
    <cellStyle name="Normal 4 3 3 2 2 2 3" xfId="5163" xr:uid="{00000000-0005-0000-0000-000063140000}"/>
    <cellStyle name="Normal 4 3 3 2 2 2 3 2" xfId="13613" xr:uid="{1A3FB3F1-795A-4B14-99F0-5790138A9206}"/>
    <cellStyle name="Normal 4 3 3 2 2 2 3 3" xfId="22047" xr:uid="{08A923D4-980D-4C9E-90D1-2C7762A1FB70}"/>
    <cellStyle name="Normal 4 3 3 2 2 2 4" xfId="9395" xr:uid="{14DD629F-46B7-4013-BFFA-7C03EDD1E991}"/>
    <cellStyle name="Normal 4 3 3 2 2 2 5" xfId="17830" xr:uid="{1E4EBE61-24BB-45D2-9014-E1726C66925B}"/>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06BA366D-A99A-4F65-B3F2-46CC25F46743}"/>
    <cellStyle name="Normal 4 3 3 2 2 3 2 2 3" xfId="24605" xr:uid="{BAE30EF4-33EA-4DFF-B3CF-571092F2A64F}"/>
    <cellStyle name="Normal 4 3 3 2 2 3 2 3" xfId="11953" xr:uid="{399E3D89-C8A6-46CB-8833-D62AA6EA7E76}"/>
    <cellStyle name="Normal 4 3 3 2 2 3 2 4" xfId="20388" xr:uid="{3C365A9F-41FF-4F4E-9937-862F8452785C}"/>
    <cellStyle name="Normal 4 3 3 2 2 3 3" xfId="5576" xr:uid="{00000000-0005-0000-0000-000067140000}"/>
    <cellStyle name="Normal 4 3 3 2 2 3 3 2" xfId="14026" xr:uid="{43D92A8C-55B5-4B5D-80FB-F3B4B0AEE5C9}"/>
    <cellStyle name="Normal 4 3 3 2 2 3 3 3" xfId="22460" xr:uid="{1957632D-58F7-4753-972A-A7163B98A350}"/>
    <cellStyle name="Normal 4 3 3 2 2 3 4" xfId="9808" xr:uid="{7421BE6D-522D-4DB4-B4B0-4E5F3CDE09D7}"/>
    <cellStyle name="Normal 4 3 3 2 2 3 5" xfId="18243" xr:uid="{E99097B7-179A-4383-9798-0BC1147273C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9E65AC77-3F00-4740-9282-A268C71CBA5B}"/>
    <cellStyle name="Normal 4 3 3 2 2 4 2 2 3" xfId="25018" xr:uid="{FB80BD6A-151E-4546-A982-102D6DC2D79A}"/>
    <cellStyle name="Normal 4 3 3 2 2 4 2 3" xfId="12366" xr:uid="{91CE33C8-4BC6-4A08-986A-1AE13C01E5C9}"/>
    <cellStyle name="Normal 4 3 3 2 2 4 2 4" xfId="20801" xr:uid="{6269472D-FD06-4AA5-B02F-3D174F8E3E6B}"/>
    <cellStyle name="Normal 4 3 3 2 2 4 3" xfId="5989" xr:uid="{00000000-0005-0000-0000-00006B140000}"/>
    <cellStyle name="Normal 4 3 3 2 2 4 3 2" xfId="14439" xr:uid="{7C4267B2-E336-4C91-9B9C-3BA88F1E4B23}"/>
    <cellStyle name="Normal 4 3 3 2 2 4 3 3" xfId="22873" xr:uid="{25CEE133-62B2-4C30-97A5-D5EA095FF08D}"/>
    <cellStyle name="Normal 4 3 3 2 2 4 4" xfId="10221" xr:uid="{766AB518-3704-4A87-96E1-B8E378254BEA}"/>
    <cellStyle name="Normal 4 3 3 2 2 4 5" xfId="18656" xr:uid="{773B4D87-F029-42A4-964D-620845B0FD9D}"/>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3DB3AAA9-0CCD-4500-BB3D-7ABE2D3F35B5}"/>
    <cellStyle name="Normal 4 3 3 2 2 5 2 2 3" xfId="25431" xr:uid="{42AD0DE0-2994-4F1E-ACB8-23F108A12D04}"/>
    <cellStyle name="Normal 4 3 3 2 2 5 2 3" xfId="12779" xr:uid="{4BAF71DD-7C03-4F14-A8A3-DD2530158A73}"/>
    <cellStyle name="Normal 4 3 3 2 2 5 2 4" xfId="21214" xr:uid="{350D29CF-E1DC-4D26-972B-F3A0032FF890}"/>
    <cellStyle name="Normal 4 3 3 2 2 5 3" xfId="6402" xr:uid="{00000000-0005-0000-0000-00006F140000}"/>
    <cellStyle name="Normal 4 3 3 2 2 5 3 2" xfId="14852" xr:uid="{6A205C75-BB77-48B4-AA0C-4551A9C6E326}"/>
    <cellStyle name="Normal 4 3 3 2 2 5 3 3" xfId="23286" xr:uid="{4388FBCD-4B64-4E26-9C39-96064229C92C}"/>
    <cellStyle name="Normal 4 3 3 2 2 5 4" xfId="10634" xr:uid="{60EF32CC-44AC-4C08-921E-21A634373CCA}"/>
    <cellStyle name="Normal 4 3 3 2 2 5 5" xfId="19069" xr:uid="{64358021-D9B1-40CC-90B4-16C031F57D15}"/>
    <cellStyle name="Normal 4 3 3 2 2 6" xfId="2532" xr:uid="{00000000-0005-0000-0000-000070140000}"/>
    <cellStyle name="Normal 4 3 3 2 2 6 2" xfId="6815" xr:uid="{00000000-0005-0000-0000-000071140000}"/>
    <cellStyle name="Normal 4 3 3 2 2 6 2 2" xfId="15265" xr:uid="{E510CF20-3C6D-438C-9A51-F6AFFBE97B74}"/>
    <cellStyle name="Normal 4 3 3 2 2 6 2 3" xfId="23699" xr:uid="{BE3F8CC0-9CAD-4BF1-9FB4-CD796D353CEE}"/>
    <cellStyle name="Normal 4 3 3 2 2 6 3" xfId="11047" xr:uid="{2F797B72-8040-4B10-9AA0-1C31D7945B6E}"/>
    <cellStyle name="Normal 4 3 3 2 2 6 4" xfId="19482" xr:uid="{3ACAE30A-89E3-4A9A-BA05-89B266650748}"/>
    <cellStyle name="Normal 4 3 3 2 2 7" xfId="4750" xr:uid="{00000000-0005-0000-0000-000072140000}"/>
    <cellStyle name="Normal 4 3 3 2 2 7 2" xfId="13200" xr:uid="{FDEC6B1F-2DAA-46A5-8B25-8E9623B2360D}"/>
    <cellStyle name="Normal 4 3 3 2 2 7 3" xfId="21634" xr:uid="{3F1481FC-4753-4324-8F79-159405D5DB7A}"/>
    <cellStyle name="Normal 4 3 3 2 2 8" xfId="8982" xr:uid="{6F33D5C9-2707-40A9-9446-498A91F97444}"/>
    <cellStyle name="Normal 4 3 3 2 2 9" xfId="17417" xr:uid="{4982807E-7B92-4025-9E16-BFC59EE8DDA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F9205A8F-0279-4B69-A4BC-C15686758C61}"/>
    <cellStyle name="Normal 4 3 3 2 3 2 2 3" xfId="24191" xr:uid="{0F850174-9291-4E34-A682-68D0011C115E}"/>
    <cellStyle name="Normal 4 3 3 2 3 2 3" xfId="11539" xr:uid="{A7972369-CD67-40FC-A42D-3C3A305AB545}"/>
    <cellStyle name="Normal 4 3 3 2 3 2 4" xfId="19974" xr:uid="{E3BF6608-FE26-4A15-8499-2EA3F11F3AE0}"/>
    <cellStyle name="Normal 4 3 3 2 3 3" xfId="5162" xr:uid="{00000000-0005-0000-0000-000076140000}"/>
    <cellStyle name="Normal 4 3 3 2 3 3 2" xfId="13612" xr:uid="{FD5D5FF9-1DF8-43E4-9094-1E96B370BBFE}"/>
    <cellStyle name="Normal 4 3 3 2 3 3 3" xfId="22046" xr:uid="{2F87CC6F-3514-4719-AAF5-9D5362C28B97}"/>
    <cellStyle name="Normal 4 3 3 2 3 4" xfId="9394" xr:uid="{010207F5-D713-4DB4-A751-F016AFEF7B2E}"/>
    <cellStyle name="Normal 4 3 3 2 3 5" xfId="17829" xr:uid="{DC7E7D7F-6AF8-4358-83CC-9C7F11996FF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4F203993-5FFC-4A23-A8B9-C6B6503A7843}"/>
    <cellStyle name="Normal 4 3 3 2 4 2 2 3" xfId="24604" xr:uid="{134545A0-601A-4DF2-AAC0-F0EF93C0CA16}"/>
    <cellStyle name="Normal 4 3 3 2 4 2 3" xfId="11952" xr:uid="{6A4BFC71-3A51-4D3A-9A61-A61D36FE47D8}"/>
    <cellStyle name="Normal 4 3 3 2 4 2 4" xfId="20387" xr:uid="{41D8D566-4330-4E63-89B9-976BAA3E5B46}"/>
    <cellStyle name="Normal 4 3 3 2 4 3" xfId="5575" xr:uid="{00000000-0005-0000-0000-00007A140000}"/>
    <cellStyle name="Normal 4 3 3 2 4 3 2" xfId="14025" xr:uid="{E0EDFB01-3B2E-47EA-AE39-3BE6C877A397}"/>
    <cellStyle name="Normal 4 3 3 2 4 3 3" xfId="22459" xr:uid="{960D8398-6AB2-402C-B956-A3E6F3054462}"/>
    <cellStyle name="Normal 4 3 3 2 4 4" xfId="9807" xr:uid="{829C0F5D-0991-4929-9CEF-30BFA394AD63}"/>
    <cellStyle name="Normal 4 3 3 2 4 5" xfId="18242" xr:uid="{427F9FB8-4296-4622-B573-CFC61C2B89EB}"/>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6E0D1BA5-750D-4E12-BA3E-62C657091F8A}"/>
    <cellStyle name="Normal 4 3 3 2 5 2 2 3" xfId="25017" xr:uid="{5941AD9B-EF2B-4C3B-86B6-D3E897E3CB77}"/>
    <cellStyle name="Normal 4 3 3 2 5 2 3" xfId="12365" xr:uid="{D5EEDDC0-2BA8-4875-83E0-74481D3370ED}"/>
    <cellStyle name="Normal 4 3 3 2 5 2 4" xfId="20800" xr:uid="{217E6DA0-BF2B-4D50-BAE7-2C6825875D11}"/>
    <cellStyle name="Normal 4 3 3 2 5 3" xfId="5988" xr:uid="{00000000-0005-0000-0000-00007E140000}"/>
    <cellStyle name="Normal 4 3 3 2 5 3 2" xfId="14438" xr:uid="{CC7D5901-D8E9-4BF8-9472-FF585273B54A}"/>
    <cellStyle name="Normal 4 3 3 2 5 3 3" xfId="22872" xr:uid="{FF91A65B-7F38-4B08-A411-FEE4FF0508A8}"/>
    <cellStyle name="Normal 4 3 3 2 5 4" xfId="10220" xr:uid="{29CA70F0-7F61-45F7-8451-AFBCE01194CB}"/>
    <cellStyle name="Normal 4 3 3 2 5 5" xfId="18655" xr:uid="{CADD32F2-432F-4585-BA27-8FDF2979359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34BAC74A-8D04-41EF-9738-11CFD56CF3E0}"/>
    <cellStyle name="Normal 4 3 3 2 6 2 2 3" xfId="25430" xr:uid="{31FAC867-D4D5-4381-AF9E-E9996434C0E4}"/>
    <cellStyle name="Normal 4 3 3 2 6 2 3" xfId="12778" xr:uid="{9245D38E-2CD7-4B80-986E-7F4AA0918592}"/>
    <cellStyle name="Normal 4 3 3 2 6 2 4" xfId="21213" xr:uid="{959AD279-F2D0-4069-BE93-605659CB9347}"/>
    <cellStyle name="Normal 4 3 3 2 6 3" xfId="6401" xr:uid="{00000000-0005-0000-0000-000082140000}"/>
    <cellStyle name="Normal 4 3 3 2 6 3 2" xfId="14851" xr:uid="{3D4AB925-BCEB-4876-B080-CDFE815678EE}"/>
    <cellStyle name="Normal 4 3 3 2 6 3 3" xfId="23285" xr:uid="{D269D035-7E17-4C9D-AD5A-4A3743277E51}"/>
    <cellStyle name="Normal 4 3 3 2 6 4" xfId="10633" xr:uid="{B340E02B-D891-40D6-BD3F-37F1B4281777}"/>
    <cellStyle name="Normal 4 3 3 2 6 5" xfId="19068" xr:uid="{4C3183FC-D511-40B0-B82F-C50C0695A76F}"/>
    <cellStyle name="Normal 4 3 3 2 7" xfId="2531" xr:uid="{00000000-0005-0000-0000-000083140000}"/>
    <cellStyle name="Normal 4 3 3 2 7 2" xfId="6814" xr:uid="{00000000-0005-0000-0000-000084140000}"/>
    <cellStyle name="Normal 4 3 3 2 7 2 2" xfId="15264" xr:uid="{4260A6B1-45C6-4305-B35A-EFBE187128EA}"/>
    <cellStyle name="Normal 4 3 3 2 7 2 3" xfId="23698" xr:uid="{420F4981-0612-449D-9EBB-70B4221124E1}"/>
    <cellStyle name="Normal 4 3 3 2 7 3" xfId="11046" xr:uid="{6DC9706C-837B-4AD5-9503-12C5491667B9}"/>
    <cellStyle name="Normal 4 3 3 2 7 4" xfId="19481" xr:uid="{3FE756AB-F8A8-481E-A107-CDAA9D3106C1}"/>
    <cellStyle name="Normal 4 3 3 2 8" xfId="4749" xr:uid="{00000000-0005-0000-0000-000085140000}"/>
    <cellStyle name="Normal 4 3 3 2 8 2" xfId="13199" xr:uid="{7EF8D2AE-560F-41C1-BEB0-E91D98B834B7}"/>
    <cellStyle name="Normal 4 3 3 2 8 3" xfId="21633" xr:uid="{FC19F126-F578-4EAC-B447-3EFE163E7FE2}"/>
    <cellStyle name="Normal 4 3 3 2 9" xfId="8981" xr:uid="{F9C15C7F-7F66-47BB-BF41-048F7FF80C2C}"/>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0BED5BBD-27B2-4F0D-9697-FCD8647D69CE}"/>
    <cellStyle name="Normal 4 3 3 3 2 2 2 3" xfId="24193" xr:uid="{B67D71FD-0B98-49A5-8276-A43E2BA4B51A}"/>
    <cellStyle name="Normal 4 3 3 3 2 2 3" xfId="11541" xr:uid="{6072CE26-D54C-438B-9E5E-31E30D432DF3}"/>
    <cellStyle name="Normal 4 3 3 3 2 2 4" xfId="19976" xr:uid="{C4DAF018-ED6B-4E74-A60F-9FC1BDFA13D3}"/>
    <cellStyle name="Normal 4 3 3 3 2 3" xfId="5164" xr:uid="{00000000-0005-0000-0000-00008A140000}"/>
    <cellStyle name="Normal 4 3 3 3 2 3 2" xfId="13614" xr:uid="{9779409A-7C4B-48F0-B860-29EFB559F0B9}"/>
    <cellStyle name="Normal 4 3 3 3 2 3 3" xfId="22048" xr:uid="{B26879E7-3620-44D1-A3F4-33A18C903508}"/>
    <cellStyle name="Normal 4 3 3 3 2 4" xfId="9396" xr:uid="{EFDBC3D9-0ADE-4080-ACE3-C9526087F55F}"/>
    <cellStyle name="Normal 4 3 3 3 2 5" xfId="17831" xr:uid="{74A0FB01-6932-4BD1-8BCB-D8D877889DB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C6C674C-FC88-4A43-980D-A7182DA72113}"/>
    <cellStyle name="Normal 4 3 3 3 3 2 2 3" xfId="24606" xr:uid="{9FA998E5-C466-4D0E-99C1-DD108E8C5201}"/>
    <cellStyle name="Normal 4 3 3 3 3 2 3" xfId="11954" xr:uid="{2D03B28B-3474-4BAD-B0D7-65F956428370}"/>
    <cellStyle name="Normal 4 3 3 3 3 2 4" xfId="20389" xr:uid="{BEEE79DF-F4D2-4A94-BC77-AF6BB7061D8F}"/>
    <cellStyle name="Normal 4 3 3 3 3 3" xfId="5577" xr:uid="{00000000-0005-0000-0000-00008E140000}"/>
    <cellStyle name="Normal 4 3 3 3 3 3 2" xfId="14027" xr:uid="{8E945866-7FFC-4BB4-9057-04762E113436}"/>
    <cellStyle name="Normal 4 3 3 3 3 3 3" xfId="22461" xr:uid="{9A4E148A-E538-4DEE-9ABC-0D86DA83D9FB}"/>
    <cellStyle name="Normal 4 3 3 3 3 4" xfId="9809" xr:uid="{580EB8DC-F845-4F0B-84C8-2949B0E7103E}"/>
    <cellStyle name="Normal 4 3 3 3 3 5" xfId="18244" xr:uid="{1921F942-4820-477D-B952-922268585C46}"/>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9FDDB6C6-C7DB-4E49-9819-43EDC037A098}"/>
    <cellStyle name="Normal 4 3 3 3 4 2 2 3" xfId="25019" xr:uid="{FAA7FCB7-D381-49B1-B53A-F06EF6B25A0A}"/>
    <cellStyle name="Normal 4 3 3 3 4 2 3" xfId="12367" xr:uid="{4539A44E-655C-4774-8470-2FF28B219F0B}"/>
    <cellStyle name="Normal 4 3 3 3 4 2 4" xfId="20802" xr:uid="{8D5026A7-F6EE-420F-AFE9-43E3D02D5460}"/>
    <cellStyle name="Normal 4 3 3 3 4 3" xfId="5990" xr:uid="{00000000-0005-0000-0000-000092140000}"/>
    <cellStyle name="Normal 4 3 3 3 4 3 2" xfId="14440" xr:uid="{7FF9EFDC-3971-4E0B-9DF6-CD21A3597E59}"/>
    <cellStyle name="Normal 4 3 3 3 4 3 3" xfId="22874" xr:uid="{5C007EED-93D2-47E9-BCB5-9D3E3BD1F7D9}"/>
    <cellStyle name="Normal 4 3 3 3 4 4" xfId="10222" xr:uid="{8AAECDF5-B066-4464-A5B3-C5A4F3418F3D}"/>
    <cellStyle name="Normal 4 3 3 3 4 5" xfId="18657" xr:uid="{2D6344B8-6C35-4F0B-9614-7B171357025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E7F4C2D0-3AAB-40B4-9FA1-75D32C6C0AB8}"/>
    <cellStyle name="Normal 4 3 3 3 5 2 2 3" xfId="25432" xr:uid="{F317AF17-5367-4CBD-8756-337F7E6F2A1F}"/>
    <cellStyle name="Normal 4 3 3 3 5 2 3" xfId="12780" xr:uid="{99286398-5E6B-4972-9C1D-26A05A5FC0DB}"/>
    <cellStyle name="Normal 4 3 3 3 5 2 4" xfId="21215" xr:uid="{14B06F21-09C3-434C-9C9E-0B80FD86753F}"/>
    <cellStyle name="Normal 4 3 3 3 5 3" xfId="6403" xr:uid="{00000000-0005-0000-0000-000096140000}"/>
    <cellStyle name="Normal 4 3 3 3 5 3 2" xfId="14853" xr:uid="{7E983259-D756-4B2A-A5B8-79CAC661CCB6}"/>
    <cellStyle name="Normal 4 3 3 3 5 3 3" xfId="23287" xr:uid="{B8C29147-1723-41CF-AE37-B87BEE89F34C}"/>
    <cellStyle name="Normal 4 3 3 3 5 4" xfId="10635" xr:uid="{75CC25A2-3013-40CD-BCDF-FE2487F3DAEC}"/>
    <cellStyle name="Normal 4 3 3 3 5 5" xfId="19070" xr:uid="{3365DAC0-9AB8-4CDE-A1F4-A6D2793D5588}"/>
    <cellStyle name="Normal 4 3 3 3 6" xfId="2533" xr:uid="{00000000-0005-0000-0000-000097140000}"/>
    <cellStyle name="Normal 4 3 3 3 6 2" xfId="6816" xr:uid="{00000000-0005-0000-0000-000098140000}"/>
    <cellStyle name="Normal 4 3 3 3 6 2 2" xfId="15266" xr:uid="{D8AA50D3-5523-4988-9792-D88618A70665}"/>
    <cellStyle name="Normal 4 3 3 3 6 2 3" xfId="23700" xr:uid="{22073D58-FDFB-48F5-86A4-B05D1A3ACF0E}"/>
    <cellStyle name="Normal 4 3 3 3 6 3" xfId="11048" xr:uid="{8AC49C80-1DB9-4D8B-B968-90490C720494}"/>
    <cellStyle name="Normal 4 3 3 3 6 4" xfId="19483" xr:uid="{11D7E4A3-8BF1-4A53-AD06-CB619F25F5ED}"/>
    <cellStyle name="Normal 4 3 3 3 7" xfId="4751" xr:uid="{00000000-0005-0000-0000-000099140000}"/>
    <cellStyle name="Normal 4 3 3 3 7 2" xfId="13201" xr:uid="{54D38EDF-2564-4CDF-A1D7-21A52E29682A}"/>
    <cellStyle name="Normal 4 3 3 3 7 3" xfId="21635" xr:uid="{F22E713F-AEAF-4B9A-86D4-D41E07C170A0}"/>
    <cellStyle name="Normal 4 3 3 3 8" xfId="8983" xr:uid="{5EFA6FD9-8555-4094-A427-39DC12DAA492}"/>
    <cellStyle name="Normal 4 3 3 3 9" xfId="17418" xr:uid="{519721CD-0EE5-4CDA-866B-5ECC547C3436}"/>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AA358CCF-F09D-4476-8DE1-DD3806CFCE82}"/>
    <cellStyle name="Normal 4 3 3 4 2 2 3" xfId="24190" xr:uid="{C0FE2413-E7B6-4230-9FE8-5A577554DC1B}"/>
    <cellStyle name="Normal 4 3 3 4 2 3" xfId="11538" xr:uid="{93FB58D8-D384-4370-903A-EDE562063D6B}"/>
    <cellStyle name="Normal 4 3 3 4 2 4" xfId="19973" xr:uid="{F0D02684-1165-4D4B-8E65-B1C0DD0CD7A4}"/>
    <cellStyle name="Normal 4 3 3 4 3" xfId="5161" xr:uid="{00000000-0005-0000-0000-00009D140000}"/>
    <cellStyle name="Normal 4 3 3 4 3 2" xfId="13611" xr:uid="{8423DB8E-C3B4-4130-9D51-8FE4868ED183}"/>
    <cellStyle name="Normal 4 3 3 4 3 3" xfId="22045" xr:uid="{2980A82B-33F6-4564-88EA-ADA411AF06B9}"/>
    <cellStyle name="Normal 4 3 3 4 4" xfId="9393" xr:uid="{51CE9121-C00A-4FB4-82D5-AC029792D3EE}"/>
    <cellStyle name="Normal 4 3 3 4 5" xfId="17828" xr:uid="{E75184B5-F383-408D-B173-A399D5DA170A}"/>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4AFE4A55-297A-49B0-8F9E-E2130998BB69}"/>
    <cellStyle name="Normal 4 3 3 5 2 2 3" xfId="24603" xr:uid="{80D5B449-0704-4D6E-8F42-5E3575196F91}"/>
    <cellStyle name="Normal 4 3 3 5 2 3" xfId="11951" xr:uid="{100A6A75-FFB5-4424-AD55-6DC382CEC1B7}"/>
    <cellStyle name="Normal 4 3 3 5 2 4" xfId="20386" xr:uid="{B3DD0FC2-A9D7-45D1-B3AF-5019A5BC993B}"/>
    <cellStyle name="Normal 4 3 3 5 3" xfId="5574" xr:uid="{00000000-0005-0000-0000-0000A1140000}"/>
    <cellStyle name="Normal 4 3 3 5 3 2" xfId="14024" xr:uid="{C027FA84-6A89-4C3C-993B-6269838EED86}"/>
    <cellStyle name="Normal 4 3 3 5 3 3" xfId="22458" xr:uid="{76D8109C-0C99-4C5C-B8CF-73F1AD96951E}"/>
    <cellStyle name="Normal 4 3 3 5 4" xfId="9806" xr:uid="{2BAAB124-E564-41C9-A0D0-D403D5BA4504}"/>
    <cellStyle name="Normal 4 3 3 5 5" xfId="18241" xr:uid="{DE03BE2B-1ABE-43A2-AAC9-7A128ADADC28}"/>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DFC84EAE-327D-462D-AA73-30A12238128D}"/>
    <cellStyle name="Normal 4 3 3 6 2 2 3" xfId="25016" xr:uid="{C7371494-5F1B-4848-BB30-9C09A122DF86}"/>
    <cellStyle name="Normal 4 3 3 6 2 3" xfId="12364" xr:uid="{F3927C5E-7326-4B90-8A4D-F9A591C05199}"/>
    <cellStyle name="Normal 4 3 3 6 2 4" xfId="20799" xr:uid="{AAB501AA-ADFC-4A99-A875-67FF7A56CEE6}"/>
    <cellStyle name="Normal 4 3 3 6 3" xfId="5987" xr:uid="{00000000-0005-0000-0000-0000A5140000}"/>
    <cellStyle name="Normal 4 3 3 6 3 2" xfId="14437" xr:uid="{1CB8A335-FA6F-4AFB-ABB5-62E997BCFE01}"/>
    <cellStyle name="Normal 4 3 3 6 3 3" xfId="22871" xr:uid="{CD4B3B96-670F-4DF3-8CA8-EF05413B7E23}"/>
    <cellStyle name="Normal 4 3 3 6 4" xfId="10219" xr:uid="{6B4B21BF-6724-45F7-842E-975AD11B4F69}"/>
    <cellStyle name="Normal 4 3 3 6 5" xfId="18654" xr:uid="{DFFE7CE1-CB20-487F-8BB2-D74434A0440C}"/>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40A2BC88-AD20-4D77-B216-CA3950DCAF91}"/>
    <cellStyle name="Normal 4 3 3 7 2 2 3" xfId="25429" xr:uid="{3FE8F83E-8858-4684-BE5A-07BEF9B65628}"/>
    <cellStyle name="Normal 4 3 3 7 2 3" xfId="12777" xr:uid="{1047D08F-0CC9-4655-A63C-1C46469EA2F6}"/>
    <cellStyle name="Normal 4 3 3 7 2 4" xfId="21212" xr:uid="{51ED8CFB-885D-4DEE-AC23-062DCF51C0C3}"/>
    <cellStyle name="Normal 4 3 3 7 3" xfId="6400" xr:uid="{00000000-0005-0000-0000-0000A9140000}"/>
    <cellStyle name="Normal 4 3 3 7 3 2" xfId="14850" xr:uid="{92006685-485C-44B7-BEA1-EAA3C10C09BB}"/>
    <cellStyle name="Normal 4 3 3 7 3 3" xfId="23284" xr:uid="{6EFC6304-AADC-4E93-89F5-20EA13ACE6CD}"/>
    <cellStyle name="Normal 4 3 3 7 4" xfId="10632" xr:uid="{BDBB4987-C789-43A4-BC86-E7114630FDEB}"/>
    <cellStyle name="Normal 4 3 3 7 5" xfId="19067" xr:uid="{04C4E023-2E60-4384-88F8-449D5BCAE298}"/>
    <cellStyle name="Normal 4 3 3 8" xfId="2530" xr:uid="{00000000-0005-0000-0000-0000AA140000}"/>
    <cellStyle name="Normal 4 3 3 8 2" xfId="6813" xr:uid="{00000000-0005-0000-0000-0000AB140000}"/>
    <cellStyle name="Normal 4 3 3 8 2 2" xfId="15263" xr:uid="{316FCA42-455B-4629-90A2-50E0FA657A44}"/>
    <cellStyle name="Normal 4 3 3 8 2 3" xfId="23697" xr:uid="{FE1EF695-2DB5-4EBD-BB85-64FD34400CA8}"/>
    <cellStyle name="Normal 4 3 3 8 3" xfId="11045" xr:uid="{8EB79448-B483-4D71-A905-1CA02E5547E7}"/>
    <cellStyle name="Normal 4 3 3 8 4" xfId="19480" xr:uid="{5E1862F9-491A-4F0F-81ED-5C776F3F11F2}"/>
    <cellStyle name="Normal 4 3 3 9" xfId="4748" xr:uid="{00000000-0005-0000-0000-0000AC140000}"/>
    <cellStyle name="Normal 4 3 3 9 2" xfId="13198" xr:uid="{FD180551-BEF1-4DC2-B849-BA484196328E}"/>
    <cellStyle name="Normal 4 3 3 9 3" xfId="21632" xr:uid="{16FA6770-1853-4138-9FE8-E8A8C3AAF45B}"/>
    <cellStyle name="Normal 4 3 4" xfId="842" xr:uid="{00000000-0005-0000-0000-0000AD140000}"/>
    <cellStyle name="Normal 4 3 4 2" xfId="3079" xr:uid="{00000000-0005-0000-0000-0000AE140000}"/>
    <cellStyle name="Normal 4 3 4 2 2" xfId="7301" xr:uid="{00000000-0005-0000-0000-0000AF140000}"/>
    <cellStyle name="Normal 4 3 4 2 2 2" xfId="15751" xr:uid="{BAF12219-240F-44A7-A408-3A882E8DD015}"/>
    <cellStyle name="Normal 4 3 4 2 2 3" xfId="24185" xr:uid="{329E4627-B4E3-4C20-AFC5-AC06A9162794}"/>
    <cellStyle name="Normal 4 3 4 2 3" xfId="11533" xr:uid="{FB147030-2E55-458C-AC4F-3247B29DAE0F}"/>
    <cellStyle name="Normal 4 3 4 2 4" xfId="19968" xr:uid="{9B786F1C-47DA-4C1D-8BA7-7D46A198D484}"/>
    <cellStyle name="Normal 4 3 4 3" xfId="5156" xr:uid="{00000000-0005-0000-0000-0000B0140000}"/>
    <cellStyle name="Normal 4 3 4 3 2" xfId="13606" xr:uid="{B53B7E7C-D197-4521-B299-8449E3BAA94D}"/>
    <cellStyle name="Normal 4 3 4 3 3" xfId="22040" xr:uid="{BA3205D1-E335-4902-8275-16DA1A5E41DB}"/>
    <cellStyle name="Normal 4 3 4 4" xfId="9388" xr:uid="{69392915-B9BC-469F-AFE4-52578CED356A}"/>
    <cellStyle name="Normal 4 3 4 5" xfId="17823" xr:uid="{82261321-0E56-4046-8839-0A082B2E3054}"/>
    <cellStyle name="Normal 4 3 5" xfId="1262" xr:uid="{00000000-0005-0000-0000-0000B1140000}"/>
    <cellStyle name="Normal 4 3 5 2" xfId="3492" xr:uid="{00000000-0005-0000-0000-0000B2140000}"/>
    <cellStyle name="Normal 4 3 5 2 2" xfId="7714" xr:uid="{00000000-0005-0000-0000-0000B3140000}"/>
    <cellStyle name="Normal 4 3 5 2 2 2" xfId="16164" xr:uid="{B3856EF8-4179-42D1-916A-4C424317C678}"/>
    <cellStyle name="Normal 4 3 5 2 2 3" xfId="24598" xr:uid="{87300AD4-69C3-47BF-BF08-49802834C2F8}"/>
    <cellStyle name="Normal 4 3 5 2 3" xfId="11946" xr:uid="{AE5D4460-701B-45F4-9B19-8CB12C4B5EEC}"/>
    <cellStyle name="Normal 4 3 5 2 4" xfId="20381" xr:uid="{AED8F713-890A-45A8-86AE-1AD7AD2FD0A7}"/>
    <cellStyle name="Normal 4 3 5 3" xfId="5569" xr:uid="{00000000-0005-0000-0000-0000B4140000}"/>
    <cellStyle name="Normal 4 3 5 3 2" xfId="14019" xr:uid="{4C448D74-C67C-4CCC-935F-6C102760D14C}"/>
    <cellStyle name="Normal 4 3 5 3 3" xfId="22453" xr:uid="{1D0890B4-7434-4AC0-8123-1220647140FA}"/>
    <cellStyle name="Normal 4 3 5 4" xfId="9801" xr:uid="{D7F34ABE-972E-4C01-B646-7802CF1C4C3A}"/>
    <cellStyle name="Normal 4 3 5 5" xfId="18236" xr:uid="{BF1348AD-9CC9-49A7-9178-CEEF180C462B}"/>
    <cellStyle name="Normal 4 3 6" xfId="1675" xr:uid="{00000000-0005-0000-0000-0000B5140000}"/>
    <cellStyle name="Normal 4 3 6 2" xfId="3905" xr:uid="{00000000-0005-0000-0000-0000B6140000}"/>
    <cellStyle name="Normal 4 3 6 2 2" xfId="8127" xr:uid="{00000000-0005-0000-0000-0000B7140000}"/>
    <cellStyle name="Normal 4 3 6 2 2 2" xfId="16577" xr:uid="{C9DE90C9-A327-4D0C-A3C6-B6DFFBA1FF87}"/>
    <cellStyle name="Normal 4 3 6 2 2 3" xfId="25011" xr:uid="{F0F1E841-41BC-4249-BA25-D160EA4BF856}"/>
    <cellStyle name="Normal 4 3 6 2 3" xfId="12359" xr:uid="{7D571191-4D7D-42C3-A491-AA5DFCEA8E2D}"/>
    <cellStyle name="Normal 4 3 6 2 4" xfId="20794" xr:uid="{FA1134EC-A5C9-4E35-A96B-C1D0C2BD6E88}"/>
    <cellStyle name="Normal 4 3 6 3" xfId="5982" xr:uid="{00000000-0005-0000-0000-0000B8140000}"/>
    <cellStyle name="Normal 4 3 6 3 2" xfId="14432" xr:uid="{1909BB7F-E145-41F5-9CD2-05436F6F9C65}"/>
    <cellStyle name="Normal 4 3 6 3 3" xfId="22866" xr:uid="{69B31718-B4D0-4279-A97E-A82136A0FC97}"/>
    <cellStyle name="Normal 4 3 6 4" xfId="10214" xr:uid="{CA155267-052D-4ECA-8C97-9C023E3C8337}"/>
    <cellStyle name="Normal 4 3 6 5" xfId="18649" xr:uid="{0218DAAD-ACB5-46A8-B420-A8B0F86BFA2E}"/>
    <cellStyle name="Normal 4 3 7" xfId="2089" xr:uid="{00000000-0005-0000-0000-0000B9140000}"/>
    <cellStyle name="Normal 4 3 7 2" xfId="4318" xr:uid="{00000000-0005-0000-0000-0000BA140000}"/>
    <cellStyle name="Normal 4 3 7 2 2" xfId="8540" xr:uid="{00000000-0005-0000-0000-0000BB140000}"/>
    <cellStyle name="Normal 4 3 7 2 2 2" xfId="16990" xr:uid="{BF3D3D79-B1B4-43C4-90E1-FBF1AE68AC42}"/>
    <cellStyle name="Normal 4 3 7 2 2 3" xfId="25424" xr:uid="{837C4620-D237-4452-A913-5066D2B52819}"/>
    <cellStyle name="Normal 4 3 7 2 3" xfId="12772" xr:uid="{70CA49BD-C3AC-48C2-AD0A-1421F9075A88}"/>
    <cellStyle name="Normal 4 3 7 2 4" xfId="21207" xr:uid="{61463A2F-C024-4B37-AB9B-117BF5E04809}"/>
    <cellStyle name="Normal 4 3 7 3" xfId="6395" xr:uid="{00000000-0005-0000-0000-0000BC140000}"/>
    <cellStyle name="Normal 4 3 7 3 2" xfId="14845" xr:uid="{3B9CBA05-88A6-4B1C-9DDD-296AAB827303}"/>
    <cellStyle name="Normal 4 3 7 3 3" xfId="23279" xr:uid="{861EA895-B679-45EC-95C5-E2569CCF062A}"/>
    <cellStyle name="Normal 4 3 7 4" xfId="10627" xr:uid="{7F7F2F57-F2CA-40B9-87E1-8D0F58207D6D}"/>
    <cellStyle name="Normal 4 3 7 5" xfId="19062" xr:uid="{E1C1EC3C-68BD-4C0B-AC43-529F3B8B2950}"/>
    <cellStyle name="Normal 4 3 8" xfId="2525" xr:uid="{00000000-0005-0000-0000-0000BD140000}"/>
    <cellStyle name="Normal 4 3 8 2" xfId="6808" xr:uid="{00000000-0005-0000-0000-0000BE140000}"/>
    <cellStyle name="Normal 4 3 8 2 2" xfId="15258" xr:uid="{E3F92B68-1B8E-4F3B-ABE7-1B32C1088A19}"/>
    <cellStyle name="Normal 4 3 8 2 3" xfId="23692" xr:uid="{232F8005-EAF1-4A14-9034-A49DC35BD262}"/>
    <cellStyle name="Normal 4 3 8 3" xfId="11040" xr:uid="{606FC9E0-E425-4310-A74E-7157FFB6511C}"/>
    <cellStyle name="Normal 4 3 8 4" xfId="19475" xr:uid="{70D657E2-2A13-4F1A-A308-97566532262E}"/>
    <cellStyle name="Normal 4 3 9" xfId="4743" xr:uid="{00000000-0005-0000-0000-0000BF140000}"/>
    <cellStyle name="Normal 4 3 9 2" xfId="13193" xr:uid="{EFFCD5BF-EE17-4770-97D1-2F5AE3B8B989}"/>
    <cellStyle name="Normal 4 3 9 3" xfId="21627" xr:uid="{1FEEF89E-5297-4485-B1FC-0B83C256C878}"/>
    <cellStyle name="Normal 4 4" xfId="378" xr:uid="{00000000-0005-0000-0000-0000C0140000}"/>
    <cellStyle name="Normal 4 4 10" xfId="2534" xr:uid="{00000000-0005-0000-0000-0000C1140000}"/>
    <cellStyle name="Normal 4 4 10 2" xfId="6817" xr:uid="{00000000-0005-0000-0000-0000C2140000}"/>
    <cellStyle name="Normal 4 4 10 2 2" xfId="15267" xr:uid="{09B006E2-E36B-4E2A-8914-01ED96321D0B}"/>
    <cellStyle name="Normal 4 4 10 2 3" xfId="23701" xr:uid="{D894634E-AB8C-40AE-867A-62305474438C}"/>
    <cellStyle name="Normal 4 4 10 3" xfId="11049" xr:uid="{A7D7026C-47B7-41C1-9148-D3ED00585FC2}"/>
    <cellStyle name="Normal 4 4 10 4" xfId="19484" xr:uid="{0AB9E42C-E9A6-4CFD-8143-E03998FD4BDE}"/>
    <cellStyle name="Normal 4 4 11" xfId="4752" xr:uid="{00000000-0005-0000-0000-0000C3140000}"/>
    <cellStyle name="Normal 4 4 11 2" xfId="13202" xr:uid="{9B159B74-90ED-437E-A9D9-836B66E13DD9}"/>
    <cellStyle name="Normal 4 4 11 3" xfId="21636" xr:uid="{16B81A72-D8AE-4449-A880-7A9C5DFE0E5E}"/>
    <cellStyle name="Normal 4 4 12" xfId="8984" xr:uid="{CB10A146-BA13-4D87-9ACE-19ACE5FD4AAA}"/>
    <cellStyle name="Normal 4 4 13" xfId="17419" xr:uid="{5DB47A88-F7E3-48C1-8B08-938861460C85}"/>
    <cellStyle name="Normal 4 4 2" xfId="379" xr:uid="{00000000-0005-0000-0000-0000C4140000}"/>
    <cellStyle name="Normal 4 4 2 10" xfId="4753" xr:uid="{00000000-0005-0000-0000-0000C5140000}"/>
    <cellStyle name="Normal 4 4 2 10 2" xfId="13203" xr:uid="{D63A5A47-0B3A-4AE5-ABFF-C1FF410B58FE}"/>
    <cellStyle name="Normal 4 4 2 10 3" xfId="21637" xr:uid="{79212620-C448-4209-A8F5-BD723D747F75}"/>
    <cellStyle name="Normal 4 4 2 11" xfId="8985" xr:uid="{13A87F75-8D32-4BDA-8C52-44E32DF1B5CC}"/>
    <cellStyle name="Normal 4 4 2 12" xfId="17420" xr:uid="{F6A4A75C-8713-471F-BB49-B3AF219715B9}"/>
    <cellStyle name="Normal 4 4 2 2" xfId="380" xr:uid="{00000000-0005-0000-0000-0000C6140000}"/>
    <cellStyle name="Normal 4 4 2 2 10" xfId="8986" xr:uid="{AA206E2C-BC48-48E3-BA67-27384B2ADE56}"/>
    <cellStyle name="Normal 4 4 2 2 11" xfId="17421" xr:uid="{CA322F1E-A23D-401E-B6E6-E85096B83757}"/>
    <cellStyle name="Normal 4 4 2 2 2" xfId="381" xr:uid="{00000000-0005-0000-0000-0000C7140000}"/>
    <cellStyle name="Normal 4 4 2 2 2 10" xfId="17422" xr:uid="{C8025791-01E3-42BA-836E-3363D4931F3C}"/>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53BD2516-CAC9-439B-A226-7F11560D5108}"/>
    <cellStyle name="Normal 4 4 2 2 2 2 2 2 2 3" xfId="24198" xr:uid="{FF47D536-1DCD-4BA2-8DAA-EB0CCEC50AF0}"/>
    <cellStyle name="Normal 4 4 2 2 2 2 2 2 3" xfId="11546" xr:uid="{EF6BD980-418C-4EF0-8B53-32D1A452234F}"/>
    <cellStyle name="Normal 4 4 2 2 2 2 2 2 4" xfId="19981" xr:uid="{7418663C-AE59-42BA-A279-D998620D9513}"/>
    <cellStyle name="Normal 4 4 2 2 2 2 2 3" xfId="5169" xr:uid="{00000000-0005-0000-0000-0000CC140000}"/>
    <cellStyle name="Normal 4 4 2 2 2 2 2 3 2" xfId="13619" xr:uid="{FD598504-2241-43B1-B9A9-2234185EC5A4}"/>
    <cellStyle name="Normal 4 4 2 2 2 2 2 3 3" xfId="22053" xr:uid="{870CC903-2A0E-4FEB-BE21-7171C4EE2278}"/>
    <cellStyle name="Normal 4 4 2 2 2 2 2 4" xfId="9401" xr:uid="{E0CCFD96-2F16-45C0-8D75-686EB1959E76}"/>
    <cellStyle name="Normal 4 4 2 2 2 2 2 5" xfId="17836" xr:uid="{45B89161-EAD1-4CAB-93C0-B2E0121BBCB7}"/>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7E324AD-71C3-42E3-A04F-0EC73BBBCBA6}"/>
    <cellStyle name="Normal 4 4 2 2 2 2 3 2 2 3" xfId="24611" xr:uid="{53274ECB-3472-4559-8EA3-11A20FB96DDB}"/>
    <cellStyle name="Normal 4 4 2 2 2 2 3 2 3" xfId="11959" xr:uid="{FA24DA7D-0C22-4B58-B559-8AE4FCAEC5ED}"/>
    <cellStyle name="Normal 4 4 2 2 2 2 3 2 4" xfId="20394" xr:uid="{A23E041B-D5E5-410A-BE1C-3FB23DB09A93}"/>
    <cellStyle name="Normal 4 4 2 2 2 2 3 3" xfId="5582" xr:uid="{00000000-0005-0000-0000-0000D0140000}"/>
    <cellStyle name="Normal 4 4 2 2 2 2 3 3 2" xfId="14032" xr:uid="{0717D529-E68E-4306-AC10-8795B7334131}"/>
    <cellStyle name="Normal 4 4 2 2 2 2 3 3 3" xfId="22466" xr:uid="{52CFDC11-B01A-4CCE-8E97-6972EEDDCA6F}"/>
    <cellStyle name="Normal 4 4 2 2 2 2 3 4" xfId="9814" xr:uid="{485F5ABD-93F8-43E8-AF60-397C172BF9A7}"/>
    <cellStyle name="Normal 4 4 2 2 2 2 3 5" xfId="18249" xr:uid="{5066B117-25FC-412A-A809-8E4DE27AC1D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231042E8-9FD4-41B0-99DF-2E1D7F215C5D}"/>
    <cellStyle name="Normal 4 4 2 2 2 2 4 2 2 3" xfId="25024" xr:uid="{66D9EB48-76BA-4EC2-BA7D-FFC5B6BAF41D}"/>
    <cellStyle name="Normal 4 4 2 2 2 2 4 2 3" xfId="12372" xr:uid="{519910DF-C397-447A-B3D3-AE62DE8367D4}"/>
    <cellStyle name="Normal 4 4 2 2 2 2 4 2 4" xfId="20807" xr:uid="{6A90421A-7042-4345-981F-E209864EFA7D}"/>
    <cellStyle name="Normal 4 4 2 2 2 2 4 3" xfId="5995" xr:uid="{00000000-0005-0000-0000-0000D4140000}"/>
    <cellStyle name="Normal 4 4 2 2 2 2 4 3 2" xfId="14445" xr:uid="{F0E919DD-75A4-493B-8DAA-ACFA0B875F0E}"/>
    <cellStyle name="Normal 4 4 2 2 2 2 4 3 3" xfId="22879" xr:uid="{AB10E24D-ECF6-4A38-8DC6-92FE4386B6E6}"/>
    <cellStyle name="Normal 4 4 2 2 2 2 4 4" xfId="10227" xr:uid="{932AC0F7-C03B-4F6F-9574-7544CAC49C11}"/>
    <cellStyle name="Normal 4 4 2 2 2 2 4 5" xfId="18662" xr:uid="{D162D487-1683-4990-B72E-FC964E5EA91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75A33102-3560-4747-A3B2-91F2E00B6D0C}"/>
    <cellStyle name="Normal 4 4 2 2 2 2 5 2 2 3" xfId="25437" xr:uid="{E9D89467-5E2F-4836-9A8B-FB3946A38F49}"/>
    <cellStyle name="Normal 4 4 2 2 2 2 5 2 3" xfId="12785" xr:uid="{849FE6E0-952E-4B09-811B-665E3B020656}"/>
    <cellStyle name="Normal 4 4 2 2 2 2 5 2 4" xfId="21220" xr:uid="{CCAAD88E-0616-4CF5-A1A4-02C02DE32BF8}"/>
    <cellStyle name="Normal 4 4 2 2 2 2 5 3" xfId="6408" xr:uid="{00000000-0005-0000-0000-0000D8140000}"/>
    <cellStyle name="Normal 4 4 2 2 2 2 5 3 2" xfId="14858" xr:uid="{737865B5-0564-4328-A759-9BD2352CE92C}"/>
    <cellStyle name="Normal 4 4 2 2 2 2 5 3 3" xfId="23292" xr:uid="{6F1959EB-D03E-466D-88AB-DA2700C99CA5}"/>
    <cellStyle name="Normal 4 4 2 2 2 2 5 4" xfId="10640" xr:uid="{2FCAF99C-8908-4470-B3F8-FB553E5C7664}"/>
    <cellStyle name="Normal 4 4 2 2 2 2 5 5" xfId="19075" xr:uid="{1F841157-1958-4C7B-A846-757D0DD67D18}"/>
    <cellStyle name="Normal 4 4 2 2 2 2 6" xfId="2538" xr:uid="{00000000-0005-0000-0000-0000D9140000}"/>
    <cellStyle name="Normal 4 4 2 2 2 2 6 2" xfId="6821" xr:uid="{00000000-0005-0000-0000-0000DA140000}"/>
    <cellStyle name="Normal 4 4 2 2 2 2 6 2 2" xfId="15271" xr:uid="{E3EA7882-1EA5-4540-ABA3-74808CEF21BA}"/>
    <cellStyle name="Normal 4 4 2 2 2 2 6 2 3" xfId="23705" xr:uid="{8B9B8C98-DF89-48CE-A66F-1D922943A4C9}"/>
    <cellStyle name="Normal 4 4 2 2 2 2 6 3" xfId="11053" xr:uid="{C717097D-0647-4E76-9589-85BFA2E589DB}"/>
    <cellStyle name="Normal 4 4 2 2 2 2 6 4" xfId="19488" xr:uid="{B59C494A-FDB3-42C8-9C80-B8925E6CB27E}"/>
    <cellStyle name="Normal 4 4 2 2 2 2 7" xfId="4756" xr:uid="{00000000-0005-0000-0000-0000DB140000}"/>
    <cellStyle name="Normal 4 4 2 2 2 2 7 2" xfId="13206" xr:uid="{6401FEE1-9BE0-48E8-9478-0CE8711DD332}"/>
    <cellStyle name="Normal 4 4 2 2 2 2 7 3" xfId="21640" xr:uid="{C6CEC553-23EB-43AD-A2D2-40B6E1987B93}"/>
    <cellStyle name="Normal 4 4 2 2 2 2 8" xfId="8988" xr:uid="{1D7F30D8-E864-4A32-9DD0-7BEA9C1807ED}"/>
    <cellStyle name="Normal 4 4 2 2 2 2 9" xfId="17423" xr:uid="{0B3DBAF9-7A55-4131-8292-7A4AE9CE320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D77F77DD-731E-4911-A40B-2F79CB7DDA59}"/>
    <cellStyle name="Normal 4 4 2 2 2 3 2 2 3" xfId="24197" xr:uid="{D54C2988-6606-424D-AF0E-147D01B8F1C2}"/>
    <cellStyle name="Normal 4 4 2 2 2 3 2 3" xfId="11545" xr:uid="{1B919154-93CE-438A-B5B6-0DAA983F4BAB}"/>
    <cellStyle name="Normal 4 4 2 2 2 3 2 4" xfId="19980" xr:uid="{C15169D1-6A32-40E7-A9A3-3DE419457646}"/>
    <cellStyle name="Normal 4 4 2 2 2 3 3" xfId="5168" xr:uid="{00000000-0005-0000-0000-0000DF140000}"/>
    <cellStyle name="Normal 4 4 2 2 2 3 3 2" xfId="13618" xr:uid="{32AE1883-89F7-4F41-8358-28EF262DD031}"/>
    <cellStyle name="Normal 4 4 2 2 2 3 3 3" xfId="22052" xr:uid="{DEFDCF03-B3EF-4DE4-A012-2C5BFF59DB3E}"/>
    <cellStyle name="Normal 4 4 2 2 2 3 4" xfId="9400" xr:uid="{ACE7F813-01DC-4565-8706-BE055D05B132}"/>
    <cellStyle name="Normal 4 4 2 2 2 3 5" xfId="17835" xr:uid="{CB56542C-40AB-436C-8DE2-FC3CBF44E292}"/>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B178FCE3-D4D4-4F26-B25D-72DD34B80028}"/>
    <cellStyle name="Normal 4 4 2 2 2 4 2 2 3" xfId="24610" xr:uid="{AEA107CB-B7FE-486B-8FCE-7E84257724EB}"/>
    <cellStyle name="Normal 4 4 2 2 2 4 2 3" xfId="11958" xr:uid="{6726A005-CD3E-4770-B83D-A34269C9BD77}"/>
    <cellStyle name="Normal 4 4 2 2 2 4 2 4" xfId="20393" xr:uid="{C7DD296C-2173-4E1A-BC21-C84BA18C3E3A}"/>
    <cellStyle name="Normal 4 4 2 2 2 4 3" xfId="5581" xr:uid="{00000000-0005-0000-0000-0000E3140000}"/>
    <cellStyle name="Normal 4 4 2 2 2 4 3 2" xfId="14031" xr:uid="{08E794DE-64BC-4286-B34C-E3F8300D4071}"/>
    <cellStyle name="Normal 4 4 2 2 2 4 3 3" xfId="22465" xr:uid="{9083E91A-9D8A-44C2-914A-21C7AD9AD825}"/>
    <cellStyle name="Normal 4 4 2 2 2 4 4" xfId="9813" xr:uid="{2984B112-04F7-4862-9246-0455C6B783E9}"/>
    <cellStyle name="Normal 4 4 2 2 2 4 5" xfId="18248" xr:uid="{20F3D347-4A17-4E7F-9639-730C0C0505F9}"/>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8318E1B4-DF0C-40F0-AB5F-6A6333A2CCA4}"/>
    <cellStyle name="Normal 4 4 2 2 2 5 2 2 3" xfId="25023" xr:uid="{CBC0B6F0-004E-4FDF-B6FA-C0D330F80FF1}"/>
    <cellStyle name="Normal 4 4 2 2 2 5 2 3" xfId="12371" xr:uid="{201A7E9A-2097-4B63-A8DF-D396A850898B}"/>
    <cellStyle name="Normal 4 4 2 2 2 5 2 4" xfId="20806" xr:uid="{20F86D1E-9627-41B5-ADB9-AE2B5F0BAA97}"/>
    <cellStyle name="Normal 4 4 2 2 2 5 3" xfId="5994" xr:uid="{00000000-0005-0000-0000-0000E7140000}"/>
    <cellStyle name="Normal 4 4 2 2 2 5 3 2" xfId="14444" xr:uid="{B94AC516-4BEA-4F8E-B081-73DEDBC7CDB8}"/>
    <cellStyle name="Normal 4 4 2 2 2 5 3 3" xfId="22878" xr:uid="{28196C5C-55D8-400E-80E2-CDBF4075B62D}"/>
    <cellStyle name="Normal 4 4 2 2 2 5 4" xfId="10226" xr:uid="{22FE2866-EC16-4884-A747-C74B2461733C}"/>
    <cellStyle name="Normal 4 4 2 2 2 5 5" xfId="18661" xr:uid="{4490EE5D-36C0-4ED1-BF6F-9B58DC816A2F}"/>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9BA247E1-01B1-468D-8F9C-72135BCB6639}"/>
    <cellStyle name="Normal 4 4 2 2 2 6 2 2 3" xfId="25436" xr:uid="{87073390-9716-42A8-B6BD-D04E3C788EF9}"/>
    <cellStyle name="Normal 4 4 2 2 2 6 2 3" xfId="12784" xr:uid="{3C73D79A-EA65-4793-B7DB-0A2D19D50C38}"/>
    <cellStyle name="Normal 4 4 2 2 2 6 2 4" xfId="21219" xr:uid="{7240BE09-637D-4484-8239-CE9663B4B046}"/>
    <cellStyle name="Normal 4 4 2 2 2 6 3" xfId="6407" xr:uid="{00000000-0005-0000-0000-0000EB140000}"/>
    <cellStyle name="Normal 4 4 2 2 2 6 3 2" xfId="14857" xr:uid="{BF332FCC-F3F3-4CD7-AFFB-4F10C2BA4C2A}"/>
    <cellStyle name="Normal 4 4 2 2 2 6 3 3" xfId="23291" xr:uid="{B5508C25-693C-4F3A-9D59-4ECFFCCAFE86}"/>
    <cellStyle name="Normal 4 4 2 2 2 6 4" xfId="10639" xr:uid="{44BB96D6-295E-4353-962E-A1E4E1B993E0}"/>
    <cellStyle name="Normal 4 4 2 2 2 6 5" xfId="19074" xr:uid="{2F67F18A-401D-4698-BFCE-1216A3A3B0AA}"/>
    <cellStyle name="Normal 4 4 2 2 2 7" xfId="2537" xr:uid="{00000000-0005-0000-0000-0000EC140000}"/>
    <cellStyle name="Normal 4 4 2 2 2 7 2" xfId="6820" xr:uid="{00000000-0005-0000-0000-0000ED140000}"/>
    <cellStyle name="Normal 4 4 2 2 2 7 2 2" xfId="15270" xr:uid="{A17634C7-189C-42C9-AEAC-E437496E2ABA}"/>
    <cellStyle name="Normal 4 4 2 2 2 7 2 3" xfId="23704" xr:uid="{7807B925-1E29-478E-8CCB-2BDBBB59161C}"/>
    <cellStyle name="Normal 4 4 2 2 2 7 3" xfId="11052" xr:uid="{47057B1C-5FCF-4F45-A38D-92370EE53BD4}"/>
    <cellStyle name="Normal 4 4 2 2 2 7 4" xfId="19487" xr:uid="{928E43ED-D1D6-4584-8330-AB828DD89D7D}"/>
    <cellStyle name="Normal 4 4 2 2 2 8" xfId="4755" xr:uid="{00000000-0005-0000-0000-0000EE140000}"/>
    <cellStyle name="Normal 4 4 2 2 2 8 2" xfId="13205" xr:uid="{883BC604-D7B6-456D-8C1F-C63320EE4378}"/>
    <cellStyle name="Normal 4 4 2 2 2 8 3" xfId="21639" xr:uid="{10AF8F6B-5DC7-48E7-9597-8F1014096C74}"/>
    <cellStyle name="Normal 4 4 2 2 2 9" xfId="8987" xr:uid="{1F634832-C5A9-4711-8FD0-977782E1914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902216B4-F870-4F55-8FAB-99D5DD5FE41F}"/>
    <cellStyle name="Normal 4 4 2 2 3 2 2 2 3" xfId="24199" xr:uid="{4D974C5D-E1BA-4D4F-B40C-5480622B6B79}"/>
    <cellStyle name="Normal 4 4 2 2 3 2 2 3" xfId="11547" xr:uid="{AF440C93-4A51-4191-A52A-8831A9E596F3}"/>
    <cellStyle name="Normal 4 4 2 2 3 2 2 4" xfId="19982" xr:uid="{869A3F3F-DE13-4BA3-87B9-F41F16350B30}"/>
    <cellStyle name="Normal 4 4 2 2 3 2 3" xfId="5170" xr:uid="{00000000-0005-0000-0000-0000F3140000}"/>
    <cellStyle name="Normal 4 4 2 2 3 2 3 2" xfId="13620" xr:uid="{3ED3413C-1924-4222-9DFD-9347EEAFDDDC}"/>
    <cellStyle name="Normal 4 4 2 2 3 2 3 3" xfId="22054" xr:uid="{801855B7-AB21-412A-90D9-D150C72EE4D4}"/>
    <cellStyle name="Normal 4 4 2 2 3 2 4" xfId="9402" xr:uid="{31146280-C315-48C6-B11C-7C6F574547E7}"/>
    <cellStyle name="Normal 4 4 2 2 3 2 5" xfId="17837" xr:uid="{BF7E01C9-EDB3-48F4-9AF4-C07D42FC29DD}"/>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4E175C78-8907-405A-A5F5-3FDCE7D0E189}"/>
    <cellStyle name="Normal 4 4 2 2 3 3 2 2 3" xfId="24612" xr:uid="{3B5C7376-F392-4D0E-AAD8-EA43FB20B38E}"/>
    <cellStyle name="Normal 4 4 2 2 3 3 2 3" xfId="11960" xr:uid="{3A03A442-D57E-47AE-A725-4CA0A79F0BD3}"/>
    <cellStyle name="Normal 4 4 2 2 3 3 2 4" xfId="20395" xr:uid="{355F9BF0-4DEC-4994-BEFA-581CAED49C82}"/>
    <cellStyle name="Normal 4 4 2 2 3 3 3" xfId="5583" xr:uid="{00000000-0005-0000-0000-0000F7140000}"/>
    <cellStyle name="Normal 4 4 2 2 3 3 3 2" xfId="14033" xr:uid="{288A7CD1-D9E7-424F-BA9F-B04C599535E8}"/>
    <cellStyle name="Normal 4 4 2 2 3 3 3 3" xfId="22467" xr:uid="{C6C7DBDC-26B7-4889-A17B-3771D0E0092D}"/>
    <cellStyle name="Normal 4 4 2 2 3 3 4" xfId="9815" xr:uid="{38FA1ED3-0BAA-4C75-B48D-43B906CD260E}"/>
    <cellStyle name="Normal 4 4 2 2 3 3 5" xfId="18250" xr:uid="{A9821D4B-1AA1-463F-92BF-B602CF9F7B3D}"/>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2733D21F-328F-4FAC-8721-AA205A2EDB6A}"/>
    <cellStyle name="Normal 4 4 2 2 3 4 2 2 3" xfId="25025" xr:uid="{0A7942C2-38BB-48BC-B653-7ACFA0EB2940}"/>
    <cellStyle name="Normal 4 4 2 2 3 4 2 3" xfId="12373" xr:uid="{FA4F4C3A-6CE7-4451-B872-2158546887D8}"/>
    <cellStyle name="Normal 4 4 2 2 3 4 2 4" xfId="20808" xr:uid="{510EE471-8913-4608-BEAF-F7A24AAF37F9}"/>
    <cellStyle name="Normal 4 4 2 2 3 4 3" xfId="5996" xr:uid="{00000000-0005-0000-0000-0000FB140000}"/>
    <cellStyle name="Normal 4 4 2 2 3 4 3 2" xfId="14446" xr:uid="{D0699D37-9519-462B-8C18-AD66BC1373D7}"/>
    <cellStyle name="Normal 4 4 2 2 3 4 3 3" xfId="22880" xr:uid="{B1E2F3E2-FF9C-4F31-A00A-85B15D0867BC}"/>
    <cellStyle name="Normal 4 4 2 2 3 4 4" xfId="10228" xr:uid="{10EED3AF-371C-454E-ACEA-FE55ED102991}"/>
    <cellStyle name="Normal 4 4 2 2 3 4 5" xfId="18663" xr:uid="{87FFA4EC-9B1D-44DF-BCCB-36BE17575BDD}"/>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C88CAA50-76ED-4776-94B3-3F00C0AD8817}"/>
    <cellStyle name="Normal 4 4 2 2 3 5 2 2 3" xfId="25438" xr:uid="{C744C5BB-DFE8-4685-9776-9D31D66023F9}"/>
    <cellStyle name="Normal 4 4 2 2 3 5 2 3" xfId="12786" xr:uid="{C94B4CE7-BFDB-4654-8A77-8BDCABC9CF56}"/>
    <cellStyle name="Normal 4 4 2 2 3 5 2 4" xfId="21221" xr:uid="{9023FE83-E387-4DD1-929C-803CE5A73DA6}"/>
    <cellStyle name="Normal 4 4 2 2 3 5 3" xfId="6409" xr:uid="{00000000-0005-0000-0000-0000FF140000}"/>
    <cellStyle name="Normal 4 4 2 2 3 5 3 2" xfId="14859" xr:uid="{A8383E20-6FAF-4B63-9206-2A61FED325B3}"/>
    <cellStyle name="Normal 4 4 2 2 3 5 3 3" xfId="23293" xr:uid="{38B2DA2E-93D6-4D20-99E4-A34B2F7B7595}"/>
    <cellStyle name="Normal 4 4 2 2 3 5 4" xfId="10641" xr:uid="{BD8BDD87-93A7-452F-A8A6-5391E8F8815C}"/>
    <cellStyle name="Normal 4 4 2 2 3 5 5" xfId="19076" xr:uid="{E5F91A15-A218-4E53-AA84-463F2226D071}"/>
    <cellStyle name="Normal 4 4 2 2 3 6" xfId="2539" xr:uid="{00000000-0005-0000-0000-000000150000}"/>
    <cellStyle name="Normal 4 4 2 2 3 6 2" xfId="6822" xr:uid="{00000000-0005-0000-0000-000001150000}"/>
    <cellStyle name="Normal 4 4 2 2 3 6 2 2" xfId="15272" xr:uid="{44218DBB-DD17-494F-856B-394C93A47BBC}"/>
    <cellStyle name="Normal 4 4 2 2 3 6 2 3" xfId="23706" xr:uid="{B3705579-45CB-4896-BFBC-8C45EF78ED28}"/>
    <cellStyle name="Normal 4 4 2 2 3 6 3" xfId="11054" xr:uid="{95DFBFF0-92EE-4002-BAEB-511E1CA22880}"/>
    <cellStyle name="Normal 4 4 2 2 3 6 4" xfId="19489" xr:uid="{4F6BBFBF-3A84-47D6-82A9-79026CFCFB9A}"/>
    <cellStyle name="Normal 4 4 2 2 3 7" xfId="4757" xr:uid="{00000000-0005-0000-0000-000002150000}"/>
    <cellStyle name="Normal 4 4 2 2 3 7 2" xfId="13207" xr:uid="{67BA70EB-4682-472A-ACFA-7614F45605B6}"/>
    <cellStyle name="Normal 4 4 2 2 3 7 3" xfId="21641" xr:uid="{90C43586-25CD-4C18-97B1-7A16A8175B19}"/>
    <cellStyle name="Normal 4 4 2 2 3 8" xfId="8989" xr:uid="{3718BCF1-63C7-494F-9289-F01CF0026A3D}"/>
    <cellStyle name="Normal 4 4 2 2 3 9" xfId="17424" xr:uid="{C118F71D-8153-47D2-90F0-FB1F4598511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6D93A421-EEE5-4A38-AA85-C8929BC60181}"/>
    <cellStyle name="Normal 4 4 2 2 4 2 2 3" xfId="24196" xr:uid="{C334D9C9-80F4-41A6-8492-CCC706F382F6}"/>
    <cellStyle name="Normal 4 4 2 2 4 2 3" xfId="11544" xr:uid="{8EB895C1-48B8-47BE-99D5-563F0B3190EE}"/>
    <cellStyle name="Normal 4 4 2 2 4 2 4" xfId="19979" xr:uid="{C115455D-3EB0-44B4-909B-90480C2628FA}"/>
    <cellStyle name="Normal 4 4 2 2 4 3" xfId="5167" xr:uid="{00000000-0005-0000-0000-000006150000}"/>
    <cellStyle name="Normal 4 4 2 2 4 3 2" xfId="13617" xr:uid="{19038DE9-1207-4A6D-AB04-A10091AD942B}"/>
    <cellStyle name="Normal 4 4 2 2 4 3 3" xfId="22051" xr:uid="{4073D70A-DCFB-4D1C-9440-16BAF1586E98}"/>
    <cellStyle name="Normal 4 4 2 2 4 4" xfId="9399" xr:uid="{D0609893-A82A-456B-8AC1-C0ED41A1661E}"/>
    <cellStyle name="Normal 4 4 2 2 4 5" xfId="17834" xr:uid="{9E9D886D-3DF2-4267-8BF6-7F801988C86B}"/>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14718372-C459-461A-AA2F-D0226CDB6C46}"/>
    <cellStyle name="Normal 4 4 2 2 5 2 2 3" xfId="24609" xr:uid="{83572C2B-4BA4-466A-B1FB-250C3759C85D}"/>
    <cellStyle name="Normal 4 4 2 2 5 2 3" xfId="11957" xr:uid="{271513A2-746E-4C19-B14A-B537738F40DE}"/>
    <cellStyle name="Normal 4 4 2 2 5 2 4" xfId="20392" xr:uid="{86CDB83D-0AFB-4D9E-B36B-DBB9418D8C0C}"/>
    <cellStyle name="Normal 4 4 2 2 5 3" xfId="5580" xr:uid="{00000000-0005-0000-0000-00000A150000}"/>
    <cellStyle name="Normal 4 4 2 2 5 3 2" xfId="14030" xr:uid="{55A480DA-5C69-45CB-8BEB-F9377E710085}"/>
    <cellStyle name="Normal 4 4 2 2 5 3 3" xfId="22464" xr:uid="{55C2DBAA-6A95-4924-A706-AFD22483088B}"/>
    <cellStyle name="Normal 4 4 2 2 5 4" xfId="9812" xr:uid="{05B0331B-5A29-46CA-B71B-26D882029515}"/>
    <cellStyle name="Normal 4 4 2 2 5 5" xfId="18247" xr:uid="{1595E70A-5B97-4369-902A-91415359753F}"/>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1BC7086B-2167-483B-B299-A24A1F215961}"/>
    <cellStyle name="Normal 4 4 2 2 6 2 2 3" xfId="25022" xr:uid="{34AA739C-5459-40C9-98B6-C6445E4CA3CA}"/>
    <cellStyle name="Normal 4 4 2 2 6 2 3" xfId="12370" xr:uid="{73B9CA80-9D40-4E88-BE9E-669ED139F284}"/>
    <cellStyle name="Normal 4 4 2 2 6 2 4" xfId="20805" xr:uid="{00AB9485-6C0A-4703-A1EF-A4B9F6FDD7A5}"/>
    <cellStyle name="Normal 4 4 2 2 6 3" xfId="5993" xr:uid="{00000000-0005-0000-0000-00000E150000}"/>
    <cellStyle name="Normal 4 4 2 2 6 3 2" xfId="14443" xr:uid="{8ED75F77-BE58-4A33-9B26-6B1CD6A9D2EA}"/>
    <cellStyle name="Normal 4 4 2 2 6 3 3" xfId="22877" xr:uid="{C27FD43E-B9C4-471C-B2AD-E3FDDF627559}"/>
    <cellStyle name="Normal 4 4 2 2 6 4" xfId="10225" xr:uid="{403CAAB2-3793-44E3-8D24-F2487E2A3EF2}"/>
    <cellStyle name="Normal 4 4 2 2 6 5" xfId="18660" xr:uid="{CA2CD7FD-29B6-4031-8F12-E3AF22002CB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0CD9CF8B-0C47-40F6-A003-2914C43E21D9}"/>
    <cellStyle name="Normal 4 4 2 2 7 2 2 3" xfId="25435" xr:uid="{80687390-D896-4553-830A-D7A185FEB61F}"/>
    <cellStyle name="Normal 4 4 2 2 7 2 3" xfId="12783" xr:uid="{925F91FD-7419-4150-BB01-C3AAB39443F3}"/>
    <cellStyle name="Normal 4 4 2 2 7 2 4" xfId="21218" xr:uid="{BB9B11C8-5E63-43BB-AE2C-62B97D08396F}"/>
    <cellStyle name="Normal 4 4 2 2 7 3" xfId="6406" xr:uid="{00000000-0005-0000-0000-000012150000}"/>
    <cellStyle name="Normal 4 4 2 2 7 3 2" xfId="14856" xr:uid="{7471E444-832E-4D7E-B5F8-9537F45A2102}"/>
    <cellStyle name="Normal 4 4 2 2 7 3 3" xfId="23290" xr:uid="{0DD17147-1EEC-4FC7-9D73-2060DDF0D2E6}"/>
    <cellStyle name="Normal 4 4 2 2 7 4" xfId="10638" xr:uid="{7476BFA2-50D2-4A85-A5DA-5D1E839EAD45}"/>
    <cellStyle name="Normal 4 4 2 2 7 5" xfId="19073" xr:uid="{19CB48BA-DEF3-4DC8-8CD5-8DB5DC5FBE14}"/>
    <cellStyle name="Normal 4 4 2 2 8" xfId="2536" xr:uid="{00000000-0005-0000-0000-000013150000}"/>
    <cellStyle name="Normal 4 4 2 2 8 2" xfId="6819" xr:uid="{00000000-0005-0000-0000-000014150000}"/>
    <cellStyle name="Normal 4 4 2 2 8 2 2" xfId="15269" xr:uid="{B79A12C8-7E31-4517-9500-8DD262ECD38D}"/>
    <cellStyle name="Normal 4 4 2 2 8 2 3" xfId="23703" xr:uid="{4714938E-0635-434A-A273-8C3355C9A43F}"/>
    <cellStyle name="Normal 4 4 2 2 8 3" xfId="11051" xr:uid="{C937872B-C19E-4C74-8E34-254F1F4620E9}"/>
    <cellStyle name="Normal 4 4 2 2 8 4" xfId="19486" xr:uid="{3F1A58EB-9A90-4400-B83B-7505CF04864C}"/>
    <cellStyle name="Normal 4 4 2 2 9" xfId="4754" xr:uid="{00000000-0005-0000-0000-000015150000}"/>
    <cellStyle name="Normal 4 4 2 2 9 2" xfId="13204" xr:uid="{E6A82F33-B32F-4302-8FBC-A44145364A0C}"/>
    <cellStyle name="Normal 4 4 2 2 9 3" xfId="21638" xr:uid="{8F13B67B-E8BB-47EE-A5E2-9A959F24AFC1}"/>
    <cellStyle name="Normal 4 4 2 3" xfId="384" xr:uid="{00000000-0005-0000-0000-000016150000}"/>
    <cellStyle name="Normal 4 4 2 3 10" xfId="17425" xr:uid="{DCF51359-D6E1-4E21-A20E-CDA883B3C34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B2B670DB-3915-4610-BA86-26D98A8FFAEB}"/>
    <cellStyle name="Normal 4 4 2 3 2 2 2 2 3" xfId="24201" xr:uid="{FD2C75C0-78E7-444A-9B0C-715EF347FD55}"/>
    <cellStyle name="Normal 4 4 2 3 2 2 2 3" xfId="11549" xr:uid="{2E9D4334-6A14-4E61-BB84-A4664E429B64}"/>
    <cellStyle name="Normal 4 4 2 3 2 2 2 4" xfId="19984" xr:uid="{8CC00B55-00A7-438B-8CA1-8E95F0DF7834}"/>
    <cellStyle name="Normal 4 4 2 3 2 2 3" xfId="5172" xr:uid="{00000000-0005-0000-0000-00001B150000}"/>
    <cellStyle name="Normal 4 4 2 3 2 2 3 2" xfId="13622" xr:uid="{D7031995-A533-4A20-B77B-E8DEFFB222CA}"/>
    <cellStyle name="Normal 4 4 2 3 2 2 3 3" xfId="22056" xr:uid="{FF837363-7534-4049-A283-802E661F6E6B}"/>
    <cellStyle name="Normal 4 4 2 3 2 2 4" xfId="9404" xr:uid="{E84CC9E2-645B-4C9E-A6E7-895FF29DE857}"/>
    <cellStyle name="Normal 4 4 2 3 2 2 5" xfId="17839" xr:uid="{168FEA36-81ED-436E-B2A0-E22F628279B6}"/>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0F5C3E27-46CD-4EE6-B9E0-BCB607B8064F}"/>
    <cellStyle name="Normal 4 4 2 3 2 3 2 2 3" xfId="24614" xr:uid="{43908A26-F960-4F17-B7FD-02EC92F84869}"/>
    <cellStyle name="Normal 4 4 2 3 2 3 2 3" xfId="11962" xr:uid="{6C9FEFA6-9771-4740-A3CC-AD4413C7774B}"/>
    <cellStyle name="Normal 4 4 2 3 2 3 2 4" xfId="20397" xr:uid="{7B398758-D21B-4C22-8700-6836F4823B13}"/>
    <cellStyle name="Normal 4 4 2 3 2 3 3" xfId="5585" xr:uid="{00000000-0005-0000-0000-00001F150000}"/>
    <cellStyle name="Normal 4 4 2 3 2 3 3 2" xfId="14035" xr:uid="{B36F3948-717C-4180-9516-A7CD8CC414AD}"/>
    <cellStyle name="Normal 4 4 2 3 2 3 3 3" xfId="22469" xr:uid="{549E99B7-50D8-4F40-8732-27A0D5FC9D22}"/>
    <cellStyle name="Normal 4 4 2 3 2 3 4" xfId="9817" xr:uid="{5816BA09-CC4F-4713-AE4C-055E06958DFA}"/>
    <cellStyle name="Normal 4 4 2 3 2 3 5" xfId="18252" xr:uid="{FC65A3D8-1C01-4E49-8953-677249C2AE6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AB3B846B-6563-4C3F-A8E8-DC25410B400D}"/>
    <cellStyle name="Normal 4 4 2 3 2 4 2 2 3" xfId="25027" xr:uid="{4187AFEC-9B26-4FE6-93D5-C7507EAA6D41}"/>
    <cellStyle name="Normal 4 4 2 3 2 4 2 3" xfId="12375" xr:uid="{5C5074CA-3BE3-4C81-8C4A-FFD385DA18CC}"/>
    <cellStyle name="Normal 4 4 2 3 2 4 2 4" xfId="20810" xr:uid="{D8410EB3-D04D-45E8-B893-DA8CBC387AEF}"/>
    <cellStyle name="Normal 4 4 2 3 2 4 3" xfId="5998" xr:uid="{00000000-0005-0000-0000-000023150000}"/>
    <cellStyle name="Normal 4 4 2 3 2 4 3 2" xfId="14448" xr:uid="{0CBB5676-546F-484E-9213-CE3201E2931B}"/>
    <cellStyle name="Normal 4 4 2 3 2 4 3 3" xfId="22882" xr:uid="{FF5C8AE1-F5F0-4053-9BC6-07EEBB5003CD}"/>
    <cellStyle name="Normal 4 4 2 3 2 4 4" xfId="10230" xr:uid="{4360AD9A-9843-4463-9C92-946187B4242C}"/>
    <cellStyle name="Normal 4 4 2 3 2 4 5" xfId="18665" xr:uid="{195921EA-B4F9-4066-95D5-F200AFD9B8FC}"/>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6DAD5EEB-03F7-476B-9321-3F6CFFB2E655}"/>
    <cellStyle name="Normal 4 4 2 3 2 5 2 2 3" xfId="25440" xr:uid="{EF5DB42E-DFF5-4652-ABA1-A8F2C8E6A348}"/>
    <cellStyle name="Normal 4 4 2 3 2 5 2 3" xfId="12788" xr:uid="{B94D86B6-273D-4D18-9A3A-A33F0DA99306}"/>
    <cellStyle name="Normal 4 4 2 3 2 5 2 4" xfId="21223" xr:uid="{42016046-147F-4C80-A02F-257BFCD0DA1F}"/>
    <cellStyle name="Normal 4 4 2 3 2 5 3" xfId="6411" xr:uid="{00000000-0005-0000-0000-000027150000}"/>
    <cellStyle name="Normal 4 4 2 3 2 5 3 2" xfId="14861" xr:uid="{5163226D-9F34-4E4A-9947-85BB27FBFAC6}"/>
    <cellStyle name="Normal 4 4 2 3 2 5 3 3" xfId="23295" xr:uid="{176E522D-85D5-49CF-BD00-C761B00DC5EC}"/>
    <cellStyle name="Normal 4 4 2 3 2 5 4" xfId="10643" xr:uid="{240743F4-FB00-4D90-805D-D28FAF5C61F9}"/>
    <cellStyle name="Normal 4 4 2 3 2 5 5" xfId="19078" xr:uid="{51D7CB36-4B27-4039-AE2A-20CDAE1A9DE9}"/>
    <cellStyle name="Normal 4 4 2 3 2 6" xfId="2541" xr:uid="{00000000-0005-0000-0000-000028150000}"/>
    <cellStyle name="Normal 4 4 2 3 2 6 2" xfId="6824" xr:uid="{00000000-0005-0000-0000-000029150000}"/>
    <cellStyle name="Normal 4 4 2 3 2 6 2 2" xfId="15274" xr:uid="{EA078C8A-0EED-4246-A238-5F67B91FCF4C}"/>
    <cellStyle name="Normal 4 4 2 3 2 6 2 3" xfId="23708" xr:uid="{F3DC0B92-8849-4591-99E3-E89C8FAA40D3}"/>
    <cellStyle name="Normal 4 4 2 3 2 6 3" xfId="11056" xr:uid="{6DFA0CBB-891B-43BB-AD65-B5F319A2CF73}"/>
    <cellStyle name="Normal 4 4 2 3 2 6 4" xfId="19491" xr:uid="{D49C5BE9-4657-42B6-9F9E-BFFBDD7407AF}"/>
    <cellStyle name="Normal 4 4 2 3 2 7" xfId="4759" xr:uid="{00000000-0005-0000-0000-00002A150000}"/>
    <cellStyle name="Normal 4 4 2 3 2 7 2" xfId="13209" xr:uid="{9C83B606-973E-446C-8CF3-2D48F6883631}"/>
    <cellStyle name="Normal 4 4 2 3 2 7 3" xfId="21643" xr:uid="{973A55AC-A303-4F02-B68E-D513928D9B27}"/>
    <cellStyle name="Normal 4 4 2 3 2 8" xfId="8991" xr:uid="{EEF26A4C-3D0D-4AA3-9490-4D11FDB9D0DF}"/>
    <cellStyle name="Normal 4 4 2 3 2 9" xfId="17426" xr:uid="{7A46163A-D5E7-4212-B0D2-D73D401E1B48}"/>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8B5A1427-7345-43DC-B270-34A239DE8212}"/>
    <cellStyle name="Normal 4 4 2 3 3 2 2 3" xfId="24200" xr:uid="{0DD8F65B-B4B9-446D-B97B-AB077DF64377}"/>
    <cellStyle name="Normal 4 4 2 3 3 2 3" xfId="11548" xr:uid="{EA12213C-7018-457F-ACCC-15973BEBC519}"/>
    <cellStyle name="Normal 4 4 2 3 3 2 4" xfId="19983" xr:uid="{BD688AE4-8039-4887-BABE-02AE31174453}"/>
    <cellStyle name="Normal 4 4 2 3 3 3" xfId="5171" xr:uid="{00000000-0005-0000-0000-00002E150000}"/>
    <cellStyle name="Normal 4 4 2 3 3 3 2" xfId="13621" xr:uid="{168F37FC-3977-43A5-9CFC-1336E105ECF5}"/>
    <cellStyle name="Normal 4 4 2 3 3 3 3" xfId="22055" xr:uid="{1FFEE68F-B37E-4BA1-8C0B-E07A9585291F}"/>
    <cellStyle name="Normal 4 4 2 3 3 4" xfId="9403" xr:uid="{B38814D7-7098-454B-83DA-B637FD4ADF30}"/>
    <cellStyle name="Normal 4 4 2 3 3 5" xfId="17838" xr:uid="{57407D4C-F13F-4313-84D4-0B82687C1062}"/>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475D3B84-6FCF-476F-B719-B1E8B8CCCA66}"/>
    <cellStyle name="Normal 4 4 2 3 4 2 2 3" xfId="24613" xr:uid="{4CB3A473-68CE-4064-B1B1-52EE74A4B336}"/>
    <cellStyle name="Normal 4 4 2 3 4 2 3" xfId="11961" xr:uid="{B4E67F93-2206-484F-831F-81719E8A9068}"/>
    <cellStyle name="Normal 4 4 2 3 4 2 4" xfId="20396" xr:uid="{C823A4D6-F4AA-4EA3-AB9B-3FFCE0ED6168}"/>
    <cellStyle name="Normal 4 4 2 3 4 3" xfId="5584" xr:uid="{00000000-0005-0000-0000-000032150000}"/>
    <cellStyle name="Normal 4 4 2 3 4 3 2" xfId="14034" xr:uid="{AC6FBF42-DDC5-4C25-AE09-38F91DFF19E1}"/>
    <cellStyle name="Normal 4 4 2 3 4 3 3" xfId="22468" xr:uid="{0AF1AA96-AD89-4150-B467-AF46BC054125}"/>
    <cellStyle name="Normal 4 4 2 3 4 4" xfId="9816" xr:uid="{A68A0250-0FCA-4540-A88E-14C71757EF18}"/>
    <cellStyle name="Normal 4 4 2 3 4 5" xfId="18251" xr:uid="{5F3B015B-D8F6-43C2-986C-3E594B2A5B6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140DC18F-50AF-4458-8810-5C97FBC28C43}"/>
    <cellStyle name="Normal 4 4 2 3 5 2 2 3" xfId="25026" xr:uid="{BB920D29-7CF0-4E32-B01B-2AD24F295A40}"/>
    <cellStyle name="Normal 4 4 2 3 5 2 3" xfId="12374" xr:uid="{A43EE954-6E1F-4DD7-B333-2E7221CCC688}"/>
    <cellStyle name="Normal 4 4 2 3 5 2 4" xfId="20809" xr:uid="{BD48307C-2AA5-4B47-A400-12B4DB6B6DA1}"/>
    <cellStyle name="Normal 4 4 2 3 5 3" xfId="5997" xr:uid="{00000000-0005-0000-0000-000036150000}"/>
    <cellStyle name="Normal 4 4 2 3 5 3 2" xfId="14447" xr:uid="{6365C720-585F-4293-A7C5-435C123ACF81}"/>
    <cellStyle name="Normal 4 4 2 3 5 3 3" xfId="22881" xr:uid="{E75AC0CB-167A-4573-8E44-2752A0E0E737}"/>
    <cellStyle name="Normal 4 4 2 3 5 4" xfId="10229" xr:uid="{A3B28503-FF7B-4189-B7A7-F16737D1DDE6}"/>
    <cellStyle name="Normal 4 4 2 3 5 5" xfId="18664" xr:uid="{F5289450-C2EE-4CAD-A9B7-BEA122CAF13A}"/>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F9DA6129-3B1E-4232-AA6B-3E132F5A3A89}"/>
    <cellStyle name="Normal 4 4 2 3 6 2 2 3" xfId="25439" xr:uid="{7DCDDBFB-CDDB-4769-B5BF-2BFAFDFA6370}"/>
    <cellStyle name="Normal 4 4 2 3 6 2 3" xfId="12787" xr:uid="{17A50FC2-401B-40C9-868D-F3470DF0B1AA}"/>
    <cellStyle name="Normal 4 4 2 3 6 2 4" xfId="21222" xr:uid="{736C0AFF-ECD3-4BEC-BBC8-F732EC76DF54}"/>
    <cellStyle name="Normal 4 4 2 3 6 3" xfId="6410" xr:uid="{00000000-0005-0000-0000-00003A150000}"/>
    <cellStyle name="Normal 4 4 2 3 6 3 2" xfId="14860" xr:uid="{63B1C2F1-6D8B-48A8-8CB4-2F7B865907FB}"/>
    <cellStyle name="Normal 4 4 2 3 6 3 3" xfId="23294" xr:uid="{0AA138FA-4098-4F7F-86AC-CEB25629F965}"/>
    <cellStyle name="Normal 4 4 2 3 6 4" xfId="10642" xr:uid="{FC317533-DB57-4439-BF6A-A8CA9A6147BC}"/>
    <cellStyle name="Normal 4 4 2 3 6 5" xfId="19077" xr:uid="{33AEA2C2-AF0B-4142-BACD-E64E117A7E52}"/>
    <cellStyle name="Normal 4 4 2 3 7" xfId="2540" xr:uid="{00000000-0005-0000-0000-00003B150000}"/>
    <cellStyle name="Normal 4 4 2 3 7 2" xfId="6823" xr:uid="{00000000-0005-0000-0000-00003C150000}"/>
    <cellStyle name="Normal 4 4 2 3 7 2 2" xfId="15273" xr:uid="{F5015FC3-1EE7-4EF9-8008-FC5FA4732EE3}"/>
    <cellStyle name="Normal 4 4 2 3 7 2 3" xfId="23707" xr:uid="{0216DCE2-A004-4964-9536-E30CD66E52BA}"/>
    <cellStyle name="Normal 4 4 2 3 7 3" xfId="11055" xr:uid="{71048BEB-292A-4E6F-A657-AA510203D815}"/>
    <cellStyle name="Normal 4 4 2 3 7 4" xfId="19490" xr:uid="{FDF75BC2-0D31-48AD-922D-DDB89E2CEA53}"/>
    <cellStyle name="Normal 4 4 2 3 8" xfId="4758" xr:uid="{00000000-0005-0000-0000-00003D150000}"/>
    <cellStyle name="Normal 4 4 2 3 8 2" xfId="13208" xr:uid="{D75C7ED0-A7A0-431A-898E-52735F1F1C18}"/>
    <cellStyle name="Normal 4 4 2 3 8 3" xfId="21642" xr:uid="{5074F1E0-03F4-4725-A6A1-88F5D99BD2E5}"/>
    <cellStyle name="Normal 4 4 2 3 9" xfId="8990" xr:uid="{41C4C903-79F4-4C67-8E94-802A31AEEDBF}"/>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AF47803F-E936-4378-BCD2-324505C05698}"/>
    <cellStyle name="Normal 4 4 2 4 2 2 2 3" xfId="24202" xr:uid="{A3252D5E-82D7-47D1-8885-50FB7DC00A0C}"/>
    <cellStyle name="Normal 4 4 2 4 2 2 3" xfId="11550" xr:uid="{585E43AE-D87B-44D6-BFEA-96AE6356B254}"/>
    <cellStyle name="Normal 4 4 2 4 2 2 4" xfId="19985" xr:uid="{F273CDD6-6860-4F53-85AF-E526E08ADB07}"/>
    <cellStyle name="Normal 4 4 2 4 2 3" xfId="5173" xr:uid="{00000000-0005-0000-0000-000042150000}"/>
    <cellStyle name="Normal 4 4 2 4 2 3 2" xfId="13623" xr:uid="{62AB0355-3032-4BB1-973B-D019BE6C122A}"/>
    <cellStyle name="Normal 4 4 2 4 2 3 3" xfId="22057" xr:uid="{2721F085-2CA7-4778-AEE9-89C27EEC339C}"/>
    <cellStyle name="Normal 4 4 2 4 2 4" xfId="9405" xr:uid="{162204C2-6351-4FDE-99AD-55CCA748B3BA}"/>
    <cellStyle name="Normal 4 4 2 4 2 5" xfId="17840" xr:uid="{440803C0-FB91-43A4-8068-E4C5242D2872}"/>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70F7FC7B-2AF2-41E1-9ED6-8C6E4AEFF90A}"/>
    <cellStyle name="Normal 4 4 2 4 3 2 2 3" xfId="24615" xr:uid="{82D7D707-A907-4E8C-B1FE-4C50B3C41873}"/>
    <cellStyle name="Normal 4 4 2 4 3 2 3" xfId="11963" xr:uid="{46C74115-FC08-4443-A84D-CF13BB201CD9}"/>
    <cellStyle name="Normal 4 4 2 4 3 2 4" xfId="20398" xr:uid="{B597DDB3-9120-4B75-8DC7-997CEEE9D556}"/>
    <cellStyle name="Normal 4 4 2 4 3 3" xfId="5586" xr:uid="{00000000-0005-0000-0000-000046150000}"/>
    <cellStyle name="Normal 4 4 2 4 3 3 2" xfId="14036" xr:uid="{28AFD24D-2004-4B4F-87E7-FE8627716479}"/>
    <cellStyle name="Normal 4 4 2 4 3 3 3" xfId="22470" xr:uid="{B34ED916-AAED-4A2A-B13A-2311A5D8437A}"/>
    <cellStyle name="Normal 4 4 2 4 3 4" xfId="9818" xr:uid="{D4BE4E20-B38F-43C5-91EF-B52514A2EB9D}"/>
    <cellStyle name="Normal 4 4 2 4 3 5" xfId="18253" xr:uid="{4E71D768-15B4-4678-A2EC-C75258F8FBC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6AE84DE4-2FDB-42CE-9AB0-F51A3BECFB1B}"/>
    <cellStyle name="Normal 4 4 2 4 4 2 2 3" xfId="25028" xr:uid="{D8FC4E07-75EC-4288-814E-592DBF6FC875}"/>
    <cellStyle name="Normal 4 4 2 4 4 2 3" xfId="12376" xr:uid="{817A39A0-E316-42F4-9BEA-21F9CAF5A549}"/>
    <cellStyle name="Normal 4 4 2 4 4 2 4" xfId="20811" xr:uid="{F9E6BC31-C7BB-4E7E-814F-5AA5888ACDE7}"/>
    <cellStyle name="Normal 4 4 2 4 4 3" xfId="5999" xr:uid="{00000000-0005-0000-0000-00004A150000}"/>
    <cellStyle name="Normal 4 4 2 4 4 3 2" xfId="14449" xr:uid="{DD2B8FC8-CBBA-4806-964F-8332E6706447}"/>
    <cellStyle name="Normal 4 4 2 4 4 3 3" xfId="22883" xr:uid="{B671080F-BEB5-49E3-9597-B8AE60569B83}"/>
    <cellStyle name="Normal 4 4 2 4 4 4" xfId="10231" xr:uid="{B44D811B-F5A7-4A22-A32C-73A7D28E094A}"/>
    <cellStyle name="Normal 4 4 2 4 4 5" xfId="18666" xr:uid="{92AF4877-5E36-4B6C-91EC-508808D569D4}"/>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ADE0B808-B0C4-44BF-9805-8C66E6D94AA1}"/>
    <cellStyle name="Normal 4 4 2 4 5 2 2 3" xfId="25441" xr:uid="{E9546DA0-38EB-43A2-A643-2327DF014876}"/>
    <cellStyle name="Normal 4 4 2 4 5 2 3" xfId="12789" xr:uid="{F8F44A40-AAC9-47A0-B6B0-7C28C31F1D0F}"/>
    <cellStyle name="Normal 4 4 2 4 5 2 4" xfId="21224" xr:uid="{FB19BCCC-CF80-4FBF-A28B-CA65B275EEE9}"/>
    <cellStyle name="Normal 4 4 2 4 5 3" xfId="6412" xr:uid="{00000000-0005-0000-0000-00004E150000}"/>
    <cellStyle name="Normal 4 4 2 4 5 3 2" xfId="14862" xr:uid="{87FC7386-EA16-435A-A29C-67A042BFA5F2}"/>
    <cellStyle name="Normal 4 4 2 4 5 3 3" xfId="23296" xr:uid="{67C9346C-C2E9-4F2A-8825-A3300C6C62AC}"/>
    <cellStyle name="Normal 4 4 2 4 5 4" xfId="10644" xr:uid="{43A41AEF-BDDE-4487-B4E6-DB0D72436013}"/>
    <cellStyle name="Normal 4 4 2 4 5 5" xfId="19079" xr:uid="{4A7CDCBE-65AB-453F-BF3F-5217E65721AF}"/>
    <cellStyle name="Normal 4 4 2 4 6" xfId="2542" xr:uid="{00000000-0005-0000-0000-00004F150000}"/>
    <cellStyle name="Normal 4 4 2 4 6 2" xfId="6825" xr:uid="{00000000-0005-0000-0000-000050150000}"/>
    <cellStyle name="Normal 4 4 2 4 6 2 2" xfId="15275" xr:uid="{B792AB81-00E7-413D-8B37-E4ACE5F80086}"/>
    <cellStyle name="Normal 4 4 2 4 6 2 3" xfId="23709" xr:uid="{9F86C576-F83E-4954-B3AC-580F2170F61E}"/>
    <cellStyle name="Normal 4 4 2 4 6 3" xfId="11057" xr:uid="{27EDD15C-79E4-4161-AC26-B36A27D6C742}"/>
    <cellStyle name="Normal 4 4 2 4 6 4" xfId="19492" xr:uid="{CEB10FDD-DE7A-4A32-8BC5-CAA8CD5505A4}"/>
    <cellStyle name="Normal 4 4 2 4 7" xfId="4760" xr:uid="{00000000-0005-0000-0000-000051150000}"/>
    <cellStyle name="Normal 4 4 2 4 7 2" xfId="13210" xr:uid="{0E5C996D-0980-44A9-A19C-F93492B19005}"/>
    <cellStyle name="Normal 4 4 2 4 7 3" xfId="21644" xr:uid="{ACE4D255-696A-4C62-B0F4-FBDE22714AAC}"/>
    <cellStyle name="Normal 4 4 2 4 8" xfId="8992" xr:uid="{BA438830-D112-4296-8A92-7A89D3A1DF9E}"/>
    <cellStyle name="Normal 4 4 2 4 9" xfId="17427" xr:uid="{92CF8A76-E3B0-4E86-8A1F-34701CE5D9FC}"/>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F85F717E-1252-479D-9A21-3AABACE87470}"/>
    <cellStyle name="Normal 4 4 2 5 2 2 3" xfId="24195" xr:uid="{058DAD83-B4C0-4811-8253-64E84EA0C432}"/>
    <cellStyle name="Normal 4 4 2 5 2 3" xfId="11543" xr:uid="{06507D1E-2093-4F0E-BC64-AC83C80685E0}"/>
    <cellStyle name="Normal 4 4 2 5 2 4" xfId="19978" xr:uid="{43A76E89-AF18-40D3-9536-1C91D3E17FAA}"/>
    <cellStyle name="Normal 4 4 2 5 3" xfId="5166" xr:uid="{00000000-0005-0000-0000-000055150000}"/>
    <cellStyle name="Normal 4 4 2 5 3 2" xfId="13616" xr:uid="{9103959A-1BFF-43CE-B948-A75AFA8903BD}"/>
    <cellStyle name="Normal 4 4 2 5 3 3" xfId="22050" xr:uid="{3C1B2CC4-B5F9-4A6B-8BDC-8081550F6B35}"/>
    <cellStyle name="Normal 4 4 2 5 4" xfId="9398" xr:uid="{A6BF9A0C-8046-4BF2-9D39-9AF29D72BAA5}"/>
    <cellStyle name="Normal 4 4 2 5 5" xfId="17833" xr:uid="{F0B6466A-2445-47BD-93CD-92E340B3235A}"/>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E3553666-FAF6-40F9-BF6F-B1E413E0BB6B}"/>
    <cellStyle name="Normal 4 4 2 6 2 2 3" xfId="24608" xr:uid="{16A8C238-6B9B-41FE-A2EE-B4D532E63E91}"/>
    <cellStyle name="Normal 4 4 2 6 2 3" xfId="11956" xr:uid="{289EBBB6-2A54-431B-9BCC-493E83128A7B}"/>
    <cellStyle name="Normal 4 4 2 6 2 4" xfId="20391" xr:uid="{335A6C57-F9A3-4A83-B245-0DD8EA6C19FE}"/>
    <cellStyle name="Normal 4 4 2 6 3" xfId="5579" xr:uid="{00000000-0005-0000-0000-000059150000}"/>
    <cellStyle name="Normal 4 4 2 6 3 2" xfId="14029" xr:uid="{4551E8F5-D1CA-4048-A874-D11FEC1BFC6F}"/>
    <cellStyle name="Normal 4 4 2 6 3 3" xfId="22463" xr:uid="{524A569B-0CD5-439B-8098-A1E6CB08C4DD}"/>
    <cellStyle name="Normal 4 4 2 6 4" xfId="9811" xr:uid="{69908121-F9AE-4734-BCDC-AAA9C282F992}"/>
    <cellStyle name="Normal 4 4 2 6 5" xfId="18246" xr:uid="{CCB32902-6D22-471C-AF0E-A25B6A9F8CFE}"/>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4B81C647-372F-46D1-838E-A4E9703C517C}"/>
    <cellStyle name="Normal 4 4 2 7 2 2 3" xfId="25021" xr:uid="{4D3C605A-774B-4AEE-AE12-E07C5527B15D}"/>
    <cellStyle name="Normal 4 4 2 7 2 3" xfId="12369" xr:uid="{4B68E6FF-20BD-4D85-A08A-526D31CF7A36}"/>
    <cellStyle name="Normal 4 4 2 7 2 4" xfId="20804" xr:uid="{16B7A31C-FA5A-4924-92F8-F46D4FE74929}"/>
    <cellStyle name="Normal 4 4 2 7 3" xfId="5992" xr:uid="{00000000-0005-0000-0000-00005D150000}"/>
    <cellStyle name="Normal 4 4 2 7 3 2" xfId="14442" xr:uid="{21D2A510-1A50-46CA-BF1C-BA290ECCC5AE}"/>
    <cellStyle name="Normal 4 4 2 7 3 3" xfId="22876" xr:uid="{E800F015-C4E3-4BDB-AF9E-1B292C14D95F}"/>
    <cellStyle name="Normal 4 4 2 7 4" xfId="10224" xr:uid="{FFAEC1CB-5CC1-49A1-B95F-2DCBABD845DF}"/>
    <cellStyle name="Normal 4 4 2 7 5" xfId="18659" xr:uid="{AEF0F20F-A42F-4279-9B39-242EF154ABDB}"/>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EE1B1FC2-F3A9-43CE-9D11-96C48BDB918D}"/>
    <cellStyle name="Normal 4 4 2 8 2 2 3" xfId="25434" xr:uid="{05E12AA4-A63D-4404-9FF7-1CD3A650F969}"/>
    <cellStyle name="Normal 4 4 2 8 2 3" xfId="12782" xr:uid="{425FA774-D192-48A8-A364-00CDED67173B}"/>
    <cellStyle name="Normal 4 4 2 8 2 4" xfId="21217" xr:uid="{D0496B95-12C6-40D9-A823-69A168ADC2E8}"/>
    <cellStyle name="Normal 4 4 2 8 3" xfId="6405" xr:uid="{00000000-0005-0000-0000-000061150000}"/>
    <cellStyle name="Normal 4 4 2 8 3 2" xfId="14855" xr:uid="{F8BA8EE4-8804-434A-AEF0-A1357C4CCB54}"/>
    <cellStyle name="Normal 4 4 2 8 3 3" xfId="23289" xr:uid="{24DCE295-08C4-4C99-AF3C-EB93FCAA1710}"/>
    <cellStyle name="Normal 4 4 2 8 4" xfId="10637" xr:uid="{B3F57293-8743-4B55-B758-0069C01D21A0}"/>
    <cellStyle name="Normal 4 4 2 8 5" xfId="19072" xr:uid="{5E0D1E53-6B90-45DD-AC86-C216CEFFA67F}"/>
    <cellStyle name="Normal 4 4 2 9" xfId="2535" xr:uid="{00000000-0005-0000-0000-000062150000}"/>
    <cellStyle name="Normal 4 4 2 9 2" xfId="6818" xr:uid="{00000000-0005-0000-0000-000063150000}"/>
    <cellStyle name="Normal 4 4 2 9 2 2" xfId="15268" xr:uid="{6F602B2A-AD3D-431E-A6AA-7608E1052718}"/>
    <cellStyle name="Normal 4 4 2 9 2 3" xfId="23702" xr:uid="{6C24F2FD-E994-4322-AAB8-6E3B587ABDD0}"/>
    <cellStyle name="Normal 4 4 2 9 3" xfId="11050" xr:uid="{81EFD98E-3998-4264-B2E0-5189E9AF6984}"/>
    <cellStyle name="Normal 4 4 2 9 4" xfId="19485" xr:uid="{6EA74AB0-442A-4359-8CBA-619BCEECCCFB}"/>
    <cellStyle name="Normal 4 4 3" xfId="387" xr:uid="{00000000-0005-0000-0000-000064150000}"/>
    <cellStyle name="Normal 4 4 3 10" xfId="8993" xr:uid="{51FC54AD-70F3-4950-AA75-BB33910AD0CA}"/>
    <cellStyle name="Normal 4 4 3 11" xfId="17428" xr:uid="{CB4BA633-9145-4A24-9186-E1EC554B2308}"/>
    <cellStyle name="Normal 4 4 3 2" xfId="388" xr:uid="{00000000-0005-0000-0000-000065150000}"/>
    <cellStyle name="Normal 4 4 3 2 10" xfId="17429" xr:uid="{43E0E666-7AAA-4584-AE1B-A8E4F55B9C2E}"/>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E30A189B-446B-4DF4-A699-9EDFBA465187}"/>
    <cellStyle name="Normal 4 4 3 2 2 2 2 2 3" xfId="24205" xr:uid="{3E53ABA6-6E13-40D4-83B0-A0C67A9FEEC8}"/>
    <cellStyle name="Normal 4 4 3 2 2 2 2 3" xfId="11553" xr:uid="{3254876E-173A-4C33-8D5B-59EC332206CC}"/>
    <cellStyle name="Normal 4 4 3 2 2 2 2 4" xfId="19988" xr:uid="{2F053A99-2B05-45EB-8755-BB5FD1B5BF2D}"/>
    <cellStyle name="Normal 4 4 3 2 2 2 3" xfId="5176" xr:uid="{00000000-0005-0000-0000-00006A150000}"/>
    <cellStyle name="Normal 4 4 3 2 2 2 3 2" xfId="13626" xr:uid="{3DE36BE0-ABD0-4458-AC89-64507D05D150}"/>
    <cellStyle name="Normal 4 4 3 2 2 2 3 3" xfId="22060" xr:uid="{C9242E56-53A2-4ADB-9016-77D2210097BB}"/>
    <cellStyle name="Normal 4 4 3 2 2 2 4" xfId="9408" xr:uid="{25CF703E-FBB3-48E0-8CE9-40FC5A2391CD}"/>
    <cellStyle name="Normal 4 4 3 2 2 2 5" xfId="17843" xr:uid="{0861C9E4-52A2-4C5D-9982-3AF9E4D1E963}"/>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614E8CD7-2BD7-4541-9367-748BCC288C7D}"/>
    <cellStyle name="Normal 4 4 3 2 2 3 2 2 3" xfId="24618" xr:uid="{2A1F5435-11FC-4F10-8C13-5A5769AAFFA5}"/>
    <cellStyle name="Normal 4 4 3 2 2 3 2 3" xfId="11966" xr:uid="{1200F345-7AFD-4ABC-9C7C-526F1D6F62F1}"/>
    <cellStyle name="Normal 4 4 3 2 2 3 2 4" xfId="20401" xr:uid="{DB43CB4B-E942-476B-9E45-026E87C8E1DD}"/>
    <cellStyle name="Normal 4 4 3 2 2 3 3" xfId="5589" xr:uid="{00000000-0005-0000-0000-00006E150000}"/>
    <cellStyle name="Normal 4 4 3 2 2 3 3 2" xfId="14039" xr:uid="{81577B8A-25C0-4C13-A921-C7AD456409F3}"/>
    <cellStyle name="Normal 4 4 3 2 2 3 3 3" xfId="22473" xr:uid="{EDE6297D-FDED-4E1F-8ED4-839482F48A3E}"/>
    <cellStyle name="Normal 4 4 3 2 2 3 4" xfId="9821" xr:uid="{C7B0925A-5EA8-4F87-BA74-CB62D5D7F8A7}"/>
    <cellStyle name="Normal 4 4 3 2 2 3 5" xfId="18256" xr:uid="{9560E0E8-F403-45A9-BDA5-93A0CFBD517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59C2C85B-2277-4FB4-AFF1-01C416DBAAC2}"/>
    <cellStyle name="Normal 4 4 3 2 2 4 2 2 3" xfId="25031" xr:uid="{A0877206-1157-4772-97D6-DB74D423A45F}"/>
    <cellStyle name="Normal 4 4 3 2 2 4 2 3" xfId="12379" xr:uid="{9BC9D6AE-68BB-4403-AA5E-A11DD8917DA4}"/>
    <cellStyle name="Normal 4 4 3 2 2 4 2 4" xfId="20814" xr:uid="{81936380-8801-4D7F-8FD7-DD0FB12EEF24}"/>
    <cellStyle name="Normal 4 4 3 2 2 4 3" xfId="6002" xr:uid="{00000000-0005-0000-0000-000072150000}"/>
    <cellStyle name="Normal 4 4 3 2 2 4 3 2" xfId="14452" xr:uid="{B2181AEF-F248-4B8D-A575-61C8AEFF041B}"/>
    <cellStyle name="Normal 4 4 3 2 2 4 3 3" xfId="22886" xr:uid="{F8863712-D1C5-4A3E-AB0C-89CC5985DAAA}"/>
    <cellStyle name="Normal 4 4 3 2 2 4 4" xfId="10234" xr:uid="{B6B5DB06-DDD0-4130-A190-ACD9D0B57024}"/>
    <cellStyle name="Normal 4 4 3 2 2 4 5" xfId="18669" xr:uid="{6E54944E-71E5-49C5-9A52-653F46D6AA56}"/>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B3B44DD6-FB9C-40E9-89D8-BFAE32ED1A3D}"/>
    <cellStyle name="Normal 4 4 3 2 2 5 2 2 3" xfId="25444" xr:uid="{4EB1B2D3-03BA-4053-899B-82FF53F19781}"/>
    <cellStyle name="Normal 4 4 3 2 2 5 2 3" xfId="12792" xr:uid="{F3FF7458-0B55-4904-A79C-EA55B66976F8}"/>
    <cellStyle name="Normal 4 4 3 2 2 5 2 4" xfId="21227" xr:uid="{5DB6FF66-9653-41C9-AC5F-396B02BF8DE7}"/>
    <cellStyle name="Normal 4 4 3 2 2 5 3" xfId="6415" xr:uid="{00000000-0005-0000-0000-000076150000}"/>
    <cellStyle name="Normal 4 4 3 2 2 5 3 2" xfId="14865" xr:uid="{996C829C-5B9E-43C7-B32A-722A8DE56786}"/>
    <cellStyle name="Normal 4 4 3 2 2 5 3 3" xfId="23299" xr:uid="{0B242057-1B2D-441E-860A-128DEA8D3C1F}"/>
    <cellStyle name="Normal 4 4 3 2 2 5 4" xfId="10647" xr:uid="{ABB9269E-E79B-4123-922C-6AD25DB738F8}"/>
    <cellStyle name="Normal 4 4 3 2 2 5 5" xfId="19082" xr:uid="{821D231D-AFD5-4639-86C7-513AAB24ABF2}"/>
    <cellStyle name="Normal 4 4 3 2 2 6" xfId="2545" xr:uid="{00000000-0005-0000-0000-000077150000}"/>
    <cellStyle name="Normal 4 4 3 2 2 6 2" xfId="6828" xr:uid="{00000000-0005-0000-0000-000078150000}"/>
    <cellStyle name="Normal 4 4 3 2 2 6 2 2" xfId="15278" xr:uid="{27301B8F-53A0-4746-89AD-97A4787BBA7D}"/>
    <cellStyle name="Normal 4 4 3 2 2 6 2 3" xfId="23712" xr:uid="{8AF11214-DFBE-45CA-AA2A-5373EDDE4744}"/>
    <cellStyle name="Normal 4 4 3 2 2 6 3" xfId="11060" xr:uid="{041FF55E-4B16-40AE-AF11-4C975A1B1E43}"/>
    <cellStyle name="Normal 4 4 3 2 2 6 4" xfId="19495" xr:uid="{E1271214-F632-4F6D-B037-ACFA301E7EDB}"/>
    <cellStyle name="Normal 4 4 3 2 2 7" xfId="4763" xr:uid="{00000000-0005-0000-0000-000079150000}"/>
    <cellStyle name="Normal 4 4 3 2 2 7 2" xfId="13213" xr:uid="{F411F49A-231F-4396-8BD5-934CA5E51F45}"/>
    <cellStyle name="Normal 4 4 3 2 2 7 3" xfId="21647" xr:uid="{CAE1E298-8A11-4D21-B451-92F73728946C}"/>
    <cellStyle name="Normal 4 4 3 2 2 8" xfId="8995" xr:uid="{6A8BF1CA-A90B-463B-ADA8-FCC0E97CCA2A}"/>
    <cellStyle name="Normal 4 4 3 2 2 9" xfId="17430" xr:uid="{5B3DE0EB-91E3-4CD3-95D2-4C491355D405}"/>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464231CC-E52D-4B34-866E-1A50B1584F26}"/>
    <cellStyle name="Normal 4 4 3 2 3 2 2 3" xfId="24204" xr:uid="{39F00345-927D-422C-AE2B-9A9EC42897BB}"/>
    <cellStyle name="Normal 4 4 3 2 3 2 3" xfId="11552" xr:uid="{0EC2113D-F885-47CC-9918-10C4B3773C6E}"/>
    <cellStyle name="Normal 4 4 3 2 3 2 4" xfId="19987" xr:uid="{7AC84B3E-25EB-4D00-8B0A-1C7931E703F5}"/>
    <cellStyle name="Normal 4 4 3 2 3 3" xfId="5175" xr:uid="{00000000-0005-0000-0000-00007D150000}"/>
    <cellStyle name="Normal 4 4 3 2 3 3 2" xfId="13625" xr:uid="{0F088F30-915A-437B-8A3B-538EF4E637E7}"/>
    <cellStyle name="Normal 4 4 3 2 3 3 3" xfId="22059" xr:uid="{92C9CB9B-27CC-4C46-AA36-B94A694327DD}"/>
    <cellStyle name="Normal 4 4 3 2 3 4" xfId="9407" xr:uid="{80A5377E-D567-476A-AC25-1F2D0415A091}"/>
    <cellStyle name="Normal 4 4 3 2 3 5" xfId="17842" xr:uid="{880E610E-2F1F-4A4D-A19E-2E3267CDFC07}"/>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BA1ED723-A16C-4306-81CC-2F6F74EB58BD}"/>
    <cellStyle name="Normal 4 4 3 2 4 2 2 3" xfId="24617" xr:uid="{94844FDF-98BF-4A9F-837C-34374F8CFE9B}"/>
    <cellStyle name="Normal 4 4 3 2 4 2 3" xfId="11965" xr:uid="{86D11969-0F86-4CD0-A362-DB389D2BBCE5}"/>
    <cellStyle name="Normal 4 4 3 2 4 2 4" xfId="20400" xr:uid="{B60FDF46-AF99-4472-9417-8DDAB7F883AA}"/>
    <cellStyle name="Normal 4 4 3 2 4 3" xfId="5588" xr:uid="{00000000-0005-0000-0000-000081150000}"/>
    <cellStyle name="Normal 4 4 3 2 4 3 2" xfId="14038" xr:uid="{7A7C8468-6FCA-4076-855D-791CB122144D}"/>
    <cellStyle name="Normal 4 4 3 2 4 3 3" xfId="22472" xr:uid="{67434F8C-6E54-468D-913B-6B022C4486B6}"/>
    <cellStyle name="Normal 4 4 3 2 4 4" xfId="9820" xr:uid="{DA4E6635-A3F3-4045-A43A-40E781344361}"/>
    <cellStyle name="Normal 4 4 3 2 4 5" xfId="18255" xr:uid="{37DC1315-74F0-411B-85A3-485DF974432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6BBAE77A-FFA5-415C-BEE8-F99635BB3082}"/>
    <cellStyle name="Normal 4 4 3 2 5 2 2 3" xfId="25030" xr:uid="{A5CD04FF-7B5C-47E6-AF39-E9E5582D6498}"/>
    <cellStyle name="Normal 4 4 3 2 5 2 3" xfId="12378" xr:uid="{A11CE9DD-52D3-4E80-A965-5462E3DF7962}"/>
    <cellStyle name="Normal 4 4 3 2 5 2 4" xfId="20813" xr:uid="{DE1F2FEF-94AD-492A-92F9-2C0818104354}"/>
    <cellStyle name="Normal 4 4 3 2 5 3" xfId="6001" xr:uid="{00000000-0005-0000-0000-000085150000}"/>
    <cellStyle name="Normal 4 4 3 2 5 3 2" xfId="14451" xr:uid="{727E7CCB-7507-4DD3-99B7-5A1CCB7C1E2D}"/>
    <cellStyle name="Normal 4 4 3 2 5 3 3" xfId="22885" xr:uid="{96A0D5DB-EE99-4458-9553-653551B204B9}"/>
    <cellStyle name="Normal 4 4 3 2 5 4" xfId="10233" xr:uid="{29AFF68F-31C3-463F-BC6A-6FA6C57CEFD3}"/>
    <cellStyle name="Normal 4 4 3 2 5 5" xfId="18668" xr:uid="{A5970345-DE64-4979-BEB6-7BF0AAC3F30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2FBB46A3-09BA-413A-A37C-3C6CC619771F}"/>
    <cellStyle name="Normal 4 4 3 2 6 2 2 3" xfId="25443" xr:uid="{033DEB34-3228-4614-8461-E726D942A250}"/>
    <cellStyle name="Normal 4 4 3 2 6 2 3" xfId="12791" xr:uid="{57BB8A2C-D8E4-4CC7-B7FC-8086096E2D8A}"/>
    <cellStyle name="Normal 4 4 3 2 6 2 4" xfId="21226" xr:uid="{3402481C-E885-4F44-BF5B-B5B7544B44A0}"/>
    <cellStyle name="Normal 4 4 3 2 6 3" xfId="6414" xr:uid="{00000000-0005-0000-0000-000089150000}"/>
    <cellStyle name="Normal 4 4 3 2 6 3 2" xfId="14864" xr:uid="{69B85DDE-F2D6-44EB-B5F4-C2931033A6FC}"/>
    <cellStyle name="Normal 4 4 3 2 6 3 3" xfId="23298" xr:uid="{DFBF2666-C483-46A9-9159-FB0F9FAB7353}"/>
    <cellStyle name="Normal 4 4 3 2 6 4" xfId="10646" xr:uid="{C3563D77-6843-4A82-A5D1-BE098F8B27E8}"/>
    <cellStyle name="Normal 4 4 3 2 6 5" xfId="19081" xr:uid="{7BA2C6C7-4CCA-44E1-BBDA-902C8DE6B4C6}"/>
    <cellStyle name="Normal 4 4 3 2 7" xfId="2544" xr:uid="{00000000-0005-0000-0000-00008A150000}"/>
    <cellStyle name="Normal 4 4 3 2 7 2" xfId="6827" xr:uid="{00000000-0005-0000-0000-00008B150000}"/>
    <cellStyle name="Normal 4 4 3 2 7 2 2" xfId="15277" xr:uid="{057E071A-14B8-4D55-8D9A-FD916FD0B0B9}"/>
    <cellStyle name="Normal 4 4 3 2 7 2 3" xfId="23711" xr:uid="{2D9B425B-A642-4829-B116-7ADC620B7CB2}"/>
    <cellStyle name="Normal 4 4 3 2 7 3" xfId="11059" xr:uid="{435FFB47-4923-47D6-BC9E-8667686F0FFD}"/>
    <cellStyle name="Normal 4 4 3 2 7 4" xfId="19494" xr:uid="{7965BC7C-1554-469D-BD41-7D63BDC1206C}"/>
    <cellStyle name="Normal 4 4 3 2 8" xfId="4762" xr:uid="{00000000-0005-0000-0000-00008C150000}"/>
    <cellStyle name="Normal 4 4 3 2 8 2" xfId="13212" xr:uid="{3FCB9545-E4BC-4E0E-BF4F-8C656A2D42B6}"/>
    <cellStyle name="Normal 4 4 3 2 8 3" xfId="21646" xr:uid="{1886B467-119D-4C33-97E8-CA752776CA1E}"/>
    <cellStyle name="Normal 4 4 3 2 9" xfId="8994" xr:uid="{EE366B1F-EAC2-444C-BF5D-FC94BA769AEC}"/>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32F3391D-3EB2-430E-B8EE-88DEA24855B1}"/>
    <cellStyle name="Normal 4 4 3 3 2 2 2 3" xfId="24206" xr:uid="{685D095D-BCFA-4B7B-A5AB-E5FDD59C795D}"/>
    <cellStyle name="Normal 4 4 3 3 2 2 3" xfId="11554" xr:uid="{0363462F-40C9-49AC-8BCF-3E14A29CF3C3}"/>
    <cellStyle name="Normal 4 4 3 3 2 2 4" xfId="19989" xr:uid="{227201F4-8C71-4788-9F23-8FE578F45922}"/>
    <cellStyle name="Normal 4 4 3 3 2 3" xfId="5177" xr:uid="{00000000-0005-0000-0000-000091150000}"/>
    <cellStyle name="Normal 4 4 3 3 2 3 2" xfId="13627" xr:uid="{AE3CD974-BA0A-43F6-BEFE-8A6BA3FF6B42}"/>
    <cellStyle name="Normal 4 4 3 3 2 3 3" xfId="22061" xr:uid="{D0D893B6-D2BA-4E76-A844-332718E74D37}"/>
    <cellStyle name="Normal 4 4 3 3 2 4" xfId="9409" xr:uid="{6CB5C492-AEF6-4416-8193-F85F36D1E025}"/>
    <cellStyle name="Normal 4 4 3 3 2 5" xfId="17844" xr:uid="{0FB847BD-69D9-4C74-80CC-AA65505995F3}"/>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55A2ACBD-3EF9-41C6-8E03-F1AD39045F83}"/>
    <cellStyle name="Normal 4 4 3 3 3 2 2 3" xfId="24619" xr:uid="{F82CED50-2AB1-475B-83E4-BAB69AE46D7D}"/>
    <cellStyle name="Normal 4 4 3 3 3 2 3" xfId="11967" xr:uid="{55FB3274-8248-4B98-A6ED-6E907715F4D4}"/>
    <cellStyle name="Normal 4 4 3 3 3 2 4" xfId="20402" xr:uid="{360AF9AA-4C57-4AED-BAD0-BD671F13EA25}"/>
    <cellStyle name="Normal 4 4 3 3 3 3" xfId="5590" xr:uid="{00000000-0005-0000-0000-000095150000}"/>
    <cellStyle name="Normal 4 4 3 3 3 3 2" xfId="14040" xr:uid="{55900E1E-E461-4CF8-910B-CEA31CDE0783}"/>
    <cellStyle name="Normal 4 4 3 3 3 3 3" xfId="22474" xr:uid="{B5009DDB-006F-457F-8800-BC982DF00547}"/>
    <cellStyle name="Normal 4 4 3 3 3 4" xfId="9822" xr:uid="{885DD822-45D3-4B12-B1FD-798DAE6B8EE4}"/>
    <cellStyle name="Normal 4 4 3 3 3 5" xfId="18257" xr:uid="{8524F963-E218-4B1F-AA8C-4C448B733A8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7037150D-181D-48D4-8722-4C521CA82D66}"/>
    <cellStyle name="Normal 4 4 3 3 4 2 2 3" xfId="25032" xr:uid="{F2A8B917-B4A6-4B53-A7C2-26CE90B6A0CB}"/>
    <cellStyle name="Normal 4 4 3 3 4 2 3" xfId="12380" xr:uid="{7C4199D7-0AD5-402C-BB7F-7DD5FC13E1A9}"/>
    <cellStyle name="Normal 4 4 3 3 4 2 4" xfId="20815" xr:uid="{4C1ECADE-5997-47B5-A4BF-8E0EC5386E03}"/>
    <cellStyle name="Normal 4 4 3 3 4 3" xfId="6003" xr:uid="{00000000-0005-0000-0000-000099150000}"/>
    <cellStyle name="Normal 4 4 3 3 4 3 2" xfId="14453" xr:uid="{BFE4E079-0F0D-4517-AC78-06483685D2AD}"/>
    <cellStyle name="Normal 4 4 3 3 4 3 3" xfId="22887" xr:uid="{4B5EDC60-DE98-4968-8EDE-4CEE275EE5EA}"/>
    <cellStyle name="Normal 4 4 3 3 4 4" xfId="10235" xr:uid="{413AD0F9-4D1A-4C83-9E64-FE448997DBD3}"/>
    <cellStyle name="Normal 4 4 3 3 4 5" xfId="18670" xr:uid="{A8AEB959-9AC6-48E4-9D2A-48E392853C46}"/>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5C9A5306-421A-4136-B7DE-EAB411122907}"/>
    <cellStyle name="Normal 4 4 3 3 5 2 2 3" xfId="25445" xr:uid="{CBB1E69C-CA44-413F-B584-0F47D05EE26E}"/>
    <cellStyle name="Normal 4 4 3 3 5 2 3" xfId="12793" xr:uid="{9B2722D0-B761-4C3B-9921-A9DD04606BE1}"/>
    <cellStyle name="Normal 4 4 3 3 5 2 4" xfId="21228" xr:uid="{29A25374-13E5-463A-AF98-D1630EF5028C}"/>
    <cellStyle name="Normal 4 4 3 3 5 3" xfId="6416" xr:uid="{00000000-0005-0000-0000-00009D150000}"/>
    <cellStyle name="Normal 4 4 3 3 5 3 2" xfId="14866" xr:uid="{175B371E-E0B0-4ABD-8232-B2E26B383024}"/>
    <cellStyle name="Normal 4 4 3 3 5 3 3" xfId="23300" xr:uid="{DFE0FD1A-247E-401B-87A6-D8504BD4EB2E}"/>
    <cellStyle name="Normal 4 4 3 3 5 4" xfId="10648" xr:uid="{CCAEC5E0-FEBF-4862-85C8-3C4BB7459378}"/>
    <cellStyle name="Normal 4 4 3 3 5 5" xfId="19083" xr:uid="{BE7CFBA6-A0B2-4BBF-A2F0-D71A48FE47E7}"/>
    <cellStyle name="Normal 4 4 3 3 6" xfId="2546" xr:uid="{00000000-0005-0000-0000-00009E150000}"/>
    <cellStyle name="Normal 4 4 3 3 6 2" xfId="6829" xr:uid="{00000000-0005-0000-0000-00009F150000}"/>
    <cellStyle name="Normal 4 4 3 3 6 2 2" xfId="15279" xr:uid="{A469EEDE-8633-4113-BBA3-4ECB308827E9}"/>
    <cellStyle name="Normal 4 4 3 3 6 2 3" xfId="23713" xr:uid="{EA32C2DB-C149-4E1D-BCB8-74A5DF8E9B04}"/>
    <cellStyle name="Normal 4 4 3 3 6 3" xfId="11061" xr:uid="{8CCB3ED8-3729-46F2-8A7D-1C8E86C4996F}"/>
    <cellStyle name="Normal 4 4 3 3 6 4" xfId="19496" xr:uid="{72E02657-6AB0-4F08-AABD-C2A78670EC3D}"/>
    <cellStyle name="Normal 4 4 3 3 7" xfId="4764" xr:uid="{00000000-0005-0000-0000-0000A0150000}"/>
    <cellStyle name="Normal 4 4 3 3 7 2" xfId="13214" xr:uid="{43BFE2EC-E116-48DE-8E88-7F516960E1ED}"/>
    <cellStyle name="Normal 4 4 3 3 7 3" xfId="21648" xr:uid="{FE1ACA39-A0CA-444C-BB31-A3EDD5D072F2}"/>
    <cellStyle name="Normal 4 4 3 3 8" xfId="8996" xr:uid="{232BEAD4-3F1E-4FE6-A491-AE59CE07F965}"/>
    <cellStyle name="Normal 4 4 3 3 9" xfId="17431" xr:uid="{223DB3E7-C960-4F1B-BDC6-9D3E75552E06}"/>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0B03164D-9A0B-4C74-ACA6-48C9D704ECF2}"/>
    <cellStyle name="Normal 4 4 3 4 2 2 3" xfId="24203" xr:uid="{321B6D41-1005-4D19-902D-90EE460E396F}"/>
    <cellStyle name="Normal 4 4 3 4 2 3" xfId="11551" xr:uid="{A8EEB179-EE43-4F04-8657-F88807B7C8F9}"/>
    <cellStyle name="Normal 4 4 3 4 2 4" xfId="19986" xr:uid="{C5F038F0-1FDE-4563-82A7-5C3C2EE55045}"/>
    <cellStyle name="Normal 4 4 3 4 3" xfId="5174" xr:uid="{00000000-0005-0000-0000-0000A4150000}"/>
    <cellStyle name="Normal 4 4 3 4 3 2" xfId="13624" xr:uid="{B91B7DEA-9DF5-4F45-ACDC-27180EE1DF45}"/>
    <cellStyle name="Normal 4 4 3 4 3 3" xfId="22058" xr:uid="{32489F1B-527F-4A9F-B738-32D6D9290FA9}"/>
    <cellStyle name="Normal 4 4 3 4 4" xfId="9406" xr:uid="{82C71B33-4BA1-4D84-A0AD-62C26625CB94}"/>
    <cellStyle name="Normal 4 4 3 4 5" xfId="17841" xr:uid="{57B113FD-96D0-4520-81C6-635113B86559}"/>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97768C99-57F0-489C-8CF3-C3A19EB48B3C}"/>
    <cellStyle name="Normal 4 4 3 5 2 2 3" xfId="24616" xr:uid="{14EF0852-6138-4ED9-97C6-85F9A28CBE57}"/>
    <cellStyle name="Normal 4 4 3 5 2 3" xfId="11964" xr:uid="{B1631CBA-BB83-4FF9-A5F4-DB77A12B1DDF}"/>
    <cellStyle name="Normal 4 4 3 5 2 4" xfId="20399" xr:uid="{B5DD9066-043A-4057-BE7B-BDE5AAC22E29}"/>
    <cellStyle name="Normal 4 4 3 5 3" xfId="5587" xr:uid="{00000000-0005-0000-0000-0000A8150000}"/>
    <cellStyle name="Normal 4 4 3 5 3 2" xfId="14037" xr:uid="{CA13CD7E-3BFB-42FC-AC18-3CF49EF46DCA}"/>
    <cellStyle name="Normal 4 4 3 5 3 3" xfId="22471" xr:uid="{25496A87-98FC-41FB-8EB0-990A7F345215}"/>
    <cellStyle name="Normal 4 4 3 5 4" xfId="9819" xr:uid="{259E5107-907F-4786-A0D8-8B83AADBD306}"/>
    <cellStyle name="Normal 4 4 3 5 5" xfId="18254" xr:uid="{E8AE0AF8-0742-45CC-8A2F-009D5D68FECA}"/>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27893ECB-7CAE-4E37-8F77-0B3C40237748}"/>
    <cellStyle name="Normal 4 4 3 6 2 2 3" xfId="25029" xr:uid="{7A696295-7BF5-4414-802B-176A1CAD773D}"/>
    <cellStyle name="Normal 4 4 3 6 2 3" xfId="12377" xr:uid="{61462AB8-54D1-481F-8D7F-E5979D21D4BC}"/>
    <cellStyle name="Normal 4 4 3 6 2 4" xfId="20812" xr:uid="{CB83A0E8-A8D5-4ACD-98AF-C400038D6749}"/>
    <cellStyle name="Normal 4 4 3 6 3" xfId="6000" xr:uid="{00000000-0005-0000-0000-0000AC150000}"/>
    <cellStyle name="Normal 4 4 3 6 3 2" xfId="14450" xr:uid="{62EAEEDD-649C-46C1-8CF9-2F7C42800C2F}"/>
    <cellStyle name="Normal 4 4 3 6 3 3" xfId="22884" xr:uid="{D3716476-29F7-4D5A-AB58-ACD556298E90}"/>
    <cellStyle name="Normal 4 4 3 6 4" xfId="10232" xr:uid="{01790F6C-E5A1-4CEE-9F88-2D9C1D00AD73}"/>
    <cellStyle name="Normal 4 4 3 6 5" xfId="18667" xr:uid="{7512CC54-64B0-4B4F-94D2-9E59FD00EC78}"/>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8989E9CA-ED72-48EC-870F-B471A0AAE894}"/>
    <cellStyle name="Normal 4 4 3 7 2 2 3" xfId="25442" xr:uid="{6FB3B158-E9A3-49C3-B89C-E2517D36B4D9}"/>
    <cellStyle name="Normal 4 4 3 7 2 3" xfId="12790" xr:uid="{9A0C4885-D64E-45CC-9C57-9F18298FB405}"/>
    <cellStyle name="Normal 4 4 3 7 2 4" xfId="21225" xr:uid="{3F0CBE46-B726-40F5-8AD4-45F17C23D8B3}"/>
    <cellStyle name="Normal 4 4 3 7 3" xfId="6413" xr:uid="{00000000-0005-0000-0000-0000B0150000}"/>
    <cellStyle name="Normal 4 4 3 7 3 2" xfId="14863" xr:uid="{3489B065-B49E-4B41-B8B6-716D97359C4E}"/>
    <cellStyle name="Normal 4 4 3 7 3 3" xfId="23297" xr:uid="{F52DD517-11E3-44B1-8EED-18458F119BE8}"/>
    <cellStyle name="Normal 4 4 3 7 4" xfId="10645" xr:uid="{7C6B312E-E969-42B4-94F8-F17E865BB8F4}"/>
    <cellStyle name="Normal 4 4 3 7 5" xfId="19080" xr:uid="{D2D6C604-6B73-4ABB-933E-05F94BBFA50B}"/>
    <cellStyle name="Normal 4 4 3 8" xfId="2543" xr:uid="{00000000-0005-0000-0000-0000B1150000}"/>
    <cellStyle name="Normal 4 4 3 8 2" xfId="6826" xr:uid="{00000000-0005-0000-0000-0000B2150000}"/>
    <cellStyle name="Normal 4 4 3 8 2 2" xfId="15276" xr:uid="{0E86138E-52A0-47A4-A95F-6552A33C9FC8}"/>
    <cellStyle name="Normal 4 4 3 8 2 3" xfId="23710" xr:uid="{C22BDBE7-8955-495A-B377-F952CE2F2FB5}"/>
    <cellStyle name="Normal 4 4 3 8 3" xfId="11058" xr:uid="{73523408-1D47-45E5-B3CD-3A253FD53242}"/>
    <cellStyle name="Normal 4 4 3 8 4" xfId="19493" xr:uid="{748F8244-E892-4BD6-A155-7B564176D4BF}"/>
    <cellStyle name="Normal 4 4 3 9" xfId="4761" xr:uid="{00000000-0005-0000-0000-0000B3150000}"/>
    <cellStyle name="Normal 4 4 3 9 2" xfId="13211" xr:uid="{4356CE28-E2BA-45B6-A786-CFBDD7BD9444}"/>
    <cellStyle name="Normal 4 4 3 9 3" xfId="21645" xr:uid="{B2647F05-D569-44A1-92B8-75A5A8EFF18B}"/>
    <cellStyle name="Normal 4 4 4" xfId="391" xr:uid="{00000000-0005-0000-0000-0000B4150000}"/>
    <cellStyle name="Normal 4 4 4 10" xfId="17432" xr:uid="{CC779AEB-7885-43BD-A9AC-B62AE3C2F76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E926518C-47F1-4032-8D27-2848D899BD49}"/>
    <cellStyle name="Normal 4 4 4 2 2 2 2 3" xfId="24208" xr:uid="{372D1D7F-790D-4BDE-B427-F5E359BD8F12}"/>
    <cellStyle name="Normal 4 4 4 2 2 2 3" xfId="11556" xr:uid="{D97827D4-A678-462D-9743-CC92F1C0514E}"/>
    <cellStyle name="Normal 4 4 4 2 2 2 4" xfId="19991" xr:uid="{51CD53D8-8639-4CA3-AFCE-99F362D545C5}"/>
    <cellStyle name="Normal 4 4 4 2 2 3" xfId="5179" xr:uid="{00000000-0005-0000-0000-0000B9150000}"/>
    <cellStyle name="Normal 4 4 4 2 2 3 2" xfId="13629" xr:uid="{BE625B48-9406-44C7-8238-9C333B5D300F}"/>
    <cellStyle name="Normal 4 4 4 2 2 3 3" xfId="22063" xr:uid="{864EAE5D-6FB4-47D3-9EB1-9128DA397A0F}"/>
    <cellStyle name="Normal 4 4 4 2 2 4" xfId="9411" xr:uid="{045396F6-51D7-4790-B20A-9179E2CE147B}"/>
    <cellStyle name="Normal 4 4 4 2 2 5" xfId="17846" xr:uid="{AD318A5A-16D9-42CD-9C5E-C1139FB76BF5}"/>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6BE293A4-B20E-4568-917A-E3CD862D6429}"/>
    <cellStyle name="Normal 4 4 4 2 3 2 2 3" xfId="24621" xr:uid="{E062464A-A78C-47C1-A153-5CC40155964B}"/>
    <cellStyle name="Normal 4 4 4 2 3 2 3" xfId="11969" xr:uid="{5C4D55A4-B140-46EF-9ED6-552A8B8F9247}"/>
    <cellStyle name="Normal 4 4 4 2 3 2 4" xfId="20404" xr:uid="{4449DDDF-CC81-4080-80F3-5B03716BEC2E}"/>
    <cellStyle name="Normal 4 4 4 2 3 3" xfId="5592" xr:uid="{00000000-0005-0000-0000-0000BD150000}"/>
    <cellStyle name="Normal 4 4 4 2 3 3 2" xfId="14042" xr:uid="{9CBD776D-1FEB-4694-82A0-D5AAAB8F9798}"/>
    <cellStyle name="Normal 4 4 4 2 3 3 3" xfId="22476" xr:uid="{34C35CDA-C5A2-44B5-B083-C3D1C6262B02}"/>
    <cellStyle name="Normal 4 4 4 2 3 4" xfId="9824" xr:uid="{875DF88B-6FF0-4902-9955-25348B1BC536}"/>
    <cellStyle name="Normal 4 4 4 2 3 5" xfId="18259" xr:uid="{7DC688F7-AD85-4BF0-8C74-ECCB0DE497A4}"/>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7E9D75E5-BF62-45FC-BA75-74FD249ED7FA}"/>
    <cellStyle name="Normal 4 4 4 2 4 2 2 3" xfId="25034" xr:uid="{85443671-CB5E-49F4-9246-56CAFE6DB40F}"/>
    <cellStyle name="Normal 4 4 4 2 4 2 3" xfId="12382" xr:uid="{33CDF3CD-C02C-42F1-B1FF-1F1A04EF755D}"/>
    <cellStyle name="Normal 4 4 4 2 4 2 4" xfId="20817" xr:uid="{F0E64066-5F52-4003-8EAB-A658F1E8164B}"/>
    <cellStyle name="Normal 4 4 4 2 4 3" xfId="6005" xr:uid="{00000000-0005-0000-0000-0000C1150000}"/>
    <cellStyle name="Normal 4 4 4 2 4 3 2" xfId="14455" xr:uid="{744F7D4A-EC3E-4ACB-A6A2-EDA15DFDCEA9}"/>
    <cellStyle name="Normal 4 4 4 2 4 3 3" xfId="22889" xr:uid="{C743350C-6E9A-4FFF-846A-6192680A3990}"/>
    <cellStyle name="Normal 4 4 4 2 4 4" xfId="10237" xr:uid="{93D2BCE7-02D7-410E-9ED8-CC23CEE1C338}"/>
    <cellStyle name="Normal 4 4 4 2 4 5" xfId="18672" xr:uid="{EAB8DFC1-45E1-4CCD-8F98-5A71EBCA7213}"/>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3A324712-8365-4ECD-8603-A5FD4FC75041}"/>
    <cellStyle name="Normal 4 4 4 2 5 2 2 3" xfId="25447" xr:uid="{10035F4F-3B38-40C0-BE64-BBE2362DB4DE}"/>
    <cellStyle name="Normal 4 4 4 2 5 2 3" xfId="12795" xr:uid="{0E586705-ADA7-4C7A-B847-16FB603230F3}"/>
    <cellStyle name="Normal 4 4 4 2 5 2 4" xfId="21230" xr:uid="{C59AA273-1CA0-4D52-892E-6E70E0FBE9D5}"/>
    <cellStyle name="Normal 4 4 4 2 5 3" xfId="6418" xr:uid="{00000000-0005-0000-0000-0000C5150000}"/>
    <cellStyle name="Normal 4 4 4 2 5 3 2" xfId="14868" xr:uid="{7B368EAF-6C8A-4E51-A072-99680CD85139}"/>
    <cellStyle name="Normal 4 4 4 2 5 3 3" xfId="23302" xr:uid="{4444A108-4629-435D-95C8-9E8D091BA502}"/>
    <cellStyle name="Normal 4 4 4 2 5 4" xfId="10650" xr:uid="{03F94E4F-99C5-4EA8-9758-8151DDE38CDA}"/>
    <cellStyle name="Normal 4 4 4 2 5 5" xfId="19085" xr:uid="{DCCFC357-F45B-41E8-AD23-CB7B20B02FB4}"/>
    <cellStyle name="Normal 4 4 4 2 6" xfId="2548" xr:uid="{00000000-0005-0000-0000-0000C6150000}"/>
    <cellStyle name="Normal 4 4 4 2 6 2" xfId="6831" xr:uid="{00000000-0005-0000-0000-0000C7150000}"/>
    <cellStyle name="Normal 4 4 4 2 6 2 2" xfId="15281" xr:uid="{A95ED437-D8BB-46DD-9CDE-510F5F6423B1}"/>
    <cellStyle name="Normal 4 4 4 2 6 2 3" xfId="23715" xr:uid="{136B54FF-F022-4872-B18B-6C86E570517C}"/>
    <cellStyle name="Normal 4 4 4 2 6 3" xfId="11063" xr:uid="{246DEAFF-054D-4867-834A-CB9CEF55FD4D}"/>
    <cellStyle name="Normal 4 4 4 2 6 4" xfId="19498" xr:uid="{B985B628-F3D1-44A5-B6EE-2B9D75F0EF0B}"/>
    <cellStyle name="Normal 4 4 4 2 7" xfId="4766" xr:uid="{00000000-0005-0000-0000-0000C8150000}"/>
    <cellStyle name="Normal 4 4 4 2 7 2" xfId="13216" xr:uid="{4C3BD2BE-F48C-4B99-85C1-E646BCCF855B}"/>
    <cellStyle name="Normal 4 4 4 2 7 3" xfId="21650" xr:uid="{5C062DDB-504C-4B25-BFE0-1E3A9612A189}"/>
    <cellStyle name="Normal 4 4 4 2 8" xfId="8998" xr:uid="{7758637D-AD35-45F5-A009-2746D5DD083A}"/>
    <cellStyle name="Normal 4 4 4 2 9" xfId="17433" xr:uid="{5A399091-B038-45D9-874E-433544D77A37}"/>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1393DD43-BA20-4545-9FE3-00D12E8AFC80}"/>
    <cellStyle name="Normal 4 4 4 3 2 2 3" xfId="24207" xr:uid="{9CBB46B2-68E7-40F3-9883-CE498E34A494}"/>
    <cellStyle name="Normal 4 4 4 3 2 3" xfId="11555" xr:uid="{43BAB662-90A1-48B9-AFA1-5DE6B8F04F93}"/>
    <cellStyle name="Normal 4 4 4 3 2 4" xfId="19990" xr:uid="{AE222850-6623-498D-9D7E-5796D9EFE275}"/>
    <cellStyle name="Normal 4 4 4 3 3" xfId="5178" xr:uid="{00000000-0005-0000-0000-0000CC150000}"/>
    <cellStyle name="Normal 4 4 4 3 3 2" xfId="13628" xr:uid="{FEC1E38A-00C9-4379-97AE-C2443E9E2906}"/>
    <cellStyle name="Normal 4 4 4 3 3 3" xfId="22062" xr:uid="{B04CD3C7-7C57-447D-BBE3-C104D4DF6510}"/>
    <cellStyle name="Normal 4 4 4 3 4" xfId="9410" xr:uid="{ED5D1EEE-B4D7-48AF-9C5E-B223A5272AC3}"/>
    <cellStyle name="Normal 4 4 4 3 5" xfId="17845" xr:uid="{FE7DB04B-315D-4798-B796-BAF8CE024313}"/>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2D7A40D6-5D92-4C7E-96AE-674CF72703E3}"/>
    <cellStyle name="Normal 4 4 4 4 2 2 3" xfId="24620" xr:uid="{3B04A225-5770-45C2-BA0A-164938B30F00}"/>
    <cellStyle name="Normal 4 4 4 4 2 3" xfId="11968" xr:uid="{D427CA47-7E07-44B4-8F2F-3AADE02E8739}"/>
    <cellStyle name="Normal 4 4 4 4 2 4" xfId="20403" xr:uid="{0978A7F3-F0F6-468F-9A47-1BE3D88D3160}"/>
    <cellStyle name="Normal 4 4 4 4 3" xfId="5591" xr:uid="{00000000-0005-0000-0000-0000D0150000}"/>
    <cellStyle name="Normal 4 4 4 4 3 2" xfId="14041" xr:uid="{5AF95DC1-2BB5-47A9-AF4C-0676161764B1}"/>
    <cellStyle name="Normal 4 4 4 4 3 3" xfId="22475" xr:uid="{CDA1CDC2-199A-4E2A-86FD-AF9CA5B0C79A}"/>
    <cellStyle name="Normal 4 4 4 4 4" xfId="9823" xr:uid="{29ED055A-83ED-41B0-B74B-9E30B48200D3}"/>
    <cellStyle name="Normal 4 4 4 4 5" xfId="18258" xr:uid="{A641B02C-9642-4B60-977A-E41FEC1EFE4D}"/>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1A78E6E5-78C6-4DBA-9273-8755E7CDCAA2}"/>
    <cellStyle name="Normal 4 4 4 5 2 2 3" xfId="25033" xr:uid="{4CD5A268-1D52-49C5-9B50-0CA574EDFD5B}"/>
    <cellStyle name="Normal 4 4 4 5 2 3" xfId="12381" xr:uid="{8EC97015-14DE-420C-98BE-CC995C1AE421}"/>
    <cellStyle name="Normal 4 4 4 5 2 4" xfId="20816" xr:uid="{9886F6D1-7C1D-4DB8-A2A8-E789866BFE0E}"/>
    <cellStyle name="Normal 4 4 4 5 3" xfId="6004" xr:uid="{00000000-0005-0000-0000-0000D4150000}"/>
    <cellStyle name="Normal 4 4 4 5 3 2" xfId="14454" xr:uid="{145CDD47-6CB1-4CAA-8966-1B39256860AD}"/>
    <cellStyle name="Normal 4 4 4 5 3 3" xfId="22888" xr:uid="{8EA874F2-FA59-4D5E-98F9-2E23485657DD}"/>
    <cellStyle name="Normal 4 4 4 5 4" xfId="10236" xr:uid="{CBDB492C-57D8-43CE-B7FD-86A8AC407D59}"/>
    <cellStyle name="Normal 4 4 4 5 5" xfId="18671" xr:uid="{9D45CACA-74AE-47DD-8F3E-ADC96219640F}"/>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795C039D-F9D5-4C50-8B58-55E6B4F42CEA}"/>
    <cellStyle name="Normal 4 4 4 6 2 2 3" xfId="25446" xr:uid="{AAC3A4E0-1B7F-4F08-9F61-43CA43A60020}"/>
    <cellStyle name="Normal 4 4 4 6 2 3" xfId="12794" xr:uid="{CE259A76-CAC1-4CE6-B83B-05A45D9AD2C9}"/>
    <cellStyle name="Normal 4 4 4 6 2 4" xfId="21229" xr:uid="{156F25B1-3766-4DB2-8345-96275D6ADD2E}"/>
    <cellStyle name="Normal 4 4 4 6 3" xfId="6417" xr:uid="{00000000-0005-0000-0000-0000D8150000}"/>
    <cellStyle name="Normal 4 4 4 6 3 2" xfId="14867" xr:uid="{5BDE4E93-D09B-4FEC-94AB-C6205F05D65A}"/>
    <cellStyle name="Normal 4 4 4 6 3 3" xfId="23301" xr:uid="{2FBCE747-4332-4425-98D1-869C1994F287}"/>
    <cellStyle name="Normal 4 4 4 6 4" xfId="10649" xr:uid="{D53543F4-9460-4D04-B1F4-DB7F36A50758}"/>
    <cellStyle name="Normal 4 4 4 6 5" xfId="19084" xr:uid="{7E46D7DF-003B-4102-8F6D-99157D084AD8}"/>
    <cellStyle name="Normal 4 4 4 7" xfId="2547" xr:uid="{00000000-0005-0000-0000-0000D9150000}"/>
    <cellStyle name="Normal 4 4 4 7 2" xfId="6830" xr:uid="{00000000-0005-0000-0000-0000DA150000}"/>
    <cellStyle name="Normal 4 4 4 7 2 2" xfId="15280" xr:uid="{A7ECAD3E-7870-4544-84F8-56996F743C83}"/>
    <cellStyle name="Normal 4 4 4 7 2 3" xfId="23714" xr:uid="{B0C6F30C-F287-4FBD-A699-994BF9EF0773}"/>
    <cellStyle name="Normal 4 4 4 7 3" xfId="11062" xr:uid="{9D64C6C6-66D7-45F4-9920-2636EDAA32BD}"/>
    <cellStyle name="Normal 4 4 4 7 4" xfId="19497" xr:uid="{95A13DE5-5DA8-467D-9D55-98C802036D2B}"/>
    <cellStyle name="Normal 4 4 4 8" xfId="4765" xr:uid="{00000000-0005-0000-0000-0000DB150000}"/>
    <cellStyle name="Normal 4 4 4 8 2" xfId="13215" xr:uid="{FE72DD58-754A-42B2-B88A-DBCA8491B94B}"/>
    <cellStyle name="Normal 4 4 4 8 3" xfId="21649" xr:uid="{606FD5A5-6425-4A89-80E8-DD23874F9CD4}"/>
    <cellStyle name="Normal 4 4 4 9" xfId="8997" xr:uid="{DCE0DD82-ABBA-4821-8A40-C04BB92D0E7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3293F265-7CD2-4678-86D0-82A0B24CD296}"/>
    <cellStyle name="Normal 4 4 5 2 2 2 3" xfId="24209" xr:uid="{F638FE9F-D6ED-429D-BFE7-A0091BB8B14E}"/>
    <cellStyle name="Normal 4 4 5 2 2 3" xfId="11557" xr:uid="{9DE94FE0-DC4A-45FE-860F-6AA7196F4A19}"/>
    <cellStyle name="Normal 4 4 5 2 2 4" xfId="19992" xr:uid="{7BD6B6CA-4761-4D1C-9F27-AD188D7C7B44}"/>
    <cellStyle name="Normal 4 4 5 2 3" xfId="5180" xr:uid="{00000000-0005-0000-0000-0000E0150000}"/>
    <cellStyle name="Normal 4 4 5 2 3 2" xfId="13630" xr:uid="{282E2838-D9DB-4E8A-BB81-B40CBCC06A74}"/>
    <cellStyle name="Normal 4 4 5 2 3 3" xfId="22064" xr:uid="{41919A97-7EAE-4656-97E8-692F519DFBEF}"/>
    <cellStyle name="Normal 4 4 5 2 4" xfId="9412" xr:uid="{9685E725-17A8-4474-A252-30A27D662552}"/>
    <cellStyle name="Normal 4 4 5 2 5" xfId="17847" xr:uid="{E95FD903-48C9-430F-8BF8-FBA3AAE6FC8E}"/>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4902EFA3-F55B-4653-B106-48FCA3E107F8}"/>
    <cellStyle name="Normal 4 4 5 3 2 2 3" xfId="24622" xr:uid="{F0615E68-E4BA-44B3-96C8-FD7EC9EDFDA4}"/>
    <cellStyle name="Normal 4 4 5 3 2 3" xfId="11970" xr:uid="{8BD8BAA3-1729-4FB8-A40A-42C84EA7DD26}"/>
    <cellStyle name="Normal 4 4 5 3 2 4" xfId="20405" xr:uid="{0C18597B-3AAC-40B8-8139-59374E1E40D8}"/>
    <cellStyle name="Normal 4 4 5 3 3" xfId="5593" xr:uid="{00000000-0005-0000-0000-0000E4150000}"/>
    <cellStyle name="Normal 4 4 5 3 3 2" xfId="14043" xr:uid="{51AC05C7-9F19-43A2-8646-59A808116687}"/>
    <cellStyle name="Normal 4 4 5 3 3 3" xfId="22477" xr:uid="{F834FDAE-9894-4196-B769-B0631E784715}"/>
    <cellStyle name="Normal 4 4 5 3 4" xfId="9825" xr:uid="{3258BBDD-5ECB-456D-8384-C8050CE3C065}"/>
    <cellStyle name="Normal 4 4 5 3 5" xfId="18260" xr:uid="{8E9ADEC3-C3AC-4BB7-8FE5-1D91F1390025}"/>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49F7BD98-0A69-418B-B1C6-022114464930}"/>
    <cellStyle name="Normal 4 4 5 4 2 2 3" xfId="25035" xr:uid="{2A0FEEA5-726C-49BC-B93B-6E51826862A7}"/>
    <cellStyle name="Normal 4 4 5 4 2 3" xfId="12383" xr:uid="{8143FF4F-9D44-4802-86FA-93C708796410}"/>
    <cellStyle name="Normal 4 4 5 4 2 4" xfId="20818" xr:uid="{98ECD226-5051-4A32-AFC6-3795A813F408}"/>
    <cellStyle name="Normal 4 4 5 4 3" xfId="6006" xr:uid="{00000000-0005-0000-0000-0000E8150000}"/>
    <cellStyle name="Normal 4 4 5 4 3 2" xfId="14456" xr:uid="{BED99F7F-9AAE-4A47-9463-0B5193DB5AD9}"/>
    <cellStyle name="Normal 4 4 5 4 3 3" xfId="22890" xr:uid="{021A78A8-1D46-4FB4-ADBE-C16FBB8ABB04}"/>
    <cellStyle name="Normal 4 4 5 4 4" xfId="10238" xr:uid="{A169E729-A17C-4121-8918-B474890634B2}"/>
    <cellStyle name="Normal 4 4 5 4 5" xfId="18673" xr:uid="{1896C684-84BF-410F-9CDD-7432E1737126}"/>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6B617854-A580-426D-9DE4-DBA5C2E18498}"/>
    <cellStyle name="Normal 4 4 5 5 2 2 3" xfId="25448" xr:uid="{129D9ED8-9708-44DD-8C86-686F263DD0B9}"/>
    <cellStyle name="Normal 4 4 5 5 2 3" xfId="12796" xr:uid="{BB17DD0A-51EB-49E3-9547-2416EC2C328A}"/>
    <cellStyle name="Normal 4 4 5 5 2 4" xfId="21231" xr:uid="{54642ADE-D41F-4FEC-856F-B03CC14EA3AD}"/>
    <cellStyle name="Normal 4 4 5 5 3" xfId="6419" xr:uid="{00000000-0005-0000-0000-0000EC150000}"/>
    <cellStyle name="Normal 4 4 5 5 3 2" xfId="14869" xr:uid="{83A19D51-6D5F-4B12-AE13-413B88463AD1}"/>
    <cellStyle name="Normal 4 4 5 5 3 3" xfId="23303" xr:uid="{AE0B7821-A591-4787-B80F-0EC7132C2EE1}"/>
    <cellStyle name="Normal 4 4 5 5 4" xfId="10651" xr:uid="{6F34CBCD-59EE-42E0-8F8C-696A1B0CB6B3}"/>
    <cellStyle name="Normal 4 4 5 5 5" xfId="19086" xr:uid="{4D4D7B5A-20ED-424B-A5D1-DAFB99CBF231}"/>
    <cellStyle name="Normal 4 4 5 6" xfId="2549" xr:uid="{00000000-0005-0000-0000-0000ED150000}"/>
    <cellStyle name="Normal 4 4 5 6 2" xfId="6832" xr:uid="{00000000-0005-0000-0000-0000EE150000}"/>
    <cellStyle name="Normal 4 4 5 6 2 2" xfId="15282" xr:uid="{588DB421-FB43-43DB-B57B-01ACB9EDC174}"/>
    <cellStyle name="Normal 4 4 5 6 2 3" xfId="23716" xr:uid="{CD3581A1-78E4-4C29-BF56-38AEF6CA3502}"/>
    <cellStyle name="Normal 4 4 5 6 3" xfId="11064" xr:uid="{8D103DEA-47BC-4241-B531-9D9C2B0F57EB}"/>
    <cellStyle name="Normal 4 4 5 6 4" xfId="19499" xr:uid="{B3282E91-56BB-4DD7-989E-A42B9929373F}"/>
    <cellStyle name="Normal 4 4 5 7" xfId="4767" xr:uid="{00000000-0005-0000-0000-0000EF150000}"/>
    <cellStyle name="Normal 4 4 5 7 2" xfId="13217" xr:uid="{4C329A00-292C-4875-BACF-7391659C88F3}"/>
    <cellStyle name="Normal 4 4 5 7 3" xfId="21651" xr:uid="{3206D3DC-1ACC-4A7B-AA9A-8DACAAC52F9A}"/>
    <cellStyle name="Normal 4 4 5 8" xfId="8999" xr:uid="{33C7F1E5-BD0A-4578-A23C-247173D4FE32}"/>
    <cellStyle name="Normal 4 4 5 9" xfId="17434" xr:uid="{5B841BA7-9B30-4409-A7B5-EAB05EB506FE}"/>
    <cellStyle name="Normal 4 4 6" xfId="853" xr:uid="{00000000-0005-0000-0000-0000F0150000}"/>
    <cellStyle name="Normal 4 4 6 2" xfId="3088" xr:uid="{00000000-0005-0000-0000-0000F1150000}"/>
    <cellStyle name="Normal 4 4 6 2 2" xfId="7310" xr:uid="{00000000-0005-0000-0000-0000F2150000}"/>
    <cellStyle name="Normal 4 4 6 2 2 2" xfId="15760" xr:uid="{CEA526CE-A598-45BE-B987-6CEDED062F49}"/>
    <cellStyle name="Normal 4 4 6 2 2 3" xfId="24194" xr:uid="{5FFB7B19-B8DF-450D-BC4F-4B5BA99BA573}"/>
    <cellStyle name="Normal 4 4 6 2 3" xfId="11542" xr:uid="{40AC3174-4464-48F3-9C7F-3DE4A3A3C5AD}"/>
    <cellStyle name="Normal 4 4 6 2 4" xfId="19977" xr:uid="{25DB594D-96AD-44C9-9288-7BBBCAD9B069}"/>
    <cellStyle name="Normal 4 4 6 3" xfId="5165" xr:uid="{00000000-0005-0000-0000-0000F3150000}"/>
    <cellStyle name="Normal 4 4 6 3 2" xfId="13615" xr:uid="{4FECB0B1-F85F-475D-B4B3-9F3BE84880ED}"/>
    <cellStyle name="Normal 4 4 6 3 3" xfId="22049" xr:uid="{BDA5C0B2-E863-4E73-B186-9751CA85FF20}"/>
    <cellStyle name="Normal 4 4 6 4" xfId="9397" xr:uid="{4361B8C3-6155-49FC-9678-10A5FDCF56A4}"/>
    <cellStyle name="Normal 4 4 6 5" xfId="17832" xr:uid="{B9F90F4D-53EF-4783-9DF3-B56412F961C7}"/>
    <cellStyle name="Normal 4 4 7" xfId="1271" xr:uid="{00000000-0005-0000-0000-0000F4150000}"/>
    <cellStyle name="Normal 4 4 7 2" xfId="3501" xr:uid="{00000000-0005-0000-0000-0000F5150000}"/>
    <cellStyle name="Normal 4 4 7 2 2" xfId="7723" xr:uid="{00000000-0005-0000-0000-0000F6150000}"/>
    <cellStyle name="Normal 4 4 7 2 2 2" xfId="16173" xr:uid="{12AC6B0C-09BD-4378-BA49-CDC9BA85599D}"/>
    <cellStyle name="Normal 4 4 7 2 2 3" xfId="24607" xr:uid="{CEDC27DC-3033-4FC4-B355-F770F5DEF974}"/>
    <cellStyle name="Normal 4 4 7 2 3" xfId="11955" xr:uid="{51CB1285-BDF9-45CB-9186-3FDC23E657B6}"/>
    <cellStyle name="Normal 4 4 7 2 4" xfId="20390" xr:uid="{FA5F46D8-F233-472A-8CA8-59D434926F91}"/>
    <cellStyle name="Normal 4 4 7 3" xfId="5578" xr:uid="{00000000-0005-0000-0000-0000F7150000}"/>
    <cellStyle name="Normal 4 4 7 3 2" xfId="14028" xr:uid="{CAE988A7-9EDC-467B-93FA-1F4DD83BE693}"/>
    <cellStyle name="Normal 4 4 7 3 3" xfId="22462" xr:uid="{8DBEFB9B-11EE-457B-BAB9-2B29CB0CA452}"/>
    <cellStyle name="Normal 4 4 7 4" xfId="9810" xr:uid="{3B19BCB0-0E71-4464-95BD-E7B133A26E53}"/>
    <cellStyle name="Normal 4 4 7 5" xfId="18245" xr:uid="{06BEFE64-67C3-4408-91C7-C053607A3D52}"/>
    <cellStyle name="Normal 4 4 8" xfId="1684" xr:uid="{00000000-0005-0000-0000-0000F8150000}"/>
    <cellStyle name="Normal 4 4 8 2" xfId="3914" xr:uid="{00000000-0005-0000-0000-0000F9150000}"/>
    <cellStyle name="Normal 4 4 8 2 2" xfId="8136" xr:uid="{00000000-0005-0000-0000-0000FA150000}"/>
    <cellStyle name="Normal 4 4 8 2 2 2" xfId="16586" xr:uid="{BDF636E1-1C23-41B9-9969-F668336F5E55}"/>
    <cellStyle name="Normal 4 4 8 2 2 3" xfId="25020" xr:uid="{3161AEDB-CC44-49C1-A3DA-D45F5000535F}"/>
    <cellStyle name="Normal 4 4 8 2 3" xfId="12368" xr:uid="{E4EEE00D-8956-42FA-B428-3F230831C286}"/>
    <cellStyle name="Normal 4 4 8 2 4" xfId="20803" xr:uid="{3EC58B68-A39D-41D4-ABCD-4D7427D54E04}"/>
    <cellStyle name="Normal 4 4 8 3" xfId="5991" xr:uid="{00000000-0005-0000-0000-0000FB150000}"/>
    <cellStyle name="Normal 4 4 8 3 2" xfId="14441" xr:uid="{4D22414A-EC2F-40C9-8785-FAB8FA68491E}"/>
    <cellStyle name="Normal 4 4 8 3 3" xfId="22875" xr:uid="{3B2C57D1-3286-4BDD-AF67-EF8F9346E387}"/>
    <cellStyle name="Normal 4 4 8 4" xfId="10223" xr:uid="{4BE30CF2-F626-469D-AA52-5595A8621A64}"/>
    <cellStyle name="Normal 4 4 8 5" xfId="18658" xr:uid="{7B0B2AA8-B78D-412C-B60A-1A107B7636A7}"/>
    <cellStyle name="Normal 4 4 9" xfId="2098" xr:uid="{00000000-0005-0000-0000-0000FC150000}"/>
    <cellStyle name="Normal 4 4 9 2" xfId="4327" xr:uid="{00000000-0005-0000-0000-0000FD150000}"/>
    <cellStyle name="Normal 4 4 9 2 2" xfId="8549" xr:uid="{00000000-0005-0000-0000-0000FE150000}"/>
    <cellStyle name="Normal 4 4 9 2 2 2" xfId="16999" xr:uid="{479A3303-4AFE-4B83-9652-72BE44B3ABAD}"/>
    <cellStyle name="Normal 4 4 9 2 2 3" xfId="25433" xr:uid="{C417183B-37EA-4414-AF3C-F262060CF9B1}"/>
    <cellStyle name="Normal 4 4 9 2 3" xfId="12781" xr:uid="{D84F3BB8-0676-4677-9D5D-C871C9C65290}"/>
    <cellStyle name="Normal 4 4 9 2 4" xfId="21216" xr:uid="{35655C1B-5937-4A03-B14F-F41A66B605DC}"/>
    <cellStyle name="Normal 4 4 9 3" xfId="6404" xr:uid="{00000000-0005-0000-0000-0000FF150000}"/>
    <cellStyle name="Normal 4 4 9 3 2" xfId="14854" xr:uid="{772637AD-BC21-4BBB-8674-F321B68C51B4}"/>
    <cellStyle name="Normal 4 4 9 3 3" xfId="23288" xr:uid="{4FC03C43-F6B3-44B4-8219-9407CB8FD3A3}"/>
    <cellStyle name="Normal 4 4 9 4" xfId="10636" xr:uid="{1933F610-DDED-46AA-B8B8-340A90A006EA}"/>
    <cellStyle name="Normal 4 4 9 5" xfId="19071" xr:uid="{0191F01D-3E7A-4AB8-99C2-46EA3F54D92E}"/>
    <cellStyle name="Normal 4 5" xfId="394" xr:uid="{00000000-0005-0000-0000-000000160000}"/>
    <cellStyle name="Normal 4 6" xfId="395" xr:uid="{00000000-0005-0000-0000-000001160000}"/>
    <cellStyle name="Normal 4 6 10" xfId="4768" xr:uid="{00000000-0005-0000-0000-000002160000}"/>
    <cellStyle name="Normal 4 6 10 2" xfId="13218" xr:uid="{5F9C3DB3-EFD6-429D-8F5C-189AAA87614B}"/>
    <cellStyle name="Normal 4 6 10 3" xfId="21652" xr:uid="{06433C76-5C63-4187-98BB-032FCFE62D68}"/>
    <cellStyle name="Normal 4 6 11" xfId="9000" xr:uid="{F1FFD514-74FA-4258-9E53-9C66D569147E}"/>
    <cellStyle name="Normal 4 6 12" xfId="17435" xr:uid="{7D14D7EC-A43A-4DCE-966C-D8ABFEC518EB}"/>
    <cellStyle name="Normal 4 6 2" xfId="396" xr:uid="{00000000-0005-0000-0000-000003160000}"/>
    <cellStyle name="Normal 4 6 2 10" xfId="9001" xr:uid="{46A6CB8E-C9CD-41F5-A77D-024E802E3634}"/>
    <cellStyle name="Normal 4 6 2 11" xfId="17436" xr:uid="{E57C31DB-A065-46A8-B872-9BCA91797580}"/>
    <cellStyle name="Normal 4 6 2 2" xfId="397" xr:uid="{00000000-0005-0000-0000-000004160000}"/>
    <cellStyle name="Normal 4 6 2 2 10" xfId="17437" xr:uid="{C92A4343-BC29-4043-9F06-371B82BB7BD5}"/>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0348C101-A4CD-4065-AF0F-3F8A4EA97A16}"/>
    <cellStyle name="Normal 4 6 2 2 2 2 2 2 3" xfId="24213" xr:uid="{9A199C80-DEF8-4737-8E76-9EC68A794F43}"/>
    <cellStyle name="Normal 4 6 2 2 2 2 2 3" xfId="11561" xr:uid="{CF602390-1EE6-4E63-B921-E2AF9383AED9}"/>
    <cellStyle name="Normal 4 6 2 2 2 2 2 4" xfId="19996" xr:uid="{9D59FB01-3915-4376-AC9B-426989525FA8}"/>
    <cellStyle name="Normal 4 6 2 2 2 2 3" xfId="5184" xr:uid="{00000000-0005-0000-0000-000009160000}"/>
    <cellStyle name="Normal 4 6 2 2 2 2 3 2" xfId="13634" xr:uid="{9C0CF118-30D6-468C-BF25-75A7939F4B1D}"/>
    <cellStyle name="Normal 4 6 2 2 2 2 3 3" xfId="22068" xr:uid="{9FF345AE-6A6B-457D-A74A-99E17B36BB32}"/>
    <cellStyle name="Normal 4 6 2 2 2 2 4" xfId="9416" xr:uid="{812946EA-E138-4690-96AE-30B5C39A3975}"/>
    <cellStyle name="Normal 4 6 2 2 2 2 5" xfId="17851" xr:uid="{66EAE2C7-C0E2-408E-8C5F-8C1F17034931}"/>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1E000319-AF19-4724-A88F-87B1120530D2}"/>
    <cellStyle name="Normal 4 6 2 2 2 3 2 2 3" xfId="24626" xr:uid="{1C1488FC-8728-4D92-B27D-2640FEDA34E2}"/>
    <cellStyle name="Normal 4 6 2 2 2 3 2 3" xfId="11974" xr:uid="{C527E8D2-E56B-47B4-9CA1-32D05A6B177B}"/>
    <cellStyle name="Normal 4 6 2 2 2 3 2 4" xfId="20409" xr:uid="{2EFF4547-4D2B-41FB-A77A-7D33DF757600}"/>
    <cellStyle name="Normal 4 6 2 2 2 3 3" xfId="5597" xr:uid="{00000000-0005-0000-0000-00000D160000}"/>
    <cellStyle name="Normal 4 6 2 2 2 3 3 2" xfId="14047" xr:uid="{24EB36CF-0187-4E20-85CF-5A844E7BC04A}"/>
    <cellStyle name="Normal 4 6 2 2 2 3 3 3" xfId="22481" xr:uid="{2A9C54F7-5024-40F1-B68D-2C36631E3BBD}"/>
    <cellStyle name="Normal 4 6 2 2 2 3 4" xfId="9829" xr:uid="{BD18E80F-14A6-4BAB-B2C3-2C471794D0EB}"/>
    <cellStyle name="Normal 4 6 2 2 2 3 5" xfId="18264" xr:uid="{4DA0D7A4-5A74-47CE-9E8F-74C15320B44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AC73A1AD-FA9D-4CBE-8E84-8CCE4CF784E1}"/>
    <cellStyle name="Normal 4 6 2 2 2 4 2 2 3" xfId="25039" xr:uid="{69325CD5-2BBE-4FF7-8B72-BA919A3E274E}"/>
    <cellStyle name="Normal 4 6 2 2 2 4 2 3" xfId="12387" xr:uid="{D63C8E5F-427E-4874-B795-7D1720EA25A8}"/>
    <cellStyle name="Normal 4 6 2 2 2 4 2 4" xfId="20822" xr:uid="{8F750430-1A68-4C58-9007-55B8DA424319}"/>
    <cellStyle name="Normal 4 6 2 2 2 4 3" xfId="6010" xr:uid="{00000000-0005-0000-0000-000011160000}"/>
    <cellStyle name="Normal 4 6 2 2 2 4 3 2" xfId="14460" xr:uid="{0DAAE09E-053E-4ADD-960A-A5BDA7D732DD}"/>
    <cellStyle name="Normal 4 6 2 2 2 4 3 3" xfId="22894" xr:uid="{84B59DC0-07A9-4F7E-9ABF-1083DF8DB84B}"/>
    <cellStyle name="Normal 4 6 2 2 2 4 4" xfId="10242" xr:uid="{97E7BA1D-C0B6-4224-9CEA-12992E10B240}"/>
    <cellStyle name="Normal 4 6 2 2 2 4 5" xfId="18677" xr:uid="{A5029A12-4A91-4164-9E0A-83677FC98E6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E3DB7118-17EE-4ECA-ACB6-C4EED97F05FC}"/>
    <cellStyle name="Normal 4 6 2 2 2 5 2 2 3" xfId="25452" xr:uid="{1EAA79C0-EDC7-483F-9E39-C777793E9B45}"/>
    <cellStyle name="Normal 4 6 2 2 2 5 2 3" xfId="12800" xr:uid="{216EDA93-73C9-412F-8D93-EBB16EDEB4BF}"/>
    <cellStyle name="Normal 4 6 2 2 2 5 2 4" xfId="21235" xr:uid="{52B4202C-1346-41A5-98A1-07CFB88AE961}"/>
    <cellStyle name="Normal 4 6 2 2 2 5 3" xfId="6423" xr:uid="{00000000-0005-0000-0000-000015160000}"/>
    <cellStyle name="Normal 4 6 2 2 2 5 3 2" xfId="14873" xr:uid="{49AA689A-C688-4E1C-A00A-2DCD5CBB04FE}"/>
    <cellStyle name="Normal 4 6 2 2 2 5 3 3" xfId="23307" xr:uid="{A3D1B49D-4410-4487-83B1-979838EA56D2}"/>
    <cellStyle name="Normal 4 6 2 2 2 5 4" xfId="10655" xr:uid="{9A6D0F62-D1A9-412A-8161-3CAABA93DAF3}"/>
    <cellStyle name="Normal 4 6 2 2 2 5 5" xfId="19090" xr:uid="{0AABDEF3-875E-4F0C-B814-F94351AECC48}"/>
    <cellStyle name="Normal 4 6 2 2 2 6" xfId="2553" xr:uid="{00000000-0005-0000-0000-000016160000}"/>
    <cellStyle name="Normal 4 6 2 2 2 6 2" xfId="6836" xr:uid="{00000000-0005-0000-0000-000017160000}"/>
    <cellStyle name="Normal 4 6 2 2 2 6 2 2" xfId="15286" xr:uid="{2B9305DC-48A2-4666-BA3F-F03227ECBEFB}"/>
    <cellStyle name="Normal 4 6 2 2 2 6 2 3" xfId="23720" xr:uid="{E9A0CAA2-333C-43B3-A32A-712347084A35}"/>
    <cellStyle name="Normal 4 6 2 2 2 6 3" xfId="11068" xr:uid="{F50C6EC1-BD8E-4A03-9C3D-0A8CC9407206}"/>
    <cellStyle name="Normal 4 6 2 2 2 6 4" xfId="19503" xr:uid="{E660D8C3-0839-4C97-98F8-779BE3B0485E}"/>
    <cellStyle name="Normal 4 6 2 2 2 7" xfId="4771" xr:uid="{00000000-0005-0000-0000-000018160000}"/>
    <cellStyle name="Normal 4 6 2 2 2 7 2" xfId="13221" xr:uid="{98FB2B67-7B15-46FF-B39F-13DB1BD41E08}"/>
    <cellStyle name="Normal 4 6 2 2 2 7 3" xfId="21655" xr:uid="{62CB6935-AF33-4FC3-8BAD-A1CD38BB7114}"/>
    <cellStyle name="Normal 4 6 2 2 2 8" xfId="9003" xr:uid="{9137E030-F101-4567-B0F1-EB9E6F72B5EE}"/>
    <cellStyle name="Normal 4 6 2 2 2 9" xfId="17438" xr:uid="{5751EF9C-9353-4F10-91B9-D394C629560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223A9C63-C49E-4875-8044-055BC4A35E71}"/>
    <cellStyle name="Normal 4 6 2 2 3 2 2 3" xfId="24212" xr:uid="{C5E6EC35-59B8-48C0-845F-5E950162401D}"/>
    <cellStyle name="Normal 4 6 2 2 3 2 3" xfId="11560" xr:uid="{B1AFD532-68BF-429B-8E3D-50FA080D8AA6}"/>
    <cellStyle name="Normal 4 6 2 2 3 2 4" xfId="19995" xr:uid="{13AE1565-750B-4C77-8061-D0E6DB6AB429}"/>
    <cellStyle name="Normal 4 6 2 2 3 3" xfId="5183" xr:uid="{00000000-0005-0000-0000-00001C160000}"/>
    <cellStyle name="Normal 4 6 2 2 3 3 2" xfId="13633" xr:uid="{0A10C7F5-6A35-4A60-81C1-0BD4995E6F2F}"/>
    <cellStyle name="Normal 4 6 2 2 3 3 3" xfId="22067" xr:uid="{BEB52A63-CF19-474D-9D63-DA6C468842FE}"/>
    <cellStyle name="Normal 4 6 2 2 3 4" xfId="9415" xr:uid="{168756BA-B4F2-44B8-BB42-897B8C0DB4DB}"/>
    <cellStyle name="Normal 4 6 2 2 3 5" xfId="17850" xr:uid="{04220D0F-181E-49D5-A805-3F156A45844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2F9D286F-2EE0-49D9-8F49-B916E9077A3F}"/>
    <cellStyle name="Normal 4 6 2 2 4 2 2 3" xfId="24625" xr:uid="{80462BB2-C387-40A0-8E8F-DEE3B8E7E0F4}"/>
    <cellStyle name="Normal 4 6 2 2 4 2 3" xfId="11973" xr:uid="{23C2EFC2-D2F8-407F-812F-6E51907E1F90}"/>
    <cellStyle name="Normal 4 6 2 2 4 2 4" xfId="20408" xr:uid="{117FFC03-9EB5-4BBC-B6AC-261EB49D598A}"/>
    <cellStyle name="Normal 4 6 2 2 4 3" xfId="5596" xr:uid="{00000000-0005-0000-0000-000020160000}"/>
    <cellStyle name="Normal 4 6 2 2 4 3 2" xfId="14046" xr:uid="{294A3B83-D079-4905-A7E2-462DF8DA907C}"/>
    <cellStyle name="Normal 4 6 2 2 4 3 3" xfId="22480" xr:uid="{26C5CB8C-CA38-493C-86AF-50540C39AE03}"/>
    <cellStyle name="Normal 4 6 2 2 4 4" xfId="9828" xr:uid="{466463CC-1D02-4316-81A5-951556BB7B45}"/>
    <cellStyle name="Normal 4 6 2 2 4 5" xfId="18263" xr:uid="{1D3A498A-D219-41EE-9A7B-55575883FF11}"/>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41186756-F135-45AB-BA2C-5BD2341893E4}"/>
    <cellStyle name="Normal 4 6 2 2 5 2 2 3" xfId="25038" xr:uid="{C69122D3-F9DE-4B80-B123-9AEB75660999}"/>
    <cellStyle name="Normal 4 6 2 2 5 2 3" xfId="12386" xr:uid="{FD917E4B-BFFC-4F73-8149-0961B1B8AAEE}"/>
    <cellStyle name="Normal 4 6 2 2 5 2 4" xfId="20821" xr:uid="{021423BF-E351-4671-9FC3-A16981BF7FDA}"/>
    <cellStyle name="Normal 4 6 2 2 5 3" xfId="6009" xr:uid="{00000000-0005-0000-0000-000024160000}"/>
    <cellStyle name="Normal 4 6 2 2 5 3 2" xfId="14459" xr:uid="{9D578EA4-FEE2-4077-A01E-549EB26BFF3B}"/>
    <cellStyle name="Normal 4 6 2 2 5 3 3" xfId="22893" xr:uid="{A9CA7565-8F23-4FE9-A644-1E89F53BA436}"/>
    <cellStyle name="Normal 4 6 2 2 5 4" xfId="10241" xr:uid="{43409919-E4C1-4DA1-A208-DEA235B81703}"/>
    <cellStyle name="Normal 4 6 2 2 5 5" xfId="18676" xr:uid="{CDF4494C-55AE-4831-AB71-E09AB550185B}"/>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E11BEFC4-A240-4D86-9F27-8E4CEB8D02FB}"/>
    <cellStyle name="Normal 4 6 2 2 6 2 2 3" xfId="25451" xr:uid="{0D62DB49-958D-4DEE-9414-8C05A3C979F4}"/>
    <cellStyle name="Normal 4 6 2 2 6 2 3" xfId="12799" xr:uid="{C8B6E958-779D-4EE5-A769-3DC435457F00}"/>
    <cellStyle name="Normal 4 6 2 2 6 2 4" xfId="21234" xr:uid="{644D3FD3-5516-4A48-837F-88037CC3C275}"/>
    <cellStyle name="Normal 4 6 2 2 6 3" xfId="6422" xr:uid="{00000000-0005-0000-0000-000028160000}"/>
    <cellStyle name="Normal 4 6 2 2 6 3 2" xfId="14872" xr:uid="{C58A1636-E879-4B80-AA06-0CE10CDD6021}"/>
    <cellStyle name="Normal 4 6 2 2 6 3 3" xfId="23306" xr:uid="{A5FAF1F1-215A-45FB-BE9A-AF966F3F7C40}"/>
    <cellStyle name="Normal 4 6 2 2 6 4" xfId="10654" xr:uid="{C9F810AF-9425-4A24-9A9F-060DF69A0B93}"/>
    <cellStyle name="Normal 4 6 2 2 6 5" xfId="19089" xr:uid="{8970692C-2E2E-4D9B-976B-CA64125F1A4E}"/>
    <cellStyle name="Normal 4 6 2 2 7" xfId="2552" xr:uid="{00000000-0005-0000-0000-000029160000}"/>
    <cellStyle name="Normal 4 6 2 2 7 2" xfId="6835" xr:uid="{00000000-0005-0000-0000-00002A160000}"/>
    <cellStyle name="Normal 4 6 2 2 7 2 2" xfId="15285" xr:uid="{C828BCDC-8E87-4316-BF49-8B33FDF38F4E}"/>
    <cellStyle name="Normal 4 6 2 2 7 2 3" xfId="23719" xr:uid="{ECB6487F-ECA4-440B-8D90-1A3A47CF9F95}"/>
    <cellStyle name="Normal 4 6 2 2 7 3" xfId="11067" xr:uid="{D79CBD56-B402-4ADD-B049-FF85B27DAAD0}"/>
    <cellStyle name="Normal 4 6 2 2 7 4" xfId="19502" xr:uid="{CDE181E1-D6B4-4038-992B-3A1CB1428C63}"/>
    <cellStyle name="Normal 4 6 2 2 8" xfId="4770" xr:uid="{00000000-0005-0000-0000-00002B160000}"/>
    <cellStyle name="Normal 4 6 2 2 8 2" xfId="13220" xr:uid="{3CD6BB28-72E9-4E34-8EA5-F16A23EC2DF4}"/>
    <cellStyle name="Normal 4 6 2 2 8 3" xfId="21654" xr:uid="{6CD7E805-6B48-479D-AF22-6AEF99435E9D}"/>
    <cellStyle name="Normal 4 6 2 2 9" xfId="9002" xr:uid="{63A5C297-A832-40F1-A3F9-67D93D19EE71}"/>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B1A17F58-8051-4EA1-BF34-F5FADE08C448}"/>
    <cellStyle name="Normal 4 6 2 3 2 2 2 3" xfId="24214" xr:uid="{FC2E4346-21BB-4364-B9D0-54A3BF18CB58}"/>
    <cellStyle name="Normal 4 6 2 3 2 2 3" xfId="11562" xr:uid="{F1D7E393-5C2B-4B2C-A238-9D76F431FAB4}"/>
    <cellStyle name="Normal 4 6 2 3 2 2 4" xfId="19997" xr:uid="{951816D9-A55B-4152-BBF9-1576BA1F70CA}"/>
    <cellStyle name="Normal 4 6 2 3 2 3" xfId="5185" xr:uid="{00000000-0005-0000-0000-000030160000}"/>
    <cellStyle name="Normal 4 6 2 3 2 3 2" xfId="13635" xr:uid="{9115235A-A090-4990-B246-447C81FA6DC5}"/>
    <cellStyle name="Normal 4 6 2 3 2 3 3" xfId="22069" xr:uid="{A620054B-792B-45D7-9EA8-8A797F20EE5B}"/>
    <cellStyle name="Normal 4 6 2 3 2 4" xfId="9417" xr:uid="{B441E62B-9717-4184-B869-1B2F352D010A}"/>
    <cellStyle name="Normal 4 6 2 3 2 5" xfId="17852" xr:uid="{37C5E91D-1672-4483-AC5F-5773F5A7AD7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DEEDD742-8400-4226-83C7-7BB9E4C72A6D}"/>
    <cellStyle name="Normal 4 6 2 3 3 2 2 3" xfId="24627" xr:uid="{8EC605EB-D6B4-42FB-8518-284A2722B4AB}"/>
    <cellStyle name="Normal 4 6 2 3 3 2 3" xfId="11975" xr:uid="{63F22E70-B9FC-43F6-8ECD-DF2220428645}"/>
    <cellStyle name="Normal 4 6 2 3 3 2 4" xfId="20410" xr:uid="{8A5DC531-1F3D-42D1-A7CF-B9E7754B5242}"/>
    <cellStyle name="Normal 4 6 2 3 3 3" xfId="5598" xr:uid="{00000000-0005-0000-0000-000034160000}"/>
    <cellStyle name="Normal 4 6 2 3 3 3 2" xfId="14048" xr:uid="{C2954678-678E-4900-AF82-0C8A35233D96}"/>
    <cellStyle name="Normal 4 6 2 3 3 3 3" xfId="22482" xr:uid="{403F0DC6-F719-4E87-93A5-15012235B1A9}"/>
    <cellStyle name="Normal 4 6 2 3 3 4" xfId="9830" xr:uid="{675D12E3-8A9C-4DC5-B4DF-25D625F6FF79}"/>
    <cellStyle name="Normal 4 6 2 3 3 5" xfId="18265" xr:uid="{2A5543F7-7C00-4DCD-9107-64D6A25E9C41}"/>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3E7B8791-DC69-465D-B89A-386D005B5DA7}"/>
    <cellStyle name="Normal 4 6 2 3 4 2 2 3" xfId="25040" xr:uid="{6F7C0540-7332-440A-880E-6E5275523FE2}"/>
    <cellStyle name="Normal 4 6 2 3 4 2 3" xfId="12388" xr:uid="{64462B29-DD33-4722-8590-CFB81C7675AE}"/>
    <cellStyle name="Normal 4 6 2 3 4 2 4" xfId="20823" xr:uid="{A8B2B1E0-564C-4A56-BD2F-0020A6F9A140}"/>
    <cellStyle name="Normal 4 6 2 3 4 3" xfId="6011" xr:uid="{00000000-0005-0000-0000-000038160000}"/>
    <cellStyle name="Normal 4 6 2 3 4 3 2" xfId="14461" xr:uid="{F978D5DC-4C6C-40AA-8D80-9464047F781C}"/>
    <cellStyle name="Normal 4 6 2 3 4 3 3" xfId="22895" xr:uid="{9B0DDB11-E5F2-4374-9E9F-11CF2F4E1D17}"/>
    <cellStyle name="Normal 4 6 2 3 4 4" xfId="10243" xr:uid="{03F0B6AA-399E-4545-82C2-06A397A6C209}"/>
    <cellStyle name="Normal 4 6 2 3 4 5" xfId="18678" xr:uid="{87ECE48C-C2C1-42DB-AB6E-3DFCE86651FC}"/>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146F7649-57C0-41EB-810F-CFD70A892271}"/>
    <cellStyle name="Normal 4 6 2 3 5 2 2 3" xfId="25453" xr:uid="{1AB2B467-A1B3-4BD6-B0ED-B9C6184C51B8}"/>
    <cellStyle name="Normal 4 6 2 3 5 2 3" xfId="12801" xr:uid="{CA02F61A-6594-449F-827F-4E595430202E}"/>
    <cellStyle name="Normal 4 6 2 3 5 2 4" xfId="21236" xr:uid="{807FE667-47F3-4837-96CD-89FD54389583}"/>
    <cellStyle name="Normal 4 6 2 3 5 3" xfId="6424" xr:uid="{00000000-0005-0000-0000-00003C160000}"/>
    <cellStyle name="Normal 4 6 2 3 5 3 2" xfId="14874" xr:uid="{E5D5C6FA-078C-4860-ACE0-DC5A3E8EECF0}"/>
    <cellStyle name="Normal 4 6 2 3 5 3 3" xfId="23308" xr:uid="{3E4994CE-B229-46C3-BF6F-071126EBA360}"/>
    <cellStyle name="Normal 4 6 2 3 5 4" xfId="10656" xr:uid="{A5CA5C5A-D9C1-409C-88F2-EF6D4C2FC556}"/>
    <cellStyle name="Normal 4 6 2 3 5 5" xfId="19091" xr:uid="{5C8ECD7B-2DBB-43E1-B52C-84C870118BC6}"/>
    <cellStyle name="Normal 4 6 2 3 6" xfId="2554" xr:uid="{00000000-0005-0000-0000-00003D160000}"/>
    <cellStyle name="Normal 4 6 2 3 6 2" xfId="6837" xr:uid="{00000000-0005-0000-0000-00003E160000}"/>
    <cellStyle name="Normal 4 6 2 3 6 2 2" xfId="15287" xr:uid="{0B6882ED-A6E8-4E50-BC5E-AB6DC717E491}"/>
    <cellStyle name="Normal 4 6 2 3 6 2 3" xfId="23721" xr:uid="{114CFB28-F8FF-4F1B-B4FF-FAE28C69E0C7}"/>
    <cellStyle name="Normal 4 6 2 3 6 3" xfId="11069" xr:uid="{153591BB-24E9-4F87-999A-26C40990E097}"/>
    <cellStyle name="Normal 4 6 2 3 6 4" xfId="19504" xr:uid="{A4EB4FF1-DC84-4C63-88ED-96ACE1783C1C}"/>
    <cellStyle name="Normal 4 6 2 3 7" xfId="4772" xr:uid="{00000000-0005-0000-0000-00003F160000}"/>
    <cellStyle name="Normal 4 6 2 3 7 2" xfId="13222" xr:uid="{1DB50F5F-7BB8-412E-8A05-E8E456D0B3CA}"/>
    <cellStyle name="Normal 4 6 2 3 7 3" xfId="21656" xr:uid="{1D901C9A-E0B1-4A66-9CFC-05622C6FC1FA}"/>
    <cellStyle name="Normal 4 6 2 3 8" xfId="9004" xr:uid="{1FB2BD4B-5C40-45C8-942F-03CDF1A76F40}"/>
    <cellStyle name="Normal 4 6 2 3 9" xfId="17439" xr:uid="{53106022-E61C-4B1F-B7A9-900DB1FB20EF}"/>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5851FB4C-F6E2-4B6C-868C-26AB258F7014}"/>
    <cellStyle name="Normal 4 6 2 4 2 2 3" xfId="24211" xr:uid="{24035751-2276-4E2A-9587-A6097B1E0409}"/>
    <cellStyle name="Normal 4 6 2 4 2 3" xfId="11559" xr:uid="{DCC28CE0-D2DE-4548-BB84-912BA7CBAB05}"/>
    <cellStyle name="Normal 4 6 2 4 2 4" xfId="19994" xr:uid="{29E93250-6812-43FF-AE52-D96F6BA75D80}"/>
    <cellStyle name="Normal 4 6 2 4 3" xfId="5182" xr:uid="{00000000-0005-0000-0000-000043160000}"/>
    <cellStyle name="Normal 4 6 2 4 3 2" xfId="13632" xr:uid="{FF0A3664-7C11-4F78-97F0-3CCCD46D5157}"/>
    <cellStyle name="Normal 4 6 2 4 3 3" xfId="22066" xr:uid="{D66835A2-BEEB-47A4-85B8-6AEABA9DAC81}"/>
    <cellStyle name="Normal 4 6 2 4 4" xfId="9414" xr:uid="{BC227498-BCC7-49B4-A86B-8B14BAA8452F}"/>
    <cellStyle name="Normal 4 6 2 4 5" xfId="17849" xr:uid="{7E5C660B-6A67-458C-A6A4-83975BDE92D4}"/>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326C9347-4409-4354-B384-B9BF3873D869}"/>
    <cellStyle name="Normal 4 6 2 5 2 2 3" xfId="24624" xr:uid="{5A27C507-915E-4E63-8F12-CBF00FA8C436}"/>
    <cellStyle name="Normal 4 6 2 5 2 3" xfId="11972" xr:uid="{07ED1A28-8E66-40B7-9B4A-846FA2159ECA}"/>
    <cellStyle name="Normal 4 6 2 5 2 4" xfId="20407" xr:uid="{F95F74EB-5BD9-4B74-AE86-526B0C31691A}"/>
    <cellStyle name="Normal 4 6 2 5 3" xfId="5595" xr:uid="{00000000-0005-0000-0000-000047160000}"/>
    <cellStyle name="Normal 4 6 2 5 3 2" xfId="14045" xr:uid="{6EA2D01C-EC68-4C84-AC50-D45349CC118F}"/>
    <cellStyle name="Normal 4 6 2 5 3 3" xfId="22479" xr:uid="{DFE0EE08-A068-4950-B773-53C7804C1DC5}"/>
    <cellStyle name="Normal 4 6 2 5 4" xfId="9827" xr:uid="{9B9F198A-EA7A-4E58-9E08-260C486F32B8}"/>
    <cellStyle name="Normal 4 6 2 5 5" xfId="18262" xr:uid="{E449B6CC-7829-4FD9-B075-9EE1D236D234}"/>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6B09C3FD-C1F2-49C4-8C73-F76D4E0A6E8B}"/>
    <cellStyle name="Normal 4 6 2 6 2 2 3" xfId="25037" xr:uid="{3C23DBBD-ECEB-4741-B549-35E0124815EC}"/>
    <cellStyle name="Normal 4 6 2 6 2 3" xfId="12385" xr:uid="{5389129D-8014-470F-85B0-2C318052A399}"/>
    <cellStyle name="Normal 4 6 2 6 2 4" xfId="20820" xr:uid="{292A4A6D-9A32-4D51-977B-8AFF0DAD53B2}"/>
    <cellStyle name="Normal 4 6 2 6 3" xfId="6008" xr:uid="{00000000-0005-0000-0000-00004B160000}"/>
    <cellStyle name="Normal 4 6 2 6 3 2" xfId="14458" xr:uid="{E7FD0703-9A17-42A9-9B5B-3856B0773235}"/>
    <cellStyle name="Normal 4 6 2 6 3 3" xfId="22892" xr:uid="{277EF21B-C2B5-4843-8FDF-5EC42492860E}"/>
    <cellStyle name="Normal 4 6 2 6 4" xfId="10240" xr:uid="{985875E4-D130-4743-A926-15820D66FB73}"/>
    <cellStyle name="Normal 4 6 2 6 5" xfId="18675" xr:uid="{C01A1CFE-0D50-457F-AFFF-16FFFC82C9D5}"/>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207F9650-657B-44F8-8D34-70DC9B5028E4}"/>
    <cellStyle name="Normal 4 6 2 7 2 2 3" xfId="25450" xr:uid="{BB3F2163-A93A-49FC-B6F1-D674C17B5EEE}"/>
    <cellStyle name="Normal 4 6 2 7 2 3" xfId="12798" xr:uid="{B5E2BFF2-8F16-46AF-A853-921D47F7440A}"/>
    <cellStyle name="Normal 4 6 2 7 2 4" xfId="21233" xr:uid="{4C3E824E-F8BB-436C-8AA7-72D0AB5918A9}"/>
    <cellStyle name="Normal 4 6 2 7 3" xfId="6421" xr:uid="{00000000-0005-0000-0000-00004F160000}"/>
    <cellStyle name="Normal 4 6 2 7 3 2" xfId="14871" xr:uid="{E350B8E9-33E4-4E67-9548-25201C7A78C0}"/>
    <cellStyle name="Normal 4 6 2 7 3 3" xfId="23305" xr:uid="{76327A11-27AB-4DFC-9A4D-DF4FBEFA8845}"/>
    <cellStyle name="Normal 4 6 2 7 4" xfId="10653" xr:uid="{E7F2C997-C4E6-4D3F-B278-E3C544C41B14}"/>
    <cellStyle name="Normal 4 6 2 7 5" xfId="19088" xr:uid="{F87C675E-C3A8-480C-AF04-B429AEB35B29}"/>
    <cellStyle name="Normal 4 6 2 8" xfId="2551" xr:uid="{00000000-0005-0000-0000-000050160000}"/>
    <cellStyle name="Normal 4 6 2 8 2" xfId="6834" xr:uid="{00000000-0005-0000-0000-000051160000}"/>
    <cellStyle name="Normal 4 6 2 8 2 2" xfId="15284" xr:uid="{333BD397-1D29-4F5C-9D05-95404C8E73A9}"/>
    <cellStyle name="Normal 4 6 2 8 2 3" xfId="23718" xr:uid="{F317EEE6-BAC8-4445-9538-37DE5D429999}"/>
    <cellStyle name="Normal 4 6 2 8 3" xfId="11066" xr:uid="{9651500F-F446-4C51-9955-170E537A1C66}"/>
    <cellStyle name="Normal 4 6 2 8 4" xfId="19501" xr:uid="{6A82AADB-1C3B-4E1F-BA85-9F2574A38E30}"/>
    <cellStyle name="Normal 4 6 2 9" xfId="4769" xr:uid="{00000000-0005-0000-0000-000052160000}"/>
    <cellStyle name="Normal 4 6 2 9 2" xfId="13219" xr:uid="{309481AA-831B-4585-BEEA-610A3EC5CEF1}"/>
    <cellStyle name="Normal 4 6 2 9 3" xfId="21653" xr:uid="{40DC273D-6147-415D-BB74-713C721FADB7}"/>
    <cellStyle name="Normal 4 6 3" xfId="400" xr:uid="{00000000-0005-0000-0000-000053160000}"/>
    <cellStyle name="Normal 4 6 3 10" xfId="17440" xr:uid="{9656BA20-8002-4556-BD3D-D444B85725A2}"/>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65884E98-5E61-4645-BAEF-B340AD2F5E9E}"/>
    <cellStyle name="Normal 4 6 3 2 2 2 2 3" xfId="24216" xr:uid="{1FADF50A-B8E5-45F4-BD00-DEF2A89C3262}"/>
    <cellStyle name="Normal 4 6 3 2 2 2 3" xfId="11564" xr:uid="{AD63BF8E-4B19-4F1E-84FC-FCC55F6E9948}"/>
    <cellStyle name="Normal 4 6 3 2 2 2 4" xfId="19999" xr:uid="{76054383-0097-4E8D-82B3-27B8DA1159A8}"/>
    <cellStyle name="Normal 4 6 3 2 2 3" xfId="5187" xr:uid="{00000000-0005-0000-0000-000058160000}"/>
    <cellStyle name="Normal 4 6 3 2 2 3 2" xfId="13637" xr:uid="{F65860EC-43DD-4C48-A098-6FAD7DB4E95A}"/>
    <cellStyle name="Normal 4 6 3 2 2 3 3" xfId="22071" xr:uid="{E93BAEBB-5D73-40EE-9675-F344719263AC}"/>
    <cellStyle name="Normal 4 6 3 2 2 4" xfId="9419" xr:uid="{57F322A9-F82B-47E5-A85A-D5A8D0C4B44D}"/>
    <cellStyle name="Normal 4 6 3 2 2 5" xfId="17854" xr:uid="{2DAB0B94-E7DE-4D07-8F0E-1BDF52B42A3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877C35DF-7603-48BA-8B72-B87DABA37965}"/>
    <cellStyle name="Normal 4 6 3 2 3 2 2 3" xfId="24629" xr:uid="{30FF2BA9-505C-4FF8-8537-A80E8BF541C8}"/>
    <cellStyle name="Normal 4 6 3 2 3 2 3" xfId="11977" xr:uid="{30C1B6A7-B8FB-4ED5-9463-038FEAEB2A72}"/>
    <cellStyle name="Normal 4 6 3 2 3 2 4" xfId="20412" xr:uid="{0E651B8F-7CA9-4F60-80F1-835E954F8206}"/>
    <cellStyle name="Normal 4 6 3 2 3 3" xfId="5600" xr:uid="{00000000-0005-0000-0000-00005C160000}"/>
    <cellStyle name="Normal 4 6 3 2 3 3 2" xfId="14050" xr:uid="{1D912AC1-2B5E-4874-98C2-4548612E5BF2}"/>
    <cellStyle name="Normal 4 6 3 2 3 3 3" xfId="22484" xr:uid="{FFDA596D-DBF5-457C-8C4C-622C1BFA507B}"/>
    <cellStyle name="Normal 4 6 3 2 3 4" xfId="9832" xr:uid="{284085B8-A3A3-4F2C-916E-AFC817A64426}"/>
    <cellStyle name="Normal 4 6 3 2 3 5" xfId="18267" xr:uid="{5A1F4468-2259-44C7-A671-22AE4620E3F3}"/>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ACEF4CB5-C514-4C96-95FC-0CADDF93BAF7}"/>
    <cellStyle name="Normal 4 6 3 2 4 2 2 3" xfId="25042" xr:uid="{33C1A818-09B7-4BF0-A0DA-DFF8B45BF8EB}"/>
    <cellStyle name="Normal 4 6 3 2 4 2 3" xfId="12390" xr:uid="{56341806-2B71-4FD6-965F-E403F600BDD8}"/>
    <cellStyle name="Normal 4 6 3 2 4 2 4" xfId="20825" xr:uid="{FF09BAB2-0815-4FAB-B0FC-3EB868EBF773}"/>
    <cellStyle name="Normal 4 6 3 2 4 3" xfId="6013" xr:uid="{00000000-0005-0000-0000-000060160000}"/>
    <cellStyle name="Normal 4 6 3 2 4 3 2" xfId="14463" xr:uid="{324C91A0-A44A-4432-9B08-B6B4064B5387}"/>
    <cellStyle name="Normal 4 6 3 2 4 3 3" xfId="22897" xr:uid="{26315BCF-467C-473B-A5AE-6D9972C4E1F8}"/>
    <cellStyle name="Normal 4 6 3 2 4 4" xfId="10245" xr:uid="{B275AEAD-9330-465B-BC26-0230589914D9}"/>
    <cellStyle name="Normal 4 6 3 2 4 5" xfId="18680" xr:uid="{9BA52E66-1D7B-49A6-BE17-8FE82FD0BBCA}"/>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C36BF18D-0EC3-4AA7-8326-42CEAA7FB321}"/>
    <cellStyle name="Normal 4 6 3 2 5 2 2 3" xfId="25455" xr:uid="{DDCABA4F-28DC-4EAD-B50D-B06B0A4C5CAE}"/>
    <cellStyle name="Normal 4 6 3 2 5 2 3" xfId="12803" xr:uid="{58FF1A46-FFD1-47A7-BC1E-4C2076A9C1BF}"/>
    <cellStyle name="Normal 4 6 3 2 5 2 4" xfId="21238" xr:uid="{55162913-9A09-42E1-A855-A14C1D966972}"/>
    <cellStyle name="Normal 4 6 3 2 5 3" xfId="6426" xr:uid="{00000000-0005-0000-0000-000064160000}"/>
    <cellStyle name="Normal 4 6 3 2 5 3 2" xfId="14876" xr:uid="{CDC1228A-18FF-44BC-A8D4-D9BA5536E6F7}"/>
    <cellStyle name="Normal 4 6 3 2 5 3 3" xfId="23310" xr:uid="{653C3AE7-0B51-4979-A1B7-2AE522FD2B94}"/>
    <cellStyle name="Normal 4 6 3 2 5 4" xfId="10658" xr:uid="{3D24ECCA-A24B-40F3-9DCD-BF930C9FA88E}"/>
    <cellStyle name="Normal 4 6 3 2 5 5" xfId="19093" xr:uid="{3F4D5FC3-260E-4280-99A3-E4DB49B95194}"/>
    <cellStyle name="Normal 4 6 3 2 6" xfId="2556" xr:uid="{00000000-0005-0000-0000-000065160000}"/>
    <cellStyle name="Normal 4 6 3 2 6 2" xfId="6839" xr:uid="{00000000-0005-0000-0000-000066160000}"/>
    <cellStyle name="Normal 4 6 3 2 6 2 2" xfId="15289" xr:uid="{CDC8568A-31FF-482D-BC00-54E4E4B76D91}"/>
    <cellStyle name="Normal 4 6 3 2 6 2 3" xfId="23723" xr:uid="{B83825B4-521A-4389-ABAD-ED3D9F4D085B}"/>
    <cellStyle name="Normal 4 6 3 2 6 3" xfId="11071" xr:uid="{ABEAD266-014D-4FF7-814D-CE31CEB39B7D}"/>
    <cellStyle name="Normal 4 6 3 2 6 4" xfId="19506" xr:uid="{3147263C-D482-410C-9BCE-884B8D3CC271}"/>
    <cellStyle name="Normal 4 6 3 2 7" xfId="4774" xr:uid="{00000000-0005-0000-0000-000067160000}"/>
    <cellStyle name="Normal 4 6 3 2 7 2" xfId="13224" xr:uid="{AA60B1C8-62B8-498A-954C-831C7F40A109}"/>
    <cellStyle name="Normal 4 6 3 2 7 3" xfId="21658" xr:uid="{5B43D80B-F006-4BD0-8C54-D8709F80946F}"/>
    <cellStyle name="Normal 4 6 3 2 8" xfId="9006" xr:uid="{5DFFED52-D2F2-4E1B-9772-7D6FEB64B350}"/>
    <cellStyle name="Normal 4 6 3 2 9" xfId="17441" xr:uid="{A618361A-2F29-474E-BEB7-F2657E241688}"/>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842410C9-4598-4C4F-9550-92157AF68422}"/>
    <cellStyle name="Normal 4 6 3 3 2 2 3" xfId="24215" xr:uid="{5FEDE843-AAD4-4E93-BB8D-8BDDDB56CD14}"/>
    <cellStyle name="Normal 4 6 3 3 2 3" xfId="11563" xr:uid="{D1EB4AA6-8DCB-4391-9F1E-802ADAB8F9C0}"/>
    <cellStyle name="Normal 4 6 3 3 2 4" xfId="19998" xr:uid="{1CA6D673-C171-46A4-9464-ADB17BB5A4B3}"/>
    <cellStyle name="Normal 4 6 3 3 3" xfId="5186" xr:uid="{00000000-0005-0000-0000-00006B160000}"/>
    <cellStyle name="Normal 4 6 3 3 3 2" xfId="13636" xr:uid="{843E2C0E-CF3E-47A3-BA6A-141149ACF032}"/>
    <cellStyle name="Normal 4 6 3 3 3 3" xfId="22070" xr:uid="{78EE1C46-D7CA-4EB7-AC84-DC56ABC6741E}"/>
    <cellStyle name="Normal 4 6 3 3 4" xfId="9418" xr:uid="{589713AF-88D3-460E-854C-EA2A3D616909}"/>
    <cellStyle name="Normal 4 6 3 3 5" xfId="17853" xr:uid="{D1568BD2-E26D-4882-8654-A92A5AFE047B}"/>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8231B2D-4D73-486B-9D55-27330E0CC7D2}"/>
    <cellStyle name="Normal 4 6 3 4 2 2 3" xfId="24628" xr:uid="{2BA548C8-EF2E-4E78-9F92-B7DA403CB93B}"/>
    <cellStyle name="Normal 4 6 3 4 2 3" xfId="11976" xr:uid="{D995C722-7E9C-4775-A546-9498BDC32C09}"/>
    <cellStyle name="Normal 4 6 3 4 2 4" xfId="20411" xr:uid="{6D2C6D5C-28C2-4B3D-91B1-54EBF56868CB}"/>
    <cellStyle name="Normal 4 6 3 4 3" xfId="5599" xr:uid="{00000000-0005-0000-0000-00006F160000}"/>
    <cellStyle name="Normal 4 6 3 4 3 2" xfId="14049" xr:uid="{2843083E-D225-4288-8385-AF33474454E1}"/>
    <cellStyle name="Normal 4 6 3 4 3 3" xfId="22483" xr:uid="{DBCAA273-5770-4F5C-AF45-B205804E9927}"/>
    <cellStyle name="Normal 4 6 3 4 4" xfId="9831" xr:uid="{86D2CFC9-333E-4A8C-B213-C6E4743F78AA}"/>
    <cellStyle name="Normal 4 6 3 4 5" xfId="18266" xr:uid="{D558220F-72A9-47BB-9D6C-FC5D33D7DC87}"/>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BC790B84-4D8A-40B6-BC88-C40C140A57E4}"/>
    <cellStyle name="Normal 4 6 3 5 2 2 3" xfId="25041" xr:uid="{04E81506-F993-4323-87A5-4563E6E7C1C8}"/>
    <cellStyle name="Normal 4 6 3 5 2 3" xfId="12389" xr:uid="{78B6E94F-7A3A-47D1-A46D-EB58CAD9F948}"/>
    <cellStyle name="Normal 4 6 3 5 2 4" xfId="20824" xr:uid="{A41B0ACF-D7F9-486E-B3CC-A090096F734A}"/>
    <cellStyle name="Normal 4 6 3 5 3" xfId="6012" xr:uid="{00000000-0005-0000-0000-000073160000}"/>
    <cellStyle name="Normal 4 6 3 5 3 2" xfId="14462" xr:uid="{8FC5D287-AE65-4B7A-8D83-08BDF4F6FC00}"/>
    <cellStyle name="Normal 4 6 3 5 3 3" xfId="22896" xr:uid="{AD1CCD23-626C-4005-91D9-D1043C0AA239}"/>
    <cellStyle name="Normal 4 6 3 5 4" xfId="10244" xr:uid="{0434A1B3-37A1-46EB-9042-44D2A209408F}"/>
    <cellStyle name="Normal 4 6 3 5 5" xfId="18679" xr:uid="{62B576A2-E15B-47B4-99A7-1FCD9D55568A}"/>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8AE75C66-EAD7-4CB2-8BE8-567D1C50441B}"/>
    <cellStyle name="Normal 4 6 3 6 2 2 3" xfId="25454" xr:uid="{E4BE6FC6-AE08-40A0-A8DD-3D04399477E1}"/>
    <cellStyle name="Normal 4 6 3 6 2 3" xfId="12802" xr:uid="{A9A92619-CFDF-4521-B50E-9B34F694A368}"/>
    <cellStyle name="Normal 4 6 3 6 2 4" xfId="21237" xr:uid="{3106B21D-6AAE-4EF0-AA6D-9CDEBEDC54E4}"/>
    <cellStyle name="Normal 4 6 3 6 3" xfId="6425" xr:uid="{00000000-0005-0000-0000-000077160000}"/>
    <cellStyle name="Normal 4 6 3 6 3 2" xfId="14875" xr:uid="{4343BD31-23F9-4BBE-9E12-7FAC648E8136}"/>
    <cellStyle name="Normal 4 6 3 6 3 3" xfId="23309" xr:uid="{50A00281-61AB-4DF6-8560-70C8FADB1587}"/>
    <cellStyle name="Normal 4 6 3 6 4" xfId="10657" xr:uid="{1637E932-6BAE-4F15-94FA-A725708D51C5}"/>
    <cellStyle name="Normal 4 6 3 6 5" xfId="19092" xr:uid="{93A49DF0-4546-46C4-9C92-BC837330F93B}"/>
    <cellStyle name="Normal 4 6 3 7" xfId="2555" xr:uid="{00000000-0005-0000-0000-000078160000}"/>
    <cellStyle name="Normal 4 6 3 7 2" xfId="6838" xr:uid="{00000000-0005-0000-0000-000079160000}"/>
    <cellStyle name="Normal 4 6 3 7 2 2" xfId="15288" xr:uid="{CBDE3D8D-CEA5-4754-8893-C3A074E02A98}"/>
    <cellStyle name="Normal 4 6 3 7 2 3" xfId="23722" xr:uid="{D10AF5E4-921F-41C6-BF23-3C58FF400900}"/>
    <cellStyle name="Normal 4 6 3 7 3" xfId="11070" xr:uid="{32067E99-855E-4A41-9614-485C653A249F}"/>
    <cellStyle name="Normal 4 6 3 7 4" xfId="19505" xr:uid="{D1FCB800-DC56-4A25-8BD1-091280A76036}"/>
    <cellStyle name="Normal 4 6 3 8" xfId="4773" xr:uid="{00000000-0005-0000-0000-00007A160000}"/>
    <cellStyle name="Normal 4 6 3 8 2" xfId="13223" xr:uid="{0C855049-E115-4615-8424-030B05057013}"/>
    <cellStyle name="Normal 4 6 3 8 3" xfId="21657" xr:uid="{D4DB63BD-AE16-4320-9BE7-20B6BE51E097}"/>
    <cellStyle name="Normal 4 6 3 9" xfId="9005" xr:uid="{CBDD3E6B-1190-4DB3-ABAE-6DCFF0D9D9E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869EACF5-B85B-4D28-8A62-B4B34E9FFCF7}"/>
    <cellStyle name="Normal 4 6 4 2 2 2 3" xfId="24217" xr:uid="{32EB9181-8E68-414A-9AE4-930D4D65D2FC}"/>
    <cellStyle name="Normal 4 6 4 2 2 3" xfId="11565" xr:uid="{8F6FB602-EBF6-4D89-8B75-5CAF1A5B546D}"/>
    <cellStyle name="Normal 4 6 4 2 2 4" xfId="20000" xr:uid="{18E2EA60-A1AF-425B-8811-82F38FFFDD46}"/>
    <cellStyle name="Normal 4 6 4 2 3" xfId="5188" xr:uid="{00000000-0005-0000-0000-00007F160000}"/>
    <cellStyle name="Normal 4 6 4 2 3 2" xfId="13638" xr:uid="{083F0EEC-C329-4065-A3AC-140CADA6AC33}"/>
    <cellStyle name="Normal 4 6 4 2 3 3" xfId="22072" xr:uid="{269E7884-8667-47E6-9046-E813EB029A87}"/>
    <cellStyle name="Normal 4 6 4 2 4" xfId="9420" xr:uid="{86C7F2F2-222E-40A0-A649-4E5B9C876FCD}"/>
    <cellStyle name="Normal 4 6 4 2 5" xfId="17855" xr:uid="{37062BFA-4A95-4EB3-B052-04B3ED235FA6}"/>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37E71AD6-C552-42ED-85DF-57EB5990D23F}"/>
    <cellStyle name="Normal 4 6 4 3 2 2 3" xfId="24630" xr:uid="{BE67FB2A-2F7C-41C8-814B-B08821148A04}"/>
    <cellStyle name="Normal 4 6 4 3 2 3" xfId="11978" xr:uid="{9919491A-DBFB-42C9-B6A9-7292EAF464FB}"/>
    <cellStyle name="Normal 4 6 4 3 2 4" xfId="20413" xr:uid="{8BE3194E-B853-4458-8C17-15B840BEB531}"/>
    <cellStyle name="Normal 4 6 4 3 3" xfId="5601" xr:uid="{00000000-0005-0000-0000-000083160000}"/>
    <cellStyle name="Normal 4 6 4 3 3 2" xfId="14051" xr:uid="{F8845865-1EDD-4B7E-89FC-B363451D539D}"/>
    <cellStyle name="Normal 4 6 4 3 3 3" xfId="22485" xr:uid="{86807A42-A44A-4DF8-A46F-6A66ABCE0618}"/>
    <cellStyle name="Normal 4 6 4 3 4" xfId="9833" xr:uid="{2FDCCD09-6670-4AB9-83F7-77BE37B0616D}"/>
    <cellStyle name="Normal 4 6 4 3 5" xfId="18268" xr:uid="{4A30397F-7426-43F2-A948-9E5E99713E5B}"/>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A4C700F2-5321-45B9-81A2-4AE3CAFDEB61}"/>
    <cellStyle name="Normal 4 6 4 4 2 2 3" xfId="25043" xr:uid="{1D3C1F4D-F1E0-484E-919B-04E31E16CFC2}"/>
    <cellStyle name="Normal 4 6 4 4 2 3" xfId="12391" xr:uid="{DD47B11C-75EB-4328-AC03-38948560B188}"/>
    <cellStyle name="Normal 4 6 4 4 2 4" xfId="20826" xr:uid="{F0202989-0B84-4CA1-8A29-6B4D78AAF7EC}"/>
    <cellStyle name="Normal 4 6 4 4 3" xfId="6014" xr:uid="{00000000-0005-0000-0000-000087160000}"/>
    <cellStyle name="Normal 4 6 4 4 3 2" xfId="14464" xr:uid="{DEA71F6B-C926-4814-95FD-34EAA0EDC67C}"/>
    <cellStyle name="Normal 4 6 4 4 3 3" xfId="22898" xr:uid="{75DDB3F9-AA14-49A9-A4D9-1E05F5BAB9AF}"/>
    <cellStyle name="Normal 4 6 4 4 4" xfId="10246" xr:uid="{79E65966-50CC-4DC5-8E5B-B87BD5B638B6}"/>
    <cellStyle name="Normal 4 6 4 4 5" xfId="18681" xr:uid="{30775DF2-EC6A-4168-A972-9C14EB6997FD}"/>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2F72CB45-048B-4D2D-8946-54C61410CBEB}"/>
    <cellStyle name="Normal 4 6 4 5 2 2 3" xfId="25456" xr:uid="{8E3B3242-0AC7-4FF9-A1E5-237D7D2E5393}"/>
    <cellStyle name="Normal 4 6 4 5 2 3" xfId="12804" xr:uid="{C00A5369-7804-4968-BA5F-2ECDA8A5726D}"/>
    <cellStyle name="Normal 4 6 4 5 2 4" xfId="21239" xr:uid="{9174E554-2414-4247-96EF-79015B010C3A}"/>
    <cellStyle name="Normal 4 6 4 5 3" xfId="6427" xr:uid="{00000000-0005-0000-0000-00008B160000}"/>
    <cellStyle name="Normal 4 6 4 5 3 2" xfId="14877" xr:uid="{EEB99FEE-AB83-466F-B6EC-09C7DD07A568}"/>
    <cellStyle name="Normal 4 6 4 5 3 3" xfId="23311" xr:uid="{3F6FB188-D082-4B12-8289-60D7834D6539}"/>
    <cellStyle name="Normal 4 6 4 5 4" xfId="10659" xr:uid="{7E95E6FE-C14E-4CB9-BA50-039A5AB9FCF5}"/>
    <cellStyle name="Normal 4 6 4 5 5" xfId="19094" xr:uid="{D6179BA8-E797-4367-97CF-5C3AE54D2F23}"/>
    <cellStyle name="Normal 4 6 4 6" xfId="2557" xr:uid="{00000000-0005-0000-0000-00008C160000}"/>
    <cellStyle name="Normal 4 6 4 6 2" xfId="6840" xr:uid="{00000000-0005-0000-0000-00008D160000}"/>
    <cellStyle name="Normal 4 6 4 6 2 2" xfId="15290" xr:uid="{62CD2614-4A1A-4E54-B169-CE6507DEB97C}"/>
    <cellStyle name="Normal 4 6 4 6 2 3" xfId="23724" xr:uid="{89D923F0-3DCB-4334-ACE1-C900DFD61011}"/>
    <cellStyle name="Normal 4 6 4 6 3" xfId="11072" xr:uid="{C2F8507A-DE0F-423C-AF9B-EA1BB1EC7D4D}"/>
    <cellStyle name="Normal 4 6 4 6 4" xfId="19507" xr:uid="{AF8B4805-2147-4380-AC0B-A7FC87DDE2F9}"/>
    <cellStyle name="Normal 4 6 4 7" xfId="4775" xr:uid="{00000000-0005-0000-0000-00008E160000}"/>
    <cellStyle name="Normal 4 6 4 7 2" xfId="13225" xr:uid="{CF9792AA-8BD8-498D-A074-B2B7AE5B5659}"/>
    <cellStyle name="Normal 4 6 4 7 3" xfId="21659" xr:uid="{6AF7CCBA-5F36-4973-9EE1-749E473370A2}"/>
    <cellStyle name="Normal 4 6 4 8" xfId="9007" xr:uid="{98622921-57C5-4389-AC06-A568A96F9897}"/>
    <cellStyle name="Normal 4 6 4 9" xfId="17442" xr:uid="{460CE43F-4640-4174-9C14-3EF9D953EFF2}"/>
    <cellStyle name="Normal 4 6 5" xfId="869" xr:uid="{00000000-0005-0000-0000-00008F160000}"/>
    <cellStyle name="Normal 4 6 5 2" xfId="3104" xr:uid="{00000000-0005-0000-0000-000090160000}"/>
    <cellStyle name="Normal 4 6 5 2 2" xfId="7326" xr:uid="{00000000-0005-0000-0000-000091160000}"/>
    <cellStyle name="Normal 4 6 5 2 2 2" xfId="15776" xr:uid="{F2BF3F3A-0046-46D4-910C-8D92EF1168CA}"/>
    <cellStyle name="Normal 4 6 5 2 2 3" xfId="24210" xr:uid="{96C313B1-0968-4C62-9C15-972BEDD99020}"/>
    <cellStyle name="Normal 4 6 5 2 3" xfId="11558" xr:uid="{B8DE47BE-7DD8-469F-B9EF-D2197CCEEFAB}"/>
    <cellStyle name="Normal 4 6 5 2 4" xfId="19993" xr:uid="{6A54228E-C3D6-4957-8CC6-545B87F395F5}"/>
    <cellStyle name="Normal 4 6 5 3" xfId="5181" xr:uid="{00000000-0005-0000-0000-000092160000}"/>
    <cellStyle name="Normal 4 6 5 3 2" xfId="13631" xr:uid="{A8F7C1AE-3889-4792-ADE7-2C1411F83853}"/>
    <cellStyle name="Normal 4 6 5 3 3" xfId="22065" xr:uid="{8F7FA94F-3D3D-4356-9451-D9F554AED202}"/>
    <cellStyle name="Normal 4 6 5 4" xfId="9413" xr:uid="{7E8B8E61-1125-4995-914D-44DBDE6349A4}"/>
    <cellStyle name="Normal 4 6 5 5" xfId="17848" xr:uid="{35CE8861-4B38-44D2-BF66-459E14D01251}"/>
    <cellStyle name="Normal 4 6 6" xfId="1287" xr:uid="{00000000-0005-0000-0000-000093160000}"/>
    <cellStyle name="Normal 4 6 6 2" xfId="3517" xr:uid="{00000000-0005-0000-0000-000094160000}"/>
    <cellStyle name="Normal 4 6 6 2 2" xfId="7739" xr:uid="{00000000-0005-0000-0000-000095160000}"/>
    <cellStyle name="Normal 4 6 6 2 2 2" xfId="16189" xr:uid="{BE75BD65-F1BC-4C4B-9B4F-C1B805B1050E}"/>
    <cellStyle name="Normal 4 6 6 2 2 3" xfId="24623" xr:uid="{C489AE0E-1889-406E-AE37-6538EAF0F0B4}"/>
    <cellStyle name="Normal 4 6 6 2 3" xfId="11971" xr:uid="{B3A6AF95-F3C3-40A2-A22D-0C950FF778B9}"/>
    <cellStyle name="Normal 4 6 6 2 4" xfId="20406" xr:uid="{3AD0B480-2F62-448C-86A0-45F1D9BE161C}"/>
    <cellStyle name="Normal 4 6 6 3" xfId="5594" xr:uid="{00000000-0005-0000-0000-000096160000}"/>
    <cellStyle name="Normal 4 6 6 3 2" xfId="14044" xr:uid="{247FB8FD-86CD-4480-B877-3F5E0398FA3A}"/>
    <cellStyle name="Normal 4 6 6 3 3" xfId="22478" xr:uid="{82955A94-B3A0-462F-A3AB-F8F40052514E}"/>
    <cellStyle name="Normal 4 6 6 4" xfId="9826" xr:uid="{D9429EEB-D016-4723-9473-520D63112D03}"/>
    <cellStyle name="Normal 4 6 6 5" xfId="18261" xr:uid="{ED35F779-58B5-4BF1-92D4-598ECDB038E9}"/>
    <cellStyle name="Normal 4 6 7" xfId="1700" xr:uid="{00000000-0005-0000-0000-000097160000}"/>
    <cellStyle name="Normal 4 6 7 2" xfId="3930" xr:uid="{00000000-0005-0000-0000-000098160000}"/>
    <cellStyle name="Normal 4 6 7 2 2" xfId="8152" xr:uid="{00000000-0005-0000-0000-000099160000}"/>
    <cellStyle name="Normal 4 6 7 2 2 2" xfId="16602" xr:uid="{F9240E5C-3401-4667-A275-CBE10A37A3D2}"/>
    <cellStyle name="Normal 4 6 7 2 2 3" xfId="25036" xr:uid="{1D325A4D-D253-4ED0-A89C-E476E88E501D}"/>
    <cellStyle name="Normal 4 6 7 2 3" xfId="12384" xr:uid="{3745E62A-EA30-4C42-8F6A-C9A9BD2C836F}"/>
    <cellStyle name="Normal 4 6 7 2 4" xfId="20819" xr:uid="{B37D8D8C-3D6B-44BA-8994-5B53E34A31EB}"/>
    <cellStyle name="Normal 4 6 7 3" xfId="6007" xr:uid="{00000000-0005-0000-0000-00009A160000}"/>
    <cellStyle name="Normal 4 6 7 3 2" xfId="14457" xr:uid="{CB0F7413-E817-4166-B748-880F538B2022}"/>
    <cellStyle name="Normal 4 6 7 3 3" xfId="22891" xr:uid="{7F2788B5-2AB8-416D-8305-60E7ECA37993}"/>
    <cellStyle name="Normal 4 6 7 4" xfId="10239" xr:uid="{5B5D3272-8BA3-4FB7-B237-3BB5E4D00134}"/>
    <cellStyle name="Normal 4 6 7 5" xfId="18674" xr:uid="{825626D1-8DE4-452C-851F-0F493CE2B30E}"/>
    <cellStyle name="Normal 4 6 8" xfId="2114" xr:uid="{00000000-0005-0000-0000-00009B160000}"/>
    <cellStyle name="Normal 4 6 8 2" xfId="4343" xr:uid="{00000000-0005-0000-0000-00009C160000}"/>
    <cellStyle name="Normal 4 6 8 2 2" xfId="8565" xr:uid="{00000000-0005-0000-0000-00009D160000}"/>
    <cellStyle name="Normal 4 6 8 2 2 2" xfId="17015" xr:uid="{37EF764E-2E12-4CC1-B25D-F2CDD6834681}"/>
    <cellStyle name="Normal 4 6 8 2 2 3" xfId="25449" xr:uid="{C846DAB5-89BC-429D-A606-827C8903CA5F}"/>
    <cellStyle name="Normal 4 6 8 2 3" xfId="12797" xr:uid="{FE400ECB-2981-4F89-BC94-0B542D30487C}"/>
    <cellStyle name="Normal 4 6 8 2 4" xfId="21232" xr:uid="{F248544D-561C-42A3-B935-AA8A2D9C1786}"/>
    <cellStyle name="Normal 4 6 8 3" xfId="6420" xr:uid="{00000000-0005-0000-0000-00009E160000}"/>
    <cellStyle name="Normal 4 6 8 3 2" xfId="14870" xr:uid="{6AE862E1-EED1-4CE1-A17C-A43CDE68178F}"/>
    <cellStyle name="Normal 4 6 8 3 3" xfId="23304" xr:uid="{BC2886A1-215C-48B3-AA64-90CAC9F0CFF8}"/>
    <cellStyle name="Normal 4 6 8 4" xfId="10652" xr:uid="{DC06186F-6B91-4B15-8B59-D0BCEB489619}"/>
    <cellStyle name="Normal 4 6 8 5" xfId="19087" xr:uid="{088AAD4F-B762-4279-8F33-CD2D3EF908CF}"/>
    <cellStyle name="Normal 4 6 9" xfId="2550" xr:uid="{00000000-0005-0000-0000-00009F160000}"/>
    <cellStyle name="Normal 4 6 9 2" xfId="6833" xr:uid="{00000000-0005-0000-0000-0000A0160000}"/>
    <cellStyle name="Normal 4 6 9 2 2" xfId="15283" xr:uid="{9279F373-13FA-48B2-A710-08886CD9A4C0}"/>
    <cellStyle name="Normal 4 6 9 2 3" xfId="23717" xr:uid="{0DD0E5E5-99A8-4874-A6EB-0A8624A1B79A}"/>
    <cellStyle name="Normal 4 6 9 3" xfId="11065" xr:uid="{BE945AB5-D93D-48FB-B352-CE859CA9E69D}"/>
    <cellStyle name="Normal 4 6 9 4" xfId="19500" xr:uid="{1B6B4D7F-2C22-4BAC-B29C-4C1E2A338E48}"/>
    <cellStyle name="Normal 4 7" xfId="403" xr:uid="{00000000-0005-0000-0000-0000A1160000}"/>
    <cellStyle name="Normal 4 7 10" xfId="17443" xr:uid="{EE202CC7-FF61-4549-8DD6-D7DEFFE4A84D}"/>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6636A08D-2450-4185-B183-CC058D8C9E67}"/>
    <cellStyle name="Normal 4 7 2 2 2 2 3" xfId="24219" xr:uid="{69DB52A7-F86E-4829-891F-88A4A339C934}"/>
    <cellStyle name="Normal 4 7 2 2 2 3" xfId="11567" xr:uid="{82CC9F06-864A-48B5-8355-17B316C2D3F8}"/>
    <cellStyle name="Normal 4 7 2 2 2 4" xfId="20002" xr:uid="{73158D08-6F3E-4627-B84B-04AF3B7A1C25}"/>
    <cellStyle name="Normal 4 7 2 2 3" xfId="5190" xr:uid="{00000000-0005-0000-0000-0000A6160000}"/>
    <cellStyle name="Normal 4 7 2 2 3 2" xfId="13640" xr:uid="{0FC39056-A037-4941-9885-12A42850EC65}"/>
    <cellStyle name="Normal 4 7 2 2 3 3" xfId="22074" xr:uid="{26B53F30-3401-4CE8-97FA-7EA6C25387ED}"/>
    <cellStyle name="Normal 4 7 2 2 4" xfId="9422" xr:uid="{1FFD6447-8C4B-4FAF-BA85-0E3C915D9302}"/>
    <cellStyle name="Normal 4 7 2 2 5" xfId="17857" xr:uid="{2B6FBA00-045A-43BE-AF79-5A2A4A73A612}"/>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D038E4C3-B183-499D-AE27-3FD14ACB2F12}"/>
    <cellStyle name="Normal 4 7 2 3 2 2 3" xfId="24632" xr:uid="{8EB38B95-E9CF-4F01-8580-6566EA346892}"/>
    <cellStyle name="Normal 4 7 2 3 2 3" xfId="11980" xr:uid="{6A326394-BDA3-49C9-97FB-C1E003D53434}"/>
    <cellStyle name="Normal 4 7 2 3 2 4" xfId="20415" xr:uid="{D0F4D306-CAEC-4433-A6BE-56750043F729}"/>
    <cellStyle name="Normal 4 7 2 3 3" xfId="5603" xr:uid="{00000000-0005-0000-0000-0000AA160000}"/>
    <cellStyle name="Normal 4 7 2 3 3 2" xfId="14053" xr:uid="{3C04DD74-9C2A-4732-8D10-AE97DFF39168}"/>
    <cellStyle name="Normal 4 7 2 3 3 3" xfId="22487" xr:uid="{5D3B2674-7190-4538-902C-91C84DC96171}"/>
    <cellStyle name="Normal 4 7 2 3 4" xfId="9835" xr:uid="{595EF7E5-4739-43BA-A1D5-CC9E80AEC615}"/>
    <cellStyle name="Normal 4 7 2 3 5" xfId="18270" xr:uid="{C7ED5AAB-6387-4A0D-AF2D-03C732BE69B0}"/>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FCA603F5-9176-4D89-8ABA-918395F0FFD0}"/>
    <cellStyle name="Normal 4 7 2 4 2 2 3" xfId="25045" xr:uid="{25032493-84B7-440A-9D51-004FF4CA331B}"/>
    <cellStyle name="Normal 4 7 2 4 2 3" xfId="12393" xr:uid="{D1741791-F181-444E-9EC8-0CE17A4A5F23}"/>
    <cellStyle name="Normal 4 7 2 4 2 4" xfId="20828" xr:uid="{05803202-A04E-403B-9D97-CB2390208D30}"/>
    <cellStyle name="Normal 4 7 2 4 3" xfId="6016" xr:uid="{00000000-0005-0000-0000-0000AE160000}"/>
    <cellStyle name="Normal 4 7 2 4 3 2" xfId="14466" xr:uid="{901BA7FB-C6D0-4E99-971A-FA602C8011E3}"/>
    <cellStyle name="Normal 4 7 2 4 3 3" xfId="22900" xr:uid="{F524DCAB-3A2B-423F-8320-7C9BE029EDEE}"/>
    <cellStyle name="Normal 4 7 2 4 4" xfId="10248" xr:uid="{75544D3E-307C-455F-BDB5-7959863B9A90}"/>
    <cellStyle name="Normal 4 7 2 4 5" xfId="18683" xr:uid="{BED42CF4-1B68-4DBC-A337-1504FDAE1D9F}"/>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F8322FAB-06C7-4F8E-8331-239D3FCD0169}"/>
    <cellStyle name="Normal 4 7 2 5 2 2 3" xfId="25458" xr:uid="{D9E1328B-1617-4CDE-9955-C84061DC3191}"/>
    <cellStyle name="Normal 4 7 2 5 2 3" xfId="12806" xr:uid="{746A0039-C362-47A2-80E0-464B42E2CB24}"/>
    <cellStyle name="Normal 4 7 2 5 2 4" xfId="21241" xr:uid="{B6D1E2CF-1008-4BAB-A940-119F77F264E5}"/>
    <cellStyle name="Normal 4 7 2 5 3" xfId="6429" xr:uid="{00000000-0005-0000-0000-0000B2160000}"/>
    <cellStyle name="Normal 4 7 2 5 3 2" xfId="14879" xr:uid="{355F7551-B62F-4091-AE30-EACBA8921657}"/>
    <cellStyle name="Normal 4 7 2 5 3 3" xfId="23313" xr:uid="{B71A1D34-0C04-4343-83A4-BB216FF805C0}"/>
    <cellStyle name="Normal 4 7 2 5 4" xfId="10661" xr:uid="{7449278C-DFC7-4BA5-A812-850D542497D3}"/>
    <cellStyle name="Normal 4 7 2 5 5" xfId="19096" xr:uid="{6F5F8E70-A40B-41B3-A974-A741F00349E5}"/>
    <cellStyle name="Normal 4 7 2 6" xfId="2559" xr:uid="{00000000-0005-0000-0000-0000B3160000}"/>
    <cellStyle name="Normal 4 7 2 6 2" xfId="6842" xr:uid="{00000000-0005-0000-0000-0000B4160000}"/>
    <cellStyle name="Normal 4 7 2 6 2 2" xfId="15292" xr:uid="{B79EDE5A-A630-45AB-BE06-332883C35841}"/>
    <cellStyle name="Normal 4 7 2 6 2 3" xfId="23726" xr:uid="{E5BE4B30-AF9F-458C-A2B1-2EC8CE849568}"/>
    <cellStyle name="Normal 4 7 2 6 3" xfId="11074" xr:uid="{9B959877-6597-4119-B1D2-AA6C48B1E220}"/>
    <cellStyle name="Normal 4 7 2 6 4" xfId="19509" xr:uid="{CED0F4BD-1901-45C4-B5F1-7977C0A9F7C4}"/>
    <cellStyle name="Normal 4 7 2 7" xfId="4777" xr:uid="{00000000-0005-0000-0000-0000B5160000}"/>
    <cellStyle name="Normal 4 7 2 7 2" xfId="13227" xr:uid="{4734B339-6ED0-479C-9AB9-9F8626C7FFE8}"/>
    <cellStyle name="Normal 4 7 2 7 3" xfId="21661" xr:uid="{5C199F78-4C01-41D0-9BBE-A1378EF7A884}"/>
    <cellStyle name="Normal 4 7 2 8" xfId="9009" xr:uid="{0DF31D35-9822-44E5-A731-33914D335624}"/>
    <cellStyle name="Normal 4 7 2 9" xfId="17444" xr:uid="{49DF2BF8-2803-44F7-A970-A1CE964D2B8F}"/>
    <cellStyle name="Normal 4 7 3" xfId="877" xr:uid="{00000000-0005-0000-0000-0000B6160000}"/>
    <cellStyle name="Normal 4 7 3 2" xfId="3112" xr:uid="{00000000-0005-0000-0000-0000B7160000}"/>
    <cellStyle name="Normal 4 7 3 2 2" xfId="7334" xr:uid="{00000000-0005-0000-0000-0000B8160000}"/>
    <cellStyle name="Normal 4 7 3 2 2 2" xfId="15784" xr:uid="{837B143F-4E0B-46CC-A6D7-F7A824DB3956}"/>
    <cellStyle name="Normal 4 7 3 2 2 3" xfId="24218" xr:uid="{AFC74773-7D66-4C86-8532-6DA3DB693409}"/>
    <cellStyle name="Normal 4 7 3 2 3" xfId="11566" xr:uid="{BE82D157-A29F-4012-934E-CC24789FE708}"/>
    <cellStyle name="Normal 4 7 3 2 4" xfId="20001" xr:uid="{DF972893-AF51-4850-ACC2-415851F6A997}"/>
    <cellStyle name="Normal 4 7 3 3" xfId="5189" xr:uid="{00000000-0005-0000-0000-0000B9160000}"/>
    <cellStyle name="Normal 4 7 3 3 2" xfId="13639" xr:uid="{A5CE2C43-83A8-4DC1-803D-CB1961EE7443}"/>
    <cellStyle name="Normal 4 7 3 3 3" xfId="22073" xr:uid="{CA76AEEE-8BBA-439B-BFF2-D8F1D54453B7}"/>
    <cellStyle name="Normal 4 7 3 4" xfId="9421" xr:uid="{5584D08C-9CFE-47A2-A4AB-A2AF5AC24943}"/>
    <cellStyle name="Normal 4 7 3 5" xfId="17856" xr:uid="{D458882F-C7E8-4B76-BDFD-E67F814980EE}"/>
    <cellStyle name="Normal 4 7 4" xfId="1295" xr:uid="{00000000-0005-0000-0000-0000BA160000}"/>
    <cellStyle name="Normal 4 7 4 2" xfId="3525" xr:uid="{00000000-0005-0000-0000-0000BB160000}"/>
    <cellStyle name="Normal 4 7 4 2 2" xfId="7747" xr:uid="{00000000-0005-0000-0000-0000BC160000}"/>
    <cellStyle name="Normal 4 7 4 2 2 2" xfId="16197" xr:uid="{6FD434D5-3AD3-4BB7-A960-141A8A086F7F}"/>
    <cellStyle name="Normal 4 7 4 2 2 3" xfId="24631" xr:uid="{E4201253-1E70-411A-8868-ABDF3CE46F35}"/>
    <cellStyle name="Normal 4 7 4 2 3" xfId="11979" xr:uid="{E671A9B9-FE0B-4EB8-8896-E8C21C78F292}"/>
    <cellStyle name="Normal 4 7 4 2 4" xfId="20414" xr:uid="{B47DCC44-2C1E-439A-9131-169B6C88C291}"/>
    <cellStyle name="Normal 4 7 4 3" xfId="5602" xr:uid="{00000000-0005-0000-0000-0000BD160000}"/>
    <cellStyle name="Normal 4 7 4 3 2" xfId="14052" xr:uid="{4BEB66FB-44D2-4DCB-A3D4-9D9C56FBBF44}"/>
    <cellStyle name="Normal 4 7 4 3 3" xfId="22486" xr:uid="{E573BA35-F844-46E3-A54C-1668552A048D}"/>
    <cellStyle name="Normal 4 7 4 4" xfId="9834" xr:uid="{A3E90489-FF59-4055-8E71-4BC89B5DEC1F}"/>
    <cellStyle name="Normal 4 7 4 5" xfId="18269" xr:uid="{9098EC25-5BD9-4EEB-B4BA-41959FC9AB4F}"/>
    <cellStyle name="Normal 4 7 5" xfId="1708" xr:uid="{00000000-0005-0000-0000-0000BE160000}"/>
    <cellStyle name="Normal 4 7 5 2" xfId="3938" xr:uid="{00000000-0005-0000-0000-0000BF160000}"/>
    <cellStyle name="Normal 4 7 5 2 2" xfId="8160" xr:uid="{00000000-0005-0000-0000-0000C0160000}"/>
    <cellStyle name="Normal 4 7 5 2 2 2" xfId="16610" xr:uid="{AA36FACB-C63E-4BB9-95A7-1F6317E4A652}"/>
    <cellStyle name="Normal 4 7 5 2 2 3" xfId="25044" xr:uid="{DE2B169E-1CF0-4CB8-9459-650A8674D6E5}"/>
    <cellStyle name="Normal 4 7 5 2 3" xfId="12392" xr:uid="{893342FE-C7F4-4F65-BEAE-D91971153DF5}"/>
    <cellStyle name="Normal 4 7 5 2 4" xfId="20827" xr:uid="{56D875DC-8955-45A7-A121-98E504A535D8}"/>
    <cellStyle name="Normal 4 7 5 3" xfId="6015" xr:uid="{00000000-0005-0000-0000-0000C1160000}"/>
    <cellStyle name="Normal 4 7 5 3 2" xfId="14465" xr:uid="{3AB24C1F-EEDE-49EB-A908-833E35147929}"/>
    <cellStyle name="Normal 4 7 5 3 3" xfId="22899" xr:uid="{3A972FC0-799F-4107-A220-48E7DE3F031A}"/>
    <cellStyle name="Normal 4 7 5 4" xfId="10247" xr:uid="{38C978CA-3C77-41C8-968F-BFE235E12FD7}"/>
    <cellStyle name="Normal 4 7 5 5" xfId="18682" xr:uid="{986AE65E-9B26-4BF2-A19C-B774F3080CBE}"/>
    <cellStyle name="Normal 4 7 6" xfId="2122" xr:uid="{00000000-0005-0000-0000-0000C2160000}"/>
    <cellStyle name="Normal 4 7 6 2" xfId="4351" xr:uid="{00000000-0005-0000-0000-0000C3160000}"/>
    <cellStyle name="Normal 4 7 6 2 2" xfId="8573" xr:uid="{00000000-0005-0000-0000-0000C4160000}"/>
    <cellStyle name="Normal 4 7 6 2 2 2" xfId="17023" xr:uid="{AD566953-AA97-40A0-BB20-964B7577055E}"/>
    <cellStyle name="Normal 4 7 6 2 2 3" xfId="25457" xr:uid="{CDED3C68-8760-4D34-AE3A-FC709B40390B}"/>
    <cellStyle name="Normal 4 7 6 2 3" xfId="12805" xr:uid="{BDEAC2FC-4DC9-452E-8F12-8C41E70D3729}"/>
    <cellStyle name="Normal 4 7 6 2 4" xfId="21240" xr:uid="{26F640D4-F04E-47B2-A30A-C42DD79B7783}"/>
    <cellStyle name="Normal 4 7 6 3" xfId="6428" xr:uid="{00000000-0005-0000-0000-0000C5160000}"/>
    <cellStyle name="Normal 4 7 6 3 2" xfId="14878" xr:uid="{98221BA5-6A9F-415D-930B-5DF4288F4BB4}"/>
    <cellStyle name="Normal 4 7 6 3 3" xfId="23312" xr:uid="{54BA9FC9-1ADE-46A9-ABDC-A50F9304F2B5}"/>
    <cellStyle name="Normal 4 7 6 4" xfId="10660" xr:uid="{D4275C13-1CA2-461D-BFA7-E9617108AF58}"/>
    <cellStyle name="Normal 4 7 6 5" xfId="19095" xr:uid="{F2E3CA6E-4F53-4421-BB37-43BD332911AE}"/>
    <cellStyle name="Normal 4 7 7" xfId="2558" xr:uid="{00000000-0005-0000-0000-0000C6160000}"/>
    <cellStyle name="Normal 4 7 7 2" xfId="6841" xr:uid="{00000000-0005-0000-0000-0000C7160000}"/>
    <cellStyle name="Normal 4 7 7 2 2" xfId="15291" xr:uid="{17A3C22D-04FE-41DB-A485-BF0AFC5393CF}"/>
    <cellStyle name="Normal 4 7 7 2 3" xfId="23725" xr:uid="{64F2DAE2-67CC-4D97-8F64-6BA092D7ED29}"/>
    <cellStyle name="Normal 4 7 7 3" xfId="11073" xr:uid="{339CBCCF-E170-474B-B75E-97B9543A0807}"/>
    <cellStyle name="Normal 4 7 7 4" xfId="19508" xr:uid="{44555890-30DD-4706-97A3-06726ECF4AB5}"/>
    <cellStyle name="Normal 4 7 8" xfId="4776" xr:uid="{00000000-0005-0000-0000-0000C8160000}"/>
    <cellStyle name="Normal 4 7 8 2" xfId="13226" xr:uid="{8FA42860-D132-428B-B431-084C14BBE503}"/>
    <cellStyle name="Normal 4 7 8 3" xfId="21660" xr:uid="{E01CD9CD-1148-4FC0-8D3B-7D722D587E5B}"/>
    <cellStyle name="Normal 4 7 9" xfId="9008" xr:uid="{0D52FB99-D05F-4AAD-92E6-C3205E2EE14A}"/>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BA4DE102-C901-4DF8-B73C-F4263ABC2EA3}"/>
    <cellStyle name="Normal 4 8 2 2 2 3" xfId="24220" xr:uid="{94C50234-8953-40BD-BD9D-34DBFB6037BB}"/>
    <cellStyle name="Normal 4 8 2 2 3" xfId="11568" xr:uid="{A2F78217-C812-4904-A04A-9D20FA250B09}"/>
    <cellStyle name="Normal 4 8 2 2 4" xfId="20003" xr:uid="{722C794F-EEF6-4F9E-95C1-B7A48633803D}"/>
    <cellStyle name="Normal 4 8 2 3" xfId="5191" xr:uid="{00000000-0005-0000-0000-0000CD160000}"/>
    <cellStyle name="Normal 4 8 2 3 2" xfId="13641" xr:uid="{DB9E140E-1AC6-4BEF-B12F-233A0885B441}"/>
    <cellStyle name="Normal 4 8 2 3 3" xfId="22075" xr:uid="{B5813ADB-B0AF-489E-B22C-CDE86696BFE5}"/>
    <cellStyle name="Normal 4 8 2 4" xfId="9423" xr:uid="{48D22635-C702-4E1B-B7DC-DC7D0BF6E833}"/>
    <cellStyle name="Normal 4 8 2 5" xfId="17858" xr:uid="{1DE05576-07F2-4360-B532-421D55BAE145}"/>
    <cellStyle name="Normal 4 8 3" xfId="1297" xr:uid="{00000000-0005-0000-0000-0000CE160000}"/>
    <cellStyle name="Normal 4 8 3 2" xfId="3527" xr:uid="{00000000-0005-0000-0000-0000CF160000}"/>
    <cellStyle name="Normal 4 8 3 2 2" xfId="7749" xr:uid="{00000000-0005-0000-0000-0000D0160000}"/>
    <cellStyle name="Normal 4 8 3 2 2 2" xfId="16199" xr:uid="{DE4923E2-D2A0-454E-A438-B19AE624ABB2}"/>
    <cellStyle name="Normal 4 8 3 2 2 3" xfId="24633" xr:uid="{E05C1656-8313-4A62-8AEC-C22989988AB6}"/>
    <cellStyle name="Normal 4 8 3 2 3" xfId="11981" xr:uid="{7ED7E99C-A1BA-41C0-9177-E3FFA9A221E7}"/>
    <cellStyle name="Normal 4 8 3 2 4" xfId="20416" xr:uid="{7CE32AC4-4D08-4720-B7DC-4983FBA818B0}"/>
    <cellStyle name="Normal 4 8 3 3" xfId="5604" xr:uid="{00000000-0005-0000-0000-0000D1160000}"/>
    <cellStyle name="Normal 4 8 3 3 2" xfId="14054" xr:uid="{D43FAAC0-8B71-402F-AA6F-34B619BC9C93}"/>
    <cellStyle name="Normal 4 8 3 3 3" xfId="22488" xr:uid="{57837D9F-880E-462C-AC8F-8C8D0969E8E3}"/>
    <cellStyle name="Normal 4 8 3 4" xfId="9836" xr:uid="{D4C55B72-462C-4385-9ABB-E1AC6F879AD2}"/>
    <cellStyle name="Normal 4 8 3 5" xfId="18271" xr:uid="{0A76C7D6-A4E6-4867-846A-C97126395753}"/>
    <cellStyle name="Normal 4 8 4" xfId="1710" xr:uid="{00000000-0005-0000-0000-0000D2160000}"/>
    <cellStyle name="Normal 4 8 4 2" xfId="3940" xr:uid="{00000000-0005-0000-0000-0000D3160000}"/>
    <cellStyle name="Normal 4 8 4 2 2" xfId="8162" xr:uid="{00000000-0005-0000-0000-0000D4160000}"/>
    <cellStyle name="Normal 4 8 4 2 2 2" xfId="16612" xr:uid="{FF4CA72E-2C9E-4CF0-A305-7AC338568B41}"/>
    <cellStyle name="Normal 4 8 4 2 2 3" xfId="25046" xr:uid="{25E3C807-1E2C-426D-882D-880350239D42}"/>
    <cellStyle name="Normal 4 8 4 2 3" xfId="12394" xr:uid="{B9FEF5AF-DB72-4B53-823B-3D60200FBF14}"/>
    <cellStyle name="Normal 4 8 4 2 4" xfId="20829" xr:uid="{50E83AF3-B608-4F6D-BFB2-1A4D1B20F8DC}"/>
    <cellStyle name="Normal 4 8 4 3" xfId="6017" xr:uid="{00000000-0005-0000-0000-0000D5160000}"/>
    <cellStyle name="Normal 4 8 4 3 2" xfId="14467" xr:uid="{CD3E1DB8-9D39-4EAF-8552-1CE495186039}"/>
    <cellStyle name="Normal 4 8 4 3 3" xfId="22901" xr:uid="{E8D35301-2F06-4B6B-A228-7A1F063A7E16}"/>
    <cellStyle name="Normal 4 8 4 4" xfId="10249" xr:uid="{0E0B6691-ACAD-4CD5-840E-916B53FC9057}"/>
    <cellStyle name="Normal 4 8 4 5" xfId="18684" xr:uid="{BE1FBD79-298C-4EDD-8276-0033E10E227C}"/>
    <cellStyle name="Normal 4 8 5" xfId="2124" xr:uid="{00000000-0005-0000-0000-0000D6160000}"/>
    <cellStyle name="Normal 4 8 5 2" xfId="4353" xr:uid="{00000000-0005-0000-0000-0000D7160000}"/>
    <cellStyle name="Normal 4 8 5 2 2" xfId="8575" xr:uid="{00000000-0005-0000-0000-0000D8160000}"/>
    <cellStyle name="Normal 4 8 5 2 2 2" xfId="17025" xr:uid="{D18E1F09-B337-4C1E-A773-F49B17057F77}"/>
    <cellStyle name="Normal 4 8 5 2 2 3" xfId="25459" xr:uid="{FC1A7415-CC3D-4817-ACE2-FC8630D38A63}"/>
    <cellStyle name="Normal 4 8 5 2 3" xfId="12807" xr:uid="{D95FCDC0-9C21-4316-976C-BD9C5E88C903}"/>
    <cellStyle name="Normal 4 8 5 2 4" xfId="21242" xr:uid="{EBC29269-32D5-4C85-875E-262A0D93FC31}"/>
    <cellStyle name="Normal 4 8 5 3" xfId="6430" xr:uid="{00000000-0005-0000-0000-0000D9160000}"/>
    <cellStyle name="Normal 4 8 5 3 2" xfId="14880" xr:uid="{DDEE8DB8-0FCB-4FB9-9973-BFEFE2D60413}"/>
    <cellStyle name="Normal 4 8 5 3 3" xfId="23314" xr:uid="{9BEB2E0F-0FA7-4013-9EB0-455EC82FF2FF}"/>
    <cellStyle name="Normal 4 8 5 4" xfId="10662" xr:uid="{B6A5A506-401A-4233-86DC-FF09F46DA558}"/>
    <cellStyle name="Normal 4 8 5 5" xfId="19097" xr:uid="{A09FC5C4-92A8-43BD-823E-C11666A5B3B3}"/>
    <cellStyle name="Normal 4 8 6" xfId="2560" xr:uid="{00000000-0005-0000-0000-0000DA160000}"/>
    <cellStyle name="Normal 4 8 6 2" xfId="6843" xr:uid="{00000000-0005-0000-0000-0000DB160000}"/>
    <cellStyle name="Normal 4 8 6 2 2" xfId="15293" xr:uid="{43307F3D-3D2D-4EC7-A8D7-4B523E4186D3}"/>
    <cellStyle name="Normal 4 8 6 2 3" xfId="23727" xr:uid="{46A08E53-6D98-4A21-B634-8E9D5F554758}"/>
    <cellStyle name="Normal 4 8 6 3" xfId="11075" xr:uid="{86F5CDD9-E832-4EF1-8A49-2E2AA32E36D3}"/>
    <cellStyle name="Normal 4 8 6 4" xfId="19510" xr:uid="{1B4C4F8E-8540-4DB3-B0E8-3A9268F4CF25}"/>
    <cellStyle name="Normal 4 8 7" xfId="4778" xr:uid="{00000000-0005-0000-0000-0000DC160000}"/>
    <cellStyle name="Normal 4 8 7 2" xfId="13228" xr:uid="{EA75B3DF-A308-429A-9724-179CDFB53819}"/>
    <cellStyle name="Normal 4 8 7 3" xfId="21662" xr:uid="{3071E870-10DF-471E-ADDD-E2D92C163758}"/>
    <cellStyle name="Normal 4 8 8" xfId="9010" xr:uid="{17FD5458-23FC-4BB0-9149-164994E2F60D}"/>
    <cellStyle name="Normal 4 8 9" xfId="17445" xr:uid="{C1EB99A2-DDFB-47F8-9AF8-6515D7E65348}"/>
    <cellStyle name="Normal 4 9" xfId="4715" xr:uid="{00000000-0005-0000-0000-0000DD160000}"/>
    <cellStyle name="Normal 4 9 2" xfId="13165" xr:uid="{BB446CC7-0973-47F5-AF55-4AAB0E55B820}"/>
    <cellStyle name="Normal 4 9 3" xfId="21599" xr:uid="{DCEC4878-1DB5-4C7A-B309-400278CA303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D1E9A7B7-DE7B-46E7-A841-19BFA6E17780}"/>
    <cellStyle name="Normal 5 10 2 2 3" xfId="25047" xr:uid="{534E01AC-0109-4653-BB8B-066B619A3AA8}"/>
    <cellStyle name="Normal 5 10 2 3" xfId="12395" xr:uid="{1DB9FB77-3C07-4FBF-8806-D755AA3CC0DE}"/>
    <cellStyle name="Normal 5 10 2 4" xfId="20830" xr:uid="{42177F7C-0768-49C3-9A02-6A0DB0AE3DFD}"/>
    <cellStyle name="Normal 5 10 3" xfId="6018" xr:uid="{00000000-0005-0000-0000-0000E2160000}"/>
    <cellStyle name="Normal 5 10 3 2" xfId="14468" xr:uid="{B5E98C73-F075-43F8-B458-B17C784B884B}"/>
    <cellStyle name="Normal 5 10 3 3" xfId="22902" xr:uid="{3A282897-AE9D-4D2B-A903-00F2A2392CF9}"/>
    <cellStyle name="Normal 5 10 4" xfId="10250" xr:uid="{BE6E5050-AB90-49D3-86B2-FA42E425A24A}"/>
    <cellStyle name="Normal 5 10 5" xfId="18685" xr:uid="{D124A389-4D94-44ED-9F00-723C0CF8E6D4}"/>
    <cellStyle name="Normal 5 11" xfId="2125" xr:uid="{00000000-0005-0000-0000-0000E3160000}"/>
    <cellStyle name="Normal 5 11 2" xfId="4354" xr:uid="{00000000-0005-0000-0000-0000E4160000}"/>
    <cellStyle name="Normal 5 11 2 2" xfId="8576" xr:uid="{00000000-0005-0000-0000-0000E5160000}"/>
    <cellStyle name="Normal 5 11 2 2 2" xfId="17026" xr:uid="{9C210E02-96AB-4DE4-8039-CE793B5D897F}"/>
    <cellStyle name="Normal 5 11 2 2 3" xfId="25460" xr:uid="{4623909C-1553-4F04-A3D6-6935450410B9}"/>
    <cellStyle name="Normal 5 11 2 3" xfId="12808" xr:uid="{50709535-54BF-4CBA-A220-CE8A06BE1900}"/>
    <cellStyle name="Normal 5 11 2 4" xfId="21243" xr:uid="{4F40009F-FE9E-4574-9F4A-03BE3C1D340F}"/>
    <cellStyle name="Normal 5 11 3" xfId="6431" xr:uid="{00000000-0005-0000-0000-0000E6160000}"/>
    <cellStyle name="Normal 5 11 3 2" xfId="14881" xr:uid="{45543CCC-57B9-48A0-A5F5-A1BF298F7890}"/>
    <cellStyle name="Normal 5 11 3 3" xfId="23315" xr:uid="{6EBBDCCD-03F8-4F46-A803-840C2F340E46}"/>
    <cellStyle name="Normal 5 11 4" xfId="10663" xr:uid="{3FE4660D-913E-473B-A418-E3E86AF86520}"/>
    <cellStyle name="Normal 5 11 5" xfId="19098" xr:uid="{E9F29773-3058-4633-9B2B-754249B1B160}"/>
    <cellStyle name="Normal 5 12" xfId="2561" xr:uid="{00000000-0005-0000-0000-0000E7160000}"/>
    <cellStyle name="Normal 5 12 2" xfId="6844" xr:uid="{00000000-0005-0000-0000-0000E8160000}"/>
    <cellStyle name="Normal 5 12 2 2" xfId="15294" xr:uid="{262A8F59-2D02-441C-8621-10825BA9D2E8}"/>
    <cellStyle name="Normal 5 12 2 3" xfId="23728" xr:uid="{D25BAAAF-95D1-4EB7-9C47-2CD49B039D49}"/>
    <cellStyle name="Normal 5 12 3" xfId="11076" xr:uid="{25E06ACA-5526-4DAF-81E2-A56A6137DBD4}"/>
    <cellStyle name="Normal 5 12 4" xfId="19511" xr:uid="{22885ABA-7EA2-4490-BD8D-4BC1A2F46DD4}"/>
    <cellStyle name="Normal 5 13" xfId="4779" xr:uid="{00000000-0005-0000-0000-0000E9160000}"/>
    <cellStyle name="Normal 5 13 2" xfId="13229" xr:uid="{39D399B3-ADCB-4A4D-A13A-2AE313B1105A}"/>
    <cellStyle name="Normal 5 13 3" xfId="21663" xr:uid="{DED64B4D-0117-47AE-8BB2-95E6F172CF1E}"/>
    <cellStyle name="Normal 5 14" xfId="9011" xr:uid="{18B5F5F3-AC3B-4489-BFC3-21AD85E396A2}"/>
    <cellStyle name="Normal 5 15" xfId="17446" xr:uid="{23C283E7-59B6-491F-9688-F33DBD577478}"/>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AC17CA33-AF3F-4D35-8769-93C0C1A08CC9}"/>
    <cellStyle name="Normal 5 2 10 2 2 3" xfId="25461" xr:uid="{751B8382-7BB8-46E5-A7FD-FC56DE8B84E4}"/>
    <cellStyle name="Normal 5 2 10 2 3" xfId="12809" xr:uid="{4ADEA038-5176-4752-977F-5279D318D30A}"/>
    <cellStyle name="Normal 5 2 10 2 4" xfId="21244" xr:uid="{2CC4CEBD-8498-4BCB-92FA-CB802A15E995}"/>
    <cellStyle name="Normal 5 2 10 3" xfId="6432" xr:uid="{00000000-0005-0000-0000-0000EE160000}"/>
    <cellStyle name="Normal 5 2 10 3 2" xfId="14882" xr:uid="{ACFE625D-5AE5-4B93-B589-A186794F4FE7}"/>
    <cellStyle name="Normal 5 2 10 3 3" xfId="23316" xr:uid="{7231B114-01B1-4C92-9BED-89A4E167223C}"/>
    <cellStyle name="Normal 5 2 10 4" xfId="10664" xr:uid="{F36DEEDE-D5D2-477A-92CF-F0BA53D9CA09}"/>
    <cellStyle name="Normal 5 2 10 5" xfId="19099" xr:uid="{B15222F4-E14E-47AB-A82D-0B90FCCDA457}"/>
    <cellStyle name="Normal 5 2 11" xfId="2562" xr:uid="{00000000-0005-0000-0000-0000EF160000}"/>
    <cellStyle name="Normal 5 2 11 2" xfId="6845" xr:uid="{00000000-0005-0000-0000-0000F0160000}"/>
    <cellStyle name="Normal 5 2 11 2 2" xfId="15295" xr:uid="{D3B02483-4FC8-4C3D-AA5C-5E3C90ACB154}"/>
    <cellStyle name="Normal 5 2 11 2 3" xfId="23729" xr:uid="{C247B033-5773-4733-A1A7-069301D1ADF5}"/>
    <cellStyle name="Normal 5 2 11 3" xfId="11077" xr:uid="{1B1F84AE-4209-49BD-9DDC-7B1AB862A301}"/>
    <cellStyle name="Normal 5 2 11 4" xfId="19512" xr:uid="{B4AA24F9-F677-4E3E-9716-236150543A81}"/>
    <cellStyle name="Normal 5 2 12" xfId="4780" xr:uid="{00000000-0005-0000-0000-0000F1160000}"/>
    <cellStyle name="Normal 5 2 12 2" xfId="13230" xr:uid="{4F78D511-6CFE-41F2-BCD4-55EBE970BB1A}"/>
    <cellStyle name="Normal 5 2 12 3" xfId="21664" xr:uid="{41C28C4F-9361-42FC-9527-19911FC922C6}"/>
    <cellStyle name="Normal 5 2 13" xfId="9012" xr:uid="{F7F9A83F-C543-41C3-86C9-F0422DE8A29E}"/>
    <cellStyle name="Normal 5 2 14" xfId="17447" xr:uid="{428E9BC3-D9C1-4D56-830B-9F44587AD0A0}"/>
    <cellStyle name="Normal 5 2 2" xfId="408" xr:uid="{00000000-0005-0000-0000-0000F2160000}"/>
    <cellStyle name="Normal 5 2 2 10" xfId="2563" xr:uid="{00000000-0005-0000-0000-0000F3160000}"/>
    <cellStyle name="Normal 5 2 2 10 2" xfId="6846" xr:uid="{00000000-0005-0000-0000-0000F4160000}"/>
    <cellStyle name="Normal 5 2 2 10 2 2" xfId="15296" xr:uid="{EB76C8D3-6104-4AFF-94E3-5A9EEA8C95A9}"/>
    <cellStyle name="Normal 5 2 2 10 2 3" xfId="23730" xr:uid="{B3B5711F-3B6B-48D9-93AB-A1A9CBC2C487}"/>
    <cellStyle name="Normal 5 2 2 10 3" xfId="11078" xr:uid="{3E073A83-C723-41EB-8BE1-DA49D6CAF451}"/>
    <cellStyle name="Normal 5 2 2 10 4" xfId="19513" xr:uid="{A2CC3433-61B8-4C60-B429-53E7728D4DFC}"/>
    <cellStyle name="Normal 5 2 2 11" xfId="4781" xr:uid="{00000000-0005-0000-0000-0000F5160000}"/>
    <cellStyle name="Normal 5 2 2 11 2" xfId="13231" xr:uid="{C5E3EE46-7BA8-409F-B87D-C42CE4A94F00}"/>
    <cellStyle name="Normal 5 2 2 11 3" xfId="21665" xr:uid="{EBD299F3-F12F-4041-BA3B-138C0CCFC6DC}"/>
    <cellStyle name="Normal 5 2 2 12" xfId="9013" xr:uid="{F54A1C19-0151-4251-85AA-6AE159CE3AFA}"/>
    <cellStyle name="Normal 5 2 2 13" xfId="17448" xr:uid="{806B1FD0-1C3F-470F-BC05-670CFE97C468}"/>
    <cellStyle name="Normal 5 2 2 2" xfId="409" xr:uid="{00000000-0005-0000-0000-0000F6160000}"/>
    <cellStyle name="Normal 5 2 2 2 10" xfId="4782" xr:uid="{00000000-0005-0000-0000-0000F7160000}"/>
    <cellStyle name="Normal 5 2 2 2 10 2" xfId="13232" xr:uid="{33001548-832B-477A-81C9-FBD96FAA3F81}"/>
    <cellStyle name="Normal 5 2 2 2 10 3" xfId="21666" xr:uid="{DF53C22B-E3F4-4625-83A1-9DAF1B8EA7DC}"/>
    <cellStyle name="Normal 5 2 2 2 11" xfId="9014" xr:uid="{D7EB56B4-3339-4C31-BDAC-BAE02A89FF82}"/>
    <cellStyle name="Normal 5 2 2 2 12" xfId="17449" xr:uid="{079A2FEB-2EBA-4414-9038-3003C46D6F2F}"/>
    <cellStyle name="Normal 5 2 2 2 2" xfId="410" xr:uid="{00000000-0005-0000-0000-0000F8160000}"/>
    <cellStyle name="Normal 5 2 2 2 2 10" xfId="9015" xr:uid="{7D7AC603-CEEF-4D27-ACBA-F23092F89EF6}"/>
    <cellStyle name="Normal 5 2 2 2 2 11" xfId="17450" xr:uid="{663D55B1-524C-4E6E-8D54-22501C47E9F7}"/>
    <cellStyle name="Normal 5 2 2 2 2 2" xfId="411" xr:uid="{00000000-0005-0000-0000-0000F9160000}"/>
    <cellStyle name="Normal 5 2 2 2 2 2 10" xfId="17451" xr:uid="{3741B518-A645-424B-87A6-B602021A302D}"/>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4E779CF3-D516-4F3D-9139-CF8487A76D6F}"/>
    <cellStyle name="Normal 5 2 2 2 2 2 2 2 2 2 3" xfId="24227" xr:uid="{D84ADD1C-23AA-4EFB-BA20-98A05AAEAC5B}"/>
    <cellStyle name="Normal 5 2 2 2 2 2 2 2 2 3" xfId="11575" xr:uid="{1B436D7D-EB4D-4C3E-9EDA-32792FE17F4E}"/>
    <cellStyle name="Normal 5 2 2 2 2 2 2 2 2 4" xfId="20010" xr:uid="{4D167D4B-836C-4F3C-8C2B-BD8EEF69AB83}"/>
    <cellStyle name="Normal 5 2 2 2 2 2 2 2 3" xfId="5198" xr:uid="{00000000-0005-0000-0000-0000FE160000}"/>
    <cellStyle name="Normal 5 2 2 2 2 2 2 2 3 2" xfId="13648" xr:uid="{AAACE1F8-43B3-4527-9EE9-483F7BE95D78}"/>
    <cellStyle name="Normal 5 2 2 2 2 2 2 2 3 3" xfId="22082" xr:uid="{D2C08BCB-3F9F-47D5-ABED-91F7A862BD91}"/>
    <cellStyle name="Normal 5 2 2 2 2 2 2 2 4" xfId="9430" xr:uid="{A9911D9B-C481-4AA2-8876-CB54D801D4F7}"/>
    <cellStyle name="Normal 5 2 2 2 2 2 2 2 5" xfId="17865" xr:uid="{48437670-A5E4-4BD5-A2BF-C7ADBC8D71F2}"/>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5A728A65-E86A-4C98-8002-EBC653447EFD}"/>
    <cellStyle name="Normal 5 2 2 2 2 2 2 3 2 2 3" xfId="24640" xr:uid="{75ADAB97-DCF3-4F5F-BFCF-919CC498BD8A}"/>
    <cellStyle name="Normal 5 2 2 2 2 2 2 3 2 3" xfId="11988" xr:uid="{B29C5021-505E-4DFE-B564-35A4731A53F7}"/>
    <cellStyle name="Normal 5 2 2 2 2 2 2 3 2 4" xfId="20423" xr:uid="{D8E839E7-9884-4B60-951F-F543A2683478}"/>
    <cellStyle name="Normal 5 2 2 2 2 2 2 3 3" xfId="5611" xr:uid="{00000000-0005-0000-0000-000002170000}"/>
    <cellStyle name="Normal 5 2 2 2 2 2 2 3 3 2" xfId="14061" xr:uid="{4891E660-C3F6-432B-A362-07BC6F1428DB}"/>
    <cellStyle name="Normal 5 2 2 2 2 2 2 3 3 3" xfId="22495" xr:uid="{E0F21D1D-5D6C-4EF0-9195-A21BA5A60CB8}"/>
    <cellStyle name="Normal 5 2 2 2 2 2 2 3 4" xfId="9843" xr:uid="{B5F92144-B3CB-476F-9C0B-AD79C9F61131}"/>
    <cellStyle name="Normal 5 2 2 2 2 2 2 3 5" xfId="18278" xr:uid="{98F3F6E6-6ECB-4128-8A72-F3DF88BE400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D5728D3D-DE01-45D0-80C0-E6772DA0CC27}"/>
    <cellStyle name="Normal 5 2 2 2 2 2 2 4 2 2 3" xfId="25053" xr:uid="{698FF2A9-2969-47B1-9ACF-BAA0144161E1}"/>
    <cellStyle name="Normal 5 2 2 2 2 2 2 4 2 3" xfId="12401" xr:uid="{18321872-ECFE-4FCF-8C51-18BBBC14373F}"/>
    <cellStyle name="Normal 5 2 2 2 2 2 2 4 2 4" xfId="20836" xr:uid="{87BA60F3-6006-4B80-8188-04226B07B13B}"/>
    <cellStyle name="Normal 5 2 2 2 2 2 2 4 3" xfId="6024" xr:uid="{00000000-0005-0000-0000-000006170000}"/>
    <cellStyle name="Normal 5 2 2 2 2 2 2 4 3 2" xfId="14474" xr:uid="{24F20407-CBE6-4000-9D1D-4B53AABA3E13}"/>
    <cellStyle name="Normal 5 2 2 2 2 2 2 4 3 3" xfId="22908" xr:uid="{2EEC6110-0098-45EB-B2D6-42F92F22A7BE}"/>
    <cellStyle name="Normal 5 2 2 2 2 2 2 4 4" xfId="10256" xr:uid="{D88DDEC4-9339-4491-9B2F-784E8630E701}"/>
    <cellStyle name="Normal 5 2 2 2 2 2 2 4 5" xfId="18691" xr:uid="{4C43CD0E-488E-455B-951D-A573682227D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062DD4D0-6182-4782-AF8E-DC0438C27436}"/>
    <cellStyle name="Normal 5 2 2 2 2 2 2 5 2 2 3" xfId="25466" xr:uid="{5C0B3FEB-6DE3-4AE3-8B18-2C7C846E9255}"/>
    <cellStyle name="Normal 5 2 2 2 2 2 2 5 2 3" xfId="12814" xr:uid="{A974F747-71E5-43F7-AA91-086745D8653E}"/>
    <cellStyle name="Normal 5 2 2 2 2 2 2 5 2 4" xfId="21249" xr:uid="{F31682F8-6BC8-4F99-B0A8-26211317D3DF}"/>
    <cellStyle name="Normal 5 2 2 2 2 2 2 5 3" xfId="6437" xr:uid="{00000000-0005-0000-0000-00000A170000}"/>
    <cellStyle name="Normal 5 2 2 2 2 2 2 5 3 2" xfId="14887" xr:uid="{E572A42B-4D23-4F47-A919-09D676998CBD}"/>
    <cellStyle name="Normal 5 2 2 2 2 2 2 5 3 3" xfId="23321" xr:uid="{14F1DA61-F622-4BB0-B763-49F5260633C5}"/>
    <cellStyle name="Normal 5 2 2 2 2 2 2 5 4" xfId="10669" xr:uid="{3C45E14E-3842-4709-8AEE-50B58A3DB8A9}"/>
    <cellStyle name="Normal 5 2 2 2 2 2 2 5 5" xfId="19104" xr:uid="{398EC122-9924-4B8B-8444-54279E837134}"/>
    <cellStyle name="Normal 5 2 2 2 2 2 2 6" xfId="2567" xr:uid="{00000000-0005-0000-0000-00000B170000}"/>
    <cellStyle name="Normal 5 2 2 2 2 2 2 6 2" xfId="6850" xr:uid="{00000000-0005-0000-0000-00000C170000}"/>
    <cellStyle name="Normal 5 2 2 2 2 2 2 6 2 2" xfId="15300" xr:uid="{1745BBD7-ECB4-41F9-9BA0-5056C8012D4B}"/>
    <cellStyle name="Normal 5 2 2 2 2 2 2 6 2 3" xfId="23734" xr:uid="{1B83A5FB-02D6-44C1-A9EA-9FEE945CD27A}"/>
    <cellStyle name="Normal 5 2 2 2 2 2 2 6 3" xfId="11082" xr:uid="{FFA09C2D-6ECD-4156-8FD7-A4851106AA3F}"/>
    <cellStyle name="Normal 5 2 2 2 2 2 2 6 4" xfId="19517" xr:uid="{22E11A5A-0DC9-4C24-A76E-C269F68FC269}"/>
    <cellStyle name="Normal 5 2 2 2 2 2 2 7" xfId="4785" xr:uid="{00000000-0005-0000-0000-00000D170000}"/>
    <cellStyle name="Normal 5 2 2 2 2 2 2 7 2" xfId="13235" xr:uid="{BCD72A2B-A59E-4029-ABD0-4F71BB551E44}"/>
    <cellStyle name="Normal 5 2 2 2 2 2 2 7 3" xfId="21669" xr:uid="{BEA95ABF-186D-4EE6-A6C7-0BF0EB4F416A}"/>
    <cellStyle name="Normal 5 2 2 2 2 2 2 8" xfId="9017" xr:uid="{C841D489-AC99-427B-B62F-F5148DAFC553}"/>
    <cellStyle name="Normal 5 2 2 2 2 2 2 9" xfId="17452" xr:uid="{4E60CE50-C1E8-44E7-8359-920B683FBD67}"/>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95305E78-4707-48A8-A7B9-985BF7915F93}"/>
    <cellStyle name="Normal 5 2 2 2 2 2 3 2 2 3" xfId="24226" xr:uid="{9FFBA91E-BA4D-4DBE-83C5-690BEC9FB7DD}"/>
    <cellStyle name="Normal 5 2 2 2 2 2 3 2 3" xfId="11574" xr:uid="{E5B17AB7-0E3F-4D38-A366-620FC3ABBE84}"/>
    <cellStyle name="Normal 5 2 2 2 2 2 3 2 4" xfId="20009" xr:uid="{F6AE34FB-A120-4CFF-8FD7-79B31DD3C191}"/>
    <cellStyle name="Normal 5 2 2 2 2 2 3 3" xfId="5197" xr:uid="{00000000-0005-0000-0000-000011170000}"/>
    <cellStyle name="Normal 5 2 2 2 2 2 3 3 2" xfId="13647" xr:uid="{F28120EA-C115-47B7-9DC4-92FA27C6E025}"/>
    <cellStyle name="Normal 5 2 2 2 2 2 3 3 3" xfId="22081" xr:uid="{BF3DEBE3-41F3-4F06-9FB0-FE719DA8E3E8}"/>
    <cellStyle name="Normal 5 2 2 2 2 2 3 4" xfId="9429" xr:uid="{6D639DC3-680B-4CF8-8093-ABE0EB9333CB}"/>
    <cellStyle name="Normal 5 2 2 2 2 2 3 5" xfId="17864" xr:uid="{5E517E3B-6C2F-4B8E-B93C-D2D114E4C3ED}"/>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3A34A4C6-E5B1-4AC2-93C4-3E4D8A9DD6BA}"/>
    <cellStyle name="Normal 5 2 2 2 2 2 4 2 2 3" xfId="24639" xr:uid="{350EC7F7-B71E-4A99-8E1E-91669D6E3786}"/>
    <cellStyle name="Normal 5 2 2 2 2 2 4 2 3" xfId="11987" xr:uid="{371C9E62-4729-4F3A-BD58-DEFA231F9B74}"/>
    <cellStyle name="Normal 5 2 2 2 2 2 4 2 4" xfId="20422" xr:uid="{2C27C8D3-E9DD-4F6F-BB1B-DF726A60F0A4}"/>
    <cellStyle name="Normal 5 2 2 2 2 2 4 3" xfId="5610" xr:uid="{00000000-0005-0000-0000-000015170000}"/>
    <cellStyle name="Normal 5 2 2 2 2 2 4 3 2" xfId="14060" xr:uid="{36E4DDDB-2FCA-4873-940B-625A43532544}"/>
    <cellStyle name="Normal 5 2 2 2 2 2 4 3 3" xfId="22494" xr:uid="{CDF11C40-F2C3-41CA-81CE-689D41674447}"/>
    <cellStyle name="Normal 5 2 2 2 2 2 4 4" xfId="9842" xr:uid="{7CB217D2-A73E-4BF7-BBDE-6C6D1E26A08A}"/>
    <cellStyle name="Normal 5 2 2 2 2 2 4 5" xfId="18277" xr:uid="{1377A85F-2864-4911-BAEA-6C96D84A1281}"/>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530F3F2C-6794-4F0D-8B9F-89EAA6AA8AC0}"/>
    <cellStyle name="Normal 5 2 2 2 2 2 5 2 2 3" xfId="25052" xr:uid="{0C1F71D2-1DF7-4A78-BAA0-8D70B94F5AB1}"/>
    <cellStyle name="Normal 5 2 2 2 2 2 5 2 3" xfId="12400" xr:uid="{E779729E-FD7F-4B9F-A043-61B6F7367833}"/>
    <cellStyle name="Normal 5 2 2 2 2 2 5 2 4" xfId="20835" xr:uid="{DE9DAD33-70A7-4378-AB82-B82ED77D9351}"/>
    <cellStyle name="Normal 5 2 2 2 2 2 5 3" xfId="6023" xr:uid="{00000000-0005-0000-0000-000019170000}"/>
    <cellStyle name="Normal 5 2 2 2 2 2 5 3 2" xfId="14473" xr:uid="{0B530D04-18ED-43C5-8310-C57F64143F5B}"/>
    <cellStyle name="Normal 5 2 2 2 2 2 5 3 3" xfId="22907" xr:uid="{00F32462-0516-433B-8203-839831908102}"/>
    <cellStyle name="Normal 5 2 2 2 2 2 5 4" xfId="10255" xr:uid="{1EFE727B-7DB3-4850-9500-EA7A386D210F}"/>
    <cellStyle name="Normal 5 2 2 2 2 2 5 5" xfId="18690" xr:uid="{BB92E32F-9880-4B3B-BA05-D3CC169642F3}"/>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A7EA7535-130C-44B1-9421-2E65E4805F76}"/>
    <cellStyle name="Normal 5 2 2 2 2 2 6 2 2 3" xfId="25465" xr:uid="{4CC57D25-3DEF-4748-83A9-8948E0EB81F7}"/>
    <cellStyle name="Normal 5 2 2 2 2 2 6 2 3" xfId="12813" xr:uid="{A58CC705-2798-4933-9043-5FA0C947B40E}"/>
    <cellStyle name="Normal 5 2 2 2 2 2 6 2 4" xfId="21248" xr:uid="{0C89EF91-221E-42CE-9297-A749714E8DE5}"/>
    <cellStyle name="Normal 5 2 2 2 2 2 6 3" xfId="6436" xr:uid="{00000000-0005-0000-0000-00001D170000}"/>
    <cellStyle name="Normal 5 2 2 2 2 2 6 3 2" xfId="14886" xr:uid="{A5DD479F-9893-4976-B97A-08594C495E96}"/>
    <cellStyle name="Normal 5 2 2 2 2 2 6 3 3" xfId="23320" xr:uid="{B29A25C0-AB6A-4555-97F3-3259E14D56B1}"/>
    <cellStyle name="Normal 5 2 2 2 2 2 6 4" xfId="10668" xr:uid="{614A0162-EC1A-4D41-81EF-343C7D51B1C0}"/>
    <cellStyle name="Normal 5 2 2 2 2 2 6 5" xfId="19103" xr:uid="{0D0A33DF-6EAF-40DC-BE4E-69A1BE37148C}"/>
    <cellStyle name="Normal 5 2 2 2 2 2 7" xfId="2566" xr:uid="{00000000-0005-0000-0000-00001E170000}"/>
    <cellStyle name="Normal 5 2 2 2 2 2 7 2" xfId="6849" xr:uid="{00000000-0005-0000-0000-00001F170000}"/>
    <cellStyle name="Normal 5 2 2 2 2 2 7 2 2" xfId="15299" xr:uid="{F787CD6A-CD5F-4D49-B5FA-1094E7654E4C}"/>
    <cellStyle name="Normal 5 2 2 2 2 2 7 2 3" xfId="23733" xr:uid="{3639CBDA-38AB-4947-8929-3A1099D84448}"/>
    <cellStyle name="Normal 5 2 2 2 2 2 7 3" xfId="11081" xr:uid="{710E2936-493F-45CF-990B-CFAA51DE641F}"/>
    <cellStyle name="Normal 5 2 2 2 2 2 7 4" xfId="19516" xr:uid="{0EAB7B74-5C32-41FA-B87F-74CA817F376A}"/>
    <cellStyle name="Normal 5 2 2 2 2 2 8" xfId="4784" xr:uid="{00000000-0005-0000-0000-000020170000}"/>
    <cellStyle name="Normal 5 2 2 2 2 2 8 2" xfId="13234" xr:uid="{6C569173-A072-4A20-B367-30EE05307AEF}"/>
    <cellStyle name="Normal 5 2 2 2 2 2 8 3" xfId="21668" xr:uid="{9E896949-AA69-4538-A8B7-598A1F0ED7BE}"/>
    <cellStyle name="Normal 5 2 2 2 2 2 9" xfId="9016" xr:uid="{FF33C38B-54EB-47C3-9F73-7ACD1F90D951}"/>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CA9CF664-AEA1-4FB1-A372-99927B04C557}"/>
    <cellStyle name="Normal 5 2 2 2 2 3 2 2 2 3" xfId="24228" xr:uid="{CFE84325-3D03-46D0-9F02-02B2BDCAB37E}"/>
    <cellStyle name="Normal 5 2 2 2 2 3 2 2 3" xfId="11576" xr:uid="{55AF9358-B6D9-404C-BDA0-95393E1396AC}"/>
    <cellStyle name="Normal 5 2 2 2 2 3 2 2 4" xfId="20011" xr:uid="{DDABB424-F2A8-46B1-94DF-9493024C8804}"/>
    <cellStyle name="Normal 5 2 2 2 2 3 2 3" xfId="5199" xr:uid="{00000000-0005-0000-0000-000025170000}"/>
    <cellStyle name="Normal 5 2 2 2 2 3 2 3 2" xfId="13649" xr:uid="{EA3FAE31-55FE-4DE5-A6FC-3E67661C1E65}"/>
    <cellStyle name="Normal 5 2 2 2 2 3 2 3 3" xfId="22083" xr:uid="{EAF74B98-BCAC-4BDE-80B6-CA2A4C7D05B4}"/>
    <cellStyle name="Normal 5 2 2 2 2 3 2 4" xfId="9431" xr:uid="{7FC793C8-E0C9-47BC-B828-AA007791FB71}"/>
    <cellStyle name="Normal 5 2 2 2 2 3 2 5" xfId="17866" xr:uid="{647A7607-56DA-4812-8A46-3DA0B3EB417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31F834E4-3FE9-4738-BDD8-BFA14FD13DA0}"/>
    <cellStyle name="Normal 5 2 2 2 2 3 3 2 2 3" xfId="24641" xr:uid="{24BCAF21-D702-4ACD-8919-71189BD46418}"/>
    <cellStyle name="Normal 5 2 2 2 2 3 3 2 3" xfId="11989" xr:uid="{99BB6013-76C2-4D5E-AD8C-2DCE5E3C0C13}"/>
    <cellStyle name="Normal 5 2 2 2 2 3 3 2 4" xfId="20424" xr:uid="{8322F25F-0474-4397-BFAB-1A7833033586}"/>
    <cellStyle name="Normal 5 2 2 2 2 3 3 3" xfId="5612" xr:uid="{00000000-0005-0000-0000-000029170000}"/>
    <cellStyle name="Normal 5 2 2 2 2 3 3 3 2" xfId="14062" xr:uid="{4BA2D646-1696-4F36-99D5-A75952DCFB27}"/>
    <cellStyle name="Normal 5 2 2 2 2 3 3 3 3" xfId="22496" xr:uid="{BDFF43AA-43CD-41C2-AF67-697099679930}"/>
    <cellStyle name="Normal 5 2 2 2 2 3 3 4" xfId="9844" xr:uid="{B55C4FE7-73B4-4CC7-AA70-87E85803202E}"/>
    <cellStyle name="Normal 5 2 2 2 2 3 3 5" xfId="18279" xr:uid="{4C6FCB04-F7E4-48F3-A42A-AEDD11762EAB}"/>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36F38749-9FBA-4B5D-BB00-2056062EE548}"/>
    <cellStyle name="Normal 5 2 2 2 2 3 4 2 2 3" xfId="25054" xr:uid="{547A7E03-95EC-4854-AB1A-99CCFE124692}"/>
    <cellStyle name="Normal 5 2 2 2 2 3 4 2 3" xfId="12402" xr:uid="{E936F727-411C-403C-8BFD-1197998E6E79}"/>
    <cellStyle name="Normal 5 2 2 2 2 3 4 2 4" xfId="20837" xr:uid="{798915F9-AF71-442A-94AC-11953660BDE9}"/>
    <cellStyle name="Normal 5 2 2 2 2 3 4 3" xfId="6025" xr:uid="{00000000-0005-0000-0000-00002D170000}"/>
    <cellStyle name="Normal 5 2 2 2 2 3 4 3 2" xfId="14475" xr:uid="{A3527011-6028-4C74-9807-031E0FDD4D41}"/>
    <cellStyle name="Normal 5 2 2 2 2 3 4 3 3" xfId="22909" xr:uid="{2C047D0C-A505-4AC8-901A-3B597EBE39AD}"/>
    <cellStyle name="Normal 5 2 2 2 2 3 4 4" xfId="10257" xr:uid="{8DE05011-6B2F-4D69-A197-A6584B64CE6C}"/>
    <cellStyle name="Normal 5 2 2 2 2 3 4 5" xfId="18692" xr:uid="{AB7A4D75-3B83-485D-B1B9-C0AACA7B30EC}"/>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DE7F5218-2C8B-4FFC-B56D-6F734F65B43B}"/>
    <cellStyle name="Normal 5 2 2 2 2 3 5 2 2 3" xfId="25467" xr:uid="{71E2857C-797F-4F54-88FA-7E43F52C0E1F}"/>
    <cellStyle name="Normal 5 2 2 2 2 3 5 2 3" xfId="12815" xr:uid="{C4A719D1-F46C-47F1-B3C1-F161D8F083D0}"/>
    <cellStyle name="Normal 5 2 2 2 2 3 5 2 4" xfId="21250" xr:uid="{A5C1AC10-002E-4F98-B260-1253E7067909}"/>
    <cellStyle name="Normal 5 2 2 2 2 3 5 3" xfId="6438" xr:uid="{00000000-0005-0000-0000-000031170000}"/>
    <cellStyle name="Normal 5 2 2 2 2 3 5 3 2" xfId="14888" xr:uid="{186828F1-ACC7-4ABC-BEA2-4A562B17ED05}"/>
    <cellStyle name="Normal 5 2 2 2 2 3 5 3 3" xfId="23322" xr:uid="{293A11C4-9E14-46BE-8CD1-0C51929FFD44}"/>
    <cellStyle name="Normal 5 2 2 2 2 3 5 4" xfId="10670" xr:uid="{8DE35F09-F897-4605-9D9C-EB6C159E60F7}"/>
    <cellStyle name="Normal 5 2 2 2 2 3 5 5" xfId="19105" xr:uid="{C2661A94-DF62-4795-943B-DD59A00D6D6E}"/>
    <cellStyle name="Normal 5 2 2 2 2 3 6" xfId="2568" xr:uid="{00000000-0005-0000-0000-000032170000}"/>
    <cellStyle name="Normal 5 2 2 2 2 3 6 2" xfId="6851" xr:uid="{00000000-0005-0000-0000-000033170000}"/>
    <cellStyle name="Normal 5 2 2 2 2 3 6 2 2" xfId="15301" xr:uid="{0CF0FD75-8B52-4913-BF3F-68B3312CFC6D}"/>
    <cellStyle name="Normal 5 2 2 2 2 3 6 2 3" xfId="23735" xr:uid="{BABE1145-9B2D-4B9A-9F93-9BB0E34014EB}"/>
    <cellStyle name="Normal 5 2 2 2 2 3 6 3" xfId="11083" xr:uid="{688BD3AD-5CDE-4F6E-926D-73A35AD219D6}"/>
    <cellStyle name="Normal 5 2 2 2 2 3 6 4" xfId="19518" xr:uid="{5F6C5C58-744C-4692-9D9E-B7F4FC6F13A0}"/>
    <cellStyle name="Normal 5 2 2 2 2 3 7" xfId="4786" xr:uid="{00000000-0005-0000-0000-000034170000}"/>
    <cellStyle name="Normal 5 2 2 2 2 3 7 2" xfId="13236" xr:uid="{B9BA0DAD-4A8D-49EC-A6F3-12BE6B92282D}"/>
    <cellStyle name="Normal 5 2 2 2 2 3 7 3" xfId="21670" xr:uid="{3C414B0B-3CDB-43B7-A5D5-7E7386B04FF6}"/>
    <cellStyle name="Normal 5 2 2 2 2 3 8" xfId="9018" xr:uid="{A091EEC6-F484-498A-B3B6-D2B28FAFB251}"/>
    <cellStyle name="Normal 5 2 2 2 2 3 9" xfId="17453" xr:uid="{F0AE083D-2955-495A-B7F6-C1A1516D87A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B84DA16C-2D55-4D52-9208-6601AD23FBDE}"/>
    <cellStyle name="Normal 5 2 2 2 2 4 2 2 3" xfId="24225" xr:uid="{61C14456-E64A-44A6-BA70-F5DFF25B587F}"/>
    <cellStyle name="Normal 5 2 2 2 2 4 2 3" xfId="11573" xr:uid="{5CB3545A-718D-427F-BAC4-827DD051CB9C}"/>
    <cellStyle name="Normal 5 2 2 2 2 4 2 4" xfId="20008" xr:uid="{1F787A45-DD24-4C42-B87A-8B768C81DA44}"/>
    <cellStyle name="Normal 5 2 2 2 2 4 3" xfId="5196" xr:uid="{00000000-0005-0000-0000-000038170000}"/>
    <cellStyle name="Normal 5 2 2 2 2 4 3 2" xfId="13646" xr:uid="{73B358EC-8A11-45D3-AD59-0BABD2C9CD15}"/>
    <cellStyle name="Normal 5 2 2 2 2 4 3 3" xfId="22080" xr:uid="{10A1E92F-24B3-4EF6-BED1-E0E7A7C8E861}"/>
    <cellStyle name="Normal 5 2 2 2 2 4 4" xfId="9428" xr:uid="{CC9CFFBE-B80A-4D71-A35B-75D8D39F2130}"/>
    <cellStyle name="Normal 5 2 2 2 2 4 5" xfId="17863" xr:uid="{C36C5A29-18BE-4756-AA89-C743FAE70B8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0B260DD7-E1AF-4BA8-B8F8-127A8D806C37}"/>
    <cellStyle name="Normal 5 2 2 2 2 5 2 2 3" xfId="24638" xr:uid="{4C124677-E0EF-4CBE-8873-8DDE524C0820}"/>
    <cellStyle name="Normal 5 2 2 2 2 5 2 3" xfId="11986" xr:uid="{BE1384AB-64CD-483A-AF78-EB0713DD8BC6}"/>
    <cellStyle name="Normal 5 2 2 2 2 5 2 4" xfId="20421" xr:uid="{0C8C65B2-B036-476B-A146-713C37CCE2FE}"/>
    <cellStyle name="Normal 5 2 2 2 2 5 3" xfId="5609" xr:uid="{00000000-0005-0000-0000-00003C170000}"/>
    <cellStyle name="Normal 5 2 2 2 2 5 3 2" xfId="14059" xr:uid="{CB1A0484-B1D2-4F8E-B7CB-413E32E8D9FC}"/>
    <cellStyle name="Normal 5 2 2 2 2 5 3 3" xfId="22493" xr:uid="{9F538049-7C97-40B4-9E9E-5EA7CCFEDFC8}"/>
    <cellStyle name="Normal 5 2 2 2 2 5 4" xfId="9841" xr:uid="{162DAD87-B0F6-44E0-A18B-E33AF0516A41}"/>
    <cellStyle name="Normal 5 2 2 2 2 5 5" xfId="18276" xr:uid="{F573312E-205F-45DE-B783-FCCB399090F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17CEB567-2095-4BD4-88BF-53737B83EB11}"/>
    <cellStyle name="Normal 5 2 2 2 2 6 2 2 3" xfId="25051" xr:uid="{39737ACA-F559-4627-B935-52FF7F342BFE}"/>
    <cellStyle name="Normal 5 2 2 2 2 6 2 3" xfId="12399" xr:uid="{D5AF1CAB-8E0E-4AE0-9EAE-78FD4F17BAA1}"/>
    <cellStyle name="Normal 5 2 2 2 2 6 2 4" xfId="20834" xr:uid="{45FE30BE-EABC-4993-AB53-EE53EB1E82F2}"/>
    <cellStyle name="Normal 5 2 2 2 2 6 3" xfId="6022" xr:uid="{00000000-0005-0000-0000-000040170000}"/>
    <cellStyle name="Normal 5 2 2 2 2 6 3 2" xfId="14472" xr:uid="{B0853F55-7F0F-435A-8B86-0B5F062A6C3B}"/>
    <cellStyle name="Normal 5 2 2 2 2 6 3 3" xfId="22906" xr:uid="{E53E5EE8-0BCB-431C-9EAF-17D99C0F49CC}"/>
    <cellStyle name="Normal 5 2 2 2 2 6 4" xfId="10254" xr:uid="{D1A52406-8EDF-49FA-8B23-AA016C5E0952}"/>
    <cellStyle name="Normal 5 2 2 2 2 6 5" xfId="18689" xr:uid="{4B4B77D8-7D7C-4217-AB97-C042218F112B}"/>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4CDAE74F-F42D-4F48-B574-849C070B6B41}"/>
    <cellStyle name="Normal 5 2 2 2 2 7 2 2 3" xfId="25464" xr:uid="{8F02B8E1-C502-42F0-96BE-46D8F2A49151}"/>
    <cellStyle name="Normal 5 2 2 2 2 7 2 3" xfId="12812" xr:uid="{8F857742-F13F-4581-8942-31B4FE87CBCD}"/>
    <cellStyle name="Normal 5 2 2 2 2 7 2 4" xfId="21247" xr:uid="{F8141947-F5F7-480A-993A-9825C71DAE01}"/>
    <cellStyle name="Normal 5 2 2 2 2 7 3" xfId="6435" xr:uid="{00000000-0005-0000-0000-000044170000}"/>
    <cellStyle name="Normal 5 2 2 2 2 7 3 2" xfId="14885" xr:uid="{4056529C-6857-4502-B146-FF74A97F3C96}"/>
    <cellStyle name="Normal 5 2 2 2 2 7 3 3" xfId="23319" xr:uid="{76FB4B88-A17B-4EEB-98CB-6DE3E6F53B5A}"/>
    <cellStyle name="Normal 5 2 2 2 2 7 4" xfId="10667" xr:uid="{154D9C70-4827-4C9A-91F7-72EBA77F36F5}"/>
    <cellStyle name="Normal 5 2 2 2 2 7 5" xfId="19102" xr:uid="{4F6F70CA-3893-4E1D-9BD7-2F6948413AEF}"/>
    <cellStyle name="Normal 5 2 2 2 2 8" xfId="2565" xr:uid="{00000000-0005-0000-0000-000045170000}"/>
    <cellStyle name="Normal 5 2 2 2 2 8 2" xfId="6848" xr:uid="{00000000-0005-0000-0000-000046170000}"/>
    <cellStyle name="Normal 5 2 2 2 2 8 2 2" xfId="15298" xr:uid="{DB78031D-C223-4301-A4EB-386C49B848AF}"/>
    <cellStyle name="Normal 5 2 2 2 2 8 2 3" xfId="23732" xr:uid="{D3977DCE-F80C-40F3-BD37-85EBD6EDC267}"/>
    <cellStyle name="Normal 5 2 2 2 2 8 3" xfId="11080" xr:uid="{E6CB3BDC-0F67-4A5A-BAB5-44C4A50247DF}"/>
    <cellStyle name="Normal 5 2 2 2 2 8 4" xfId="19515" xr:uid="{198E813C-A278-4289-A235-4A11CD2A1AEC}"/>
    <cellStyle name="Normal 5 2 2 2 2 9" xfId="4783" xr:uid="{00000000-0005-0000-0000-000047170000}"/>
    <cellStyle name="Normal 5 2 2 2 2 9 2" xfId="13233" xr:uid="{F753503A-4392-425B-A831-0D44B61712CF}"/>
    <cellStyle name="Normal 5 2 2 2 2 9 3" xfId="21667" xr:uid="{EE431D22-BCF1-4A80-9FD9-0C7C9E5454A1}"/>
    <cellStyle name="Normal 5 2 2 2 3" xfId="414" xr:uid="{00000000-0005-0000-0000-000048170000}"/>
    <cellStyle name="Normal 5 2 2 2 3 10" xfId="17454" xr:uid="{EBF502E6-7400-4D5B-B679-29918ECDDCA7}"/>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0AD425BC-5192-45DD-AC9F-AD9AEB7AA7EB}"/>
    <cellStyle name="Normal 5 2 2 2 3 2 2 2 2 3" xfId="24230" xr:uid="{A35794D1-21AC-4DCB-AF8E-85E835A23D85}"/>
    <cellStyle name="Normal 5 2 2 2 3 2 2 2 3" xfId="11578" xr:uid="{5C5C8A45-6399-424E-AC66-825806D6DAAE}"/>
    <cellStyle name="Normal 5 2 2 2 3 2 2 2 4" xfId="20013" xr:uid="{10DC7138-50C0-49C4-8548-A92AA3C609AF}"/>
    <cellStyle name="Normal 5 2 2 2 3 2 2 3" xfId="5201" xr:uid="{00000000-0005-0000-0000-00004D170000}"/>
    <cellStyle name="Normal 5 2 2 2 3 2 2 3 2" xfId="13651" xr:uid="{FAADC19F-57FE-44CE-A56F-7A3C9582550E}"/>
    <cellStyle name="Normal 5 2 2 2 3 2 2 3 3" xfId="22085" xr:uid="{80D9366E-075B-4A7D-BCFE-D078EBB9E49A}"/>
    <cellStyle name="Normal 5 2 2 2 3 2 2 4" xfId="9433" xr:uid="{A72BA15A-9A2A-43B8-8A9C-30464D5A7D57}"/>
    <cellStyle name="Normal 5 2 2 2 3 2 2 5" xfId="17868" xr:uid="{BC8A9C22-A8F4-48B5-BD1A-9878CEF52425}"/>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D6B492F5-70A4-42DB-92B9-EEB30A4FB9F9}"/>
    <cellStyle name="Normal 5 2 2 2 3 2 3 2 2 3" xfId="24643" xr:uid="{773410B7-A2B4-42D5-93DB-DF74D51FCAE8}"/>
    <cellStyle name="Normal 5 2 2 2 3 2 3 2 3" xfId="11991" xr:uid="{63613865-73D5-4A49-A675-D6EF45CB9FA8}"/>
    <cellStyle name="Normal 5 2 2 2 3 2 3 2 4" xfId="20426" xr:uid="{6D7DFF8F-9AE7-46ED-85DA-5682BCA43F4D}"/>
    <cellStyle name="Normal 5 2 2 2 3 2 3 3" xfId="5614" xr:uid="{00000000-0005-0000-0000-000051170000}"/>
    <cellStyle name="Normal 5 2 2 2 3 2 3 3 2" xfId="14064" xr:uid="{C5E3D09C-A7BA-47D1-BDF4-863763E44500}"/>
    <cellStyle name="Normal 5 2 2 2 3 2 3 3 3" xfId="22498" xr:uid="{26D1441B-5541-4620-97BE-7596B31893DF}"/>
    <cellStyle name="Normal 5 2 2 2 3 2 3 4" xfId="9846" xr:uid="{B80B247F-71AF-4ADE-99DA-7F303ABA498D}"/>
    <cellStyle name="Normal 5 2 2 2 3 2 3 5" xfId="18281" xr:uid="{8C0B2706-A6FB-4F70-B036-9CB13F38EC84}"/>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ECB4D2A9-96DD-4069-BCE2-E16C1DB3A57A}"/>
    <cellStyle name="Normal 5 2 2 2 3 2 4 2 2 3" xfId="25056" xr:uid="{E80828B0-38D0-456D-BAC2-2A5F5C6F20F6}"/>
    <cellStyle name="Normal 5 2 2 2 3 2 4 2 3" xfId="12404" xr:uid="{644EFF3C-7CBB-43CC-BAAD-E6CD0BDC0A70}"/>
    <cellStyle name="Normal 5 2 2 2 3 2 4 2 4" xfId="20839" xr:uid="{28842322-002E-4F7B-8E7A-4ACD9CB03394}"/>
    <cellStyle name="Normal 5 2 2 2 3 2 4 3" xfId="6027" xr:uid="{00000000-0005-0000-0000-000055170000}"/>
    <cellStyle name="Normal 5 2 2 2 3 2 4 3 2" xfId="14477" xr:uid="{924F1598-1B5F-4D2C-9A5C-7471A9966520}"/>
    <cellStyle name="Normal 5 2 2 2 3 2 4 3 3" xfId="22911" xr:uid="{D5738812-A4BE-4FBF-A2F0-1BBC021A23EF}"/>
    <cellStyle name="Normal 5 2 2 2 3 2 4 4" xfId="10259" xr:uid="{B4922E4B-5F9E-4F86-B79C-7B59C038CA57}"/>
    <cellStyle name="Normal 5 2 2 2 3 2 4 5" xfId="18694" xr:uid="{C7E72062-DD56-438E-8648-4B34EC3DCDD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3B8B735E-AE93-49F8-B761-ACB42FB15B6A}"/>
    <cellStyle name="Normal 5 2 2 2 3 2 5 2 2 3" xfId="25469" xr:uid="{22BC4B66-0392-4486-8374-44A3ADDD9C70}"/>
    <cellStyle name="Normal 5 2 2 2 3 2 5 2 3" xfId="12817" xr:uid="{B115DAC4-51D2-4A4F-9256-42858FBCDE85}"/>
    <cellStyle name="Normal 5 2 2 2 3 2 5 2 4" xfId="21252" xr:uid="{EC2EE171-6A18-4596-B869-CEA34BA5A321}"/>
    <cellStyle name="Normal 5 2 2 2 3 2 5 3" xfId="6440" xr:uid="{00000000-0005-0000-0000-000059170000}"/>
    <cellStyle name="Normal 5 2 2 2 3 2 5 3 2" xfId="14890" xr:uid="{7DB2424A-9228-41C3-A48A-A7CB49C8072C}"/>
    <cellStyle name="Normal 5 2 2 2 3 2 5 3 3" xfId="23324" xr:uid="{CA0229E6-CA26-4CCE-8C00-1BA11C94799D}"/>
    <cellStyle name="Normal 5 2 2 2 3 2 5 4" xfId="10672" xr:uid="{8716808C-C1F4-48D9-BCF2-0815BC2EEDE8}"/>
    <cellStyle name="Normal 5 2 2 2 3 2 5 5" xfId="19107" xr:uid="{303197A6-81B0-4BA4-8CBF-386609E2CB37}"/>
    <cellStyle name="Normal 5 2 2 2 3 2 6" xfId="2570" xr:uid="{00000000-0005-0000-0000-00005A170000}"/>
    <cellStyle name="Normal 5 2 2 2 3 2 6 2" xfId="6853" xr:uid="{00000000-0005-0000-0000-00005B170000}"/>
    <cellStyle name="Normal 5 2 2 2 3 2 6 2 2" xfId="15303" xr:uid="{5B3A823F-14C5-4EF3-949D-745FB9B96B4D}"/>
    <cellStyle name="Normal 5 2 2 2 3 2 6 2 3" xfId="23737" xr:uid="{155DE809-8F76-4A80-95D8-0CFAA5C2CB7B}"/>
    <cellStyle name="Normal 5 2 2 2 3 2 6 3" xfId="11085" xr:uid="{4469C62B-310D-45C7-9142-4424C364267D}"/>
    <cellStyle name="Normal 5 2 2 2 3 2 6 4" xfId="19520" xr:uid="{5E8C4AC9-018E-406C-BE60-182D296045C6}"/>
    <cellStyle name="Normal 5 2 2 2 3 2 7" xfId="4788" xr:uid="{00000000-0005-0000-0000-00005C170000}"/>
    <cellStyle name="Normal 5 2 2 2 3 2 7 2" xfId="13238" xr:uid="{92886C3E-898F-4CDF-B08A-99D0F60E1718}"/>
    <cellStyle name="Normal 5 2 2 2 3 2 7 3" xfId="21672" xr:uid="{AF409A5F-E5EA-47CF-BA0C-4C0135F12A7B}"/>
    <cellStyle name="Normal 5 2 2 2 3 2 8" xfId="9020" xr:uid="{A18644CD-865E-4D04-831F-B88024542BA3}"/>
    <cellStyle name="Normal 5 2 2 2 3 2 9" xfId="17455" xr:uid="{E8163F45-C4A6-4883-A0B7-124FF5B0A5F7}"/>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4491D60A-7FED-4B62-892B-9E0405AEEB16}"/>
    <cellStyle name="Normal 5 2 2 2 3 3 2 2 3" xfId="24229" xr:uid="{19419F51-202F-4022-8ED6-30B3BB377BDB}"/>
    <cellStyle name="Normal 5 2 2 2 3 3 2 3" xfId="11577" xr:uid="{E19E9429-419A-4D8F-9E1A-8C338E5D9CE5}"/>
    <cellStyle name="Normal 5 2 2 2 3 3 2 4" xfId="20012" xr:uid="{1A67CA32-B090-4849-9FD7-4C16E5EA2092}"/>
    <cellStyle name="Normal 5 2 2 2 3 3 3" xfId="5200" xr:uid="{00000000-0005-0000-0000-000060170000}"/>
    <cellStyle name="Normal 5 2 2 2 3 3 3 2" xfId="13650" xr:uid="{B79888CF-B561-4361-A1C1-70C0380423B5}"/>
    <cellStyle name="Normal 5 2 2 2 3 3 3 3" xfId="22084" xr:uid="{60C06449-0CBB-439F-A1E1-132B6C68CB77}"/>
    <cellStyle name="Normal 5 2 2 2 3 3 4" xfId="9432" xr:uid="{BA8DC6C1-E24D-4E46-9F7F-BC3E37E435E4}"/>
    <cellStyle name="Normal 5 2 2 2 3 3 5" xfId="17867" xr:uid="{22131B71-AD0B-4D2D-95DE-BA9B481E9A0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ED7A1F8F-C687-4038-B4F1-B63CD8E651F1}"/>
    <cellStyle name="Normal 5 2 2 2 3 4 2 2 3" xfId="24642" xr:uid="{ADCD9E81-4A57-434D-B771-2F415437BE2D}"/>
    <cellStyle name="Normal 5 2 2 2 3 4 2 3" xfId="11990" xr:uid="{50114BEE-7AEF-480E-9A3D-BA648317F564}"/>
    <cellStyle name="Normal 5 2 2 2 3 4 2 4" xfId="20425" xr:uid="{C8C99F24-B146-4597-9C86-94092DE57FA9}"/>
    <cellStyle name="Normal 5 2 2 2 3 4 3" xfId="5613" xr:uid="{00000000-0005-0000-0000-000064170000}"/>
    <cellStyle name="Normal 5 2 2 2 3 4 3 2" xfId="14063" xr:uid="{5FE1AF6F-5574-4B14-B278-D22DB86F541D}"/>
    <cellStyle name="Normal 5 2 2 2 3 4 3 3" xfId="22497" xr:uid="{2DFF404B-0511-455B-A110-FB307EEBBE50}"/>
    <cellStyle name="Normal 5 2 2 2 3 4 4" xfId="9845" xr:uid="{AB524981-43A2-4B64-98C1-7331FA0D2E25}"/>
    <cellStyle name="Normal 5 2 2 2 3 4 5" xfId="18280" xr:uid="{497C416F-B4C7-4438-B7F1-6DD87114480F}"/>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8FE1AD4D-4399-4216-973E-D3C73EFE6D3F}"/>
    <cellStyle name="Normal 5 2 2 2 3 5 2 2 3" xfId="25055" xr:uid="{EB245545-BEC9-4E0A-9FBB-447E15C73455}"/>
    <cellStyle name="Normal 5 2 2 2 3 5 2 3" xfId="12403" xr:uid="{F9DFFC1F-51B4-4DA4-9C2C-5C55DB85E8AA}"/>
    <cellStyle name="Normal 5 2 2 2 3 5 2 4" xfId="20838" xr:uid="{CFBF9746-1D17-44F2-BFD4-CC534DC86C76}"/>
    <cellStyle name="Normal 5 2 2 2 3 5 3" xfId="6026" xr:uid="{00000000-0005-0000-0000-000068170000}"/>
    <cellStyle name="Normal 5 2 2 2 3 5 3 2" xfId="14476" xr:uid="{FDFC0B4C-F064-4C76-A4CC-FCB3837AAC55}"/>
    <cellStyle name="Normal 5 2 2 2 3 5 3 3" xfId="22910" xr:uid="{9654636C-F6DC-4FCB-8CDC-4AA9B36F3C3E}"/>
    <cellStyle name="Normal 5 2 2 2 3 5 4" xfId="10258" xr:uid="{9B801255-93B3-4461-8A2F-1600B81B484E}"/>
    <cellStyle name="Normal 5 2 2 2 3 5 5" xfId="18693" xr:uid="{DD10D0F5-FD2F-4AD8-A117-63A55E94978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660C6789-52D1-40C0-A558-EF5B7C7EB2E2}"/>
    <cellStyle name="Normal 5 2 2 2 3 6 2 2 3" xfId="25468" xr:uid="{A8F17175-8470-43A0-A436-5711D168DD24}"/>
    <cellStyle name="Normal 5 2 2 2 3 6 2 3" xfId="12816" xr:uid="{128F68C2-C8C6-485B-957C-1AE60FD88587}"/>
    <cellStyle name="Normal 5 2 2 2 3 6 2 4" xfId="21251" xr:uid="{E6365B8B-3582-402B-B322-4D377AB25AA4}"/>
    <cellStyle name="Normal 5 2 2 2 3 6 3" xfId="6439" xr:uid="{00000000-0005-0000-0000-00006C170000}"/>
    <cellStyle name="Normal 5 2 2 2 3 6 3 2" xfId="14889" xr:uid="{79E5C519-4693-4B39-BACB-7FD78D34CF8B}"/>
    <cellStyle name="Normal 5 2 2 2 3 6 3 3" xfId="23323" xr:uid="{0010C087-0503-4BE0-80A5-E9078819786C}"/>
    <cellStyle name="Normal 5 2 2 2 3 6 4" xfId="10671" xr:uid="{9BCD6E8A-C48A-42F1-91F0-AD0AD07A199A}"/>
    <cellStyle name="Normal 5 2 2 2 3 6 5" xfId="19106" xr:uid="{FFA0D221-96CA-47BD-A76C-5AA25969DF83}"/>
    <cellStyle name="Normal 5 2 2 2 3 7" xfId="2569" xr:uid="{00000000-0005-0000-0000-00006D170000}"/>
    <cellStyle name="Normal 5 2 2 2 3 7 2" xfId="6852" xr:uid="{00000000-0005-0000-0000-00006E170000}"/>
    <cellStyle name="Normal 5 2 2 2 3 7 2 2" xfId="15302" xr:uid="{44A82329-D977-46C4-A25B-4AE7E016D504}"/>
    <cellStyle name="Normal 5 2 2 2 3 7 2 3" xfId="23736" xr:uid="{7E1C2EE6-A152-444C-9B29-763B780064B9}"/>
    <cellStyle name="Normal 5 2 2 2 3 7 3" xfId="11084" xr:uid="{E273B16A-353E-41E7-9BC3-26DD54D93C0D}"/>
    <cellStyle name="Normal 5 2 2 2 3 7 4" xfId="19519" xr:uid="{6EEE7862-24D6-4C13-B1DE-AF27D5556F03}"/>
    <cellStyle name="Normal 5 2 2 2 3 8" xfId="4787" xr:uid="{00000000-0005-0000-0000-00006F170000}"/>
    <cellStyle name="Normal 5 2 2 2 3 8 2" xfId="13237" xr:uid="{06BB82B7-7439-4577-8592-8BEA3E0B8265}"/>
    <cellStyle name="Normal 5 2 2 2 3 8 3" xfId="21671" xr:uid="{0022D33F-76B8-45CD-8C70-4A3D912CB7B1}"/>
    <cellStyle name="Normal 5 2 2 2 3 9" xfId="9019" xr:uid="{052D36FD-C53A-4D6D-A391-97F444A004AC}"/>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93EB9DD0-8366-4C7F-8172-0FA5C0A21C11}"/>
    <cellStyle name="Normal 5 2 2 2 4 2 2 2 3" xfId="24231" xr:uid="{E0EA5535-611D-446F-A7A9-40BB49A5A848}"/>
    <cellStyle name="Normal 5 2 2 2 4 2 2 3" xfId="11579" xr:uid="{30E54AB9-6655-4B69-8296-634AEDECA440}"/>
    <cellStyle name="Normal 5 2 2 2 4 2 2 4" xfId="20014" xr:uid="{B8EA6369-A3D6-41C7-B11B-73403B58A7CB}"/>
    <cellStyle name="Normal 5 2 2 2 4 2 3" xfId="5202" xr:uid="{00000000-0005-0000-0000-000074170000}"/>
    <cellStyle name="Normal 5 2 2 2 4 2 3 2" xfId="13652" xr:uid="{275AE550-CD4A-4CC0-8851-000B1E7DAC38}"/>
    <cellStyle name="Normal 5 2 2 2 4 2 3 3" xfId="22086" xr:uid="{91A7B4C1-496E-474B-8647-866C71A93111}"/>
    <cellStyle name="Normal 5 2 2 2 4 2 4" xfId="9434" xr:uid="{138CEFE0-C73A-4DAB-BDCC-F4284748211D}"/>
    <cellStyle name="Normal 5 2 2 2 4 2 5" xfId="17869" xr:uid="{8FCE78AA-0BB0-4EAC-9162-83C63C82FA0F}"/>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7018CC88-4C96-4F35-89B1-972256D5D902}"/>
    <cellStyle name="Normal 5 2 2 2 4 3 2 2 3" xfId="24644" xr:uid="{115D4479-AFCF-4BB0-BBE8-2C842AA56DD3}"/>
    <cellStyle name="Normal 5 2 2 2 4 3 2 3" xfId="11992" xr:uid="{8EA70707-6321-401C-BFC0-E8518C3AD37F}"/>
    <cellStyle name="Normal 5 2 2 2 4 3 2 4" xfId="20427" xr:uid="{8CE47538-7D50-45D7-9C3B-3497C33EEF93}"/>
    <cellStyle name="Normal 5 2 2 2 4 3 3" xfId="5615" xr:uid="{00000000-0005-0000-0000-000078170000}"/>
    <cellStyle name="Normal 5 2 2 2 4 3 3 2" xfId="14065" xr:uid="{4B2262F5-F963-4168-A9E6-1E94E55A4B16}"/>
    <cellStyle name="Normal 5 2 2 2 4 3 3 3" xfId="22499" xr:uid="{140F2CE5-CB82-4F76-A59A-4A3226A91C19}"/>
    <cellStyle name="Normal 5 2 2 2 4 3 4" xfId="9847" xr:uid="{36E796A8-38C0-41D2-BB19-24C4B580094F}"/>
    <cellStyle name="Normal 5 2 2 2 4 3 5" xfId="18282" xr:uid="{4AE93797-F86F-4833-AC90-EB9BD03A3297}"/>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B6DB756C-4409-444D-8DBD-DED1437F82B8}"/>
    <cellStyle name="Normal 5 2 2 2 4 4 2 2 3" xfId="25057" xr:uid="{5EAB4938-3B3C-44EC-8D43-88E06B9AB244}"/>
    <cellStyle name="Normal 5 2 2 2 4 4 2 3" xfId="12405" xr:uid="{BC3955BD-25F0-466D-AB5D-7FE178257871}"/>
    <cellStyle name="Normal 5 2 2 2 4 4 2 4" xfId="20840" xr:uid="{F4B85702-C779-40C9-9182-5485E2279D96}"/>
    <cellStyle name="Normal 5 2 2 2 4 4 3" xfId="6028" xr:uid="{00000000-0005-0000-0000-00007C170000}"/>
    <cellStyle name="Normal 5 2 2 2 4 4 3 2" xfId="14478" xr:uid="{5DA0F36C-DF68-42E8-B421-FFA9D6EF4795}"/>
    <cellStyle name="Normal 5 2 2 2 4 4 3 3" xfId="22912" xr:uid="{70D3ACED-C798-4BB0-908A-C76D7D8B4B1A}"/>
    <cellStyle name="Normal 5 2 2 2 4 4 4" xfId="10260" xr:uid="{EF3E2443-4011-4BF8-B1C4-0C87BF6BEDCA}"/>
    <cellStyle name="Normal 5 2 2 2 4 4 5" xfId="18695" xr:uid="{C0172E12-CFCA-4B4E-B524-E77A3D8BE4A2}"/>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12371C30-640F-4018-85F3-83FCC65B8308}"/>
    <cellStyle name="Normal 5 2 2 2 4 5 2 2 3" xfId="25470" xr:uid="{71C4BD37-4585-4A60-A53D-07C5435E296C}"/>
    <cellStyle name="Normal 5 2 2 2 4 5 2 3" xfId="12818" xr:uid="{6F7FF43D-E658-4D14-A3F3-5455A80F3000}"/>
    <cellStyle name="Normal 5 2 2 2 4 5 2 4" xfId="21253" xr:uid="{2126F043-7BC8-4F0A-95CB-2EFDC9CF1EB0}"/>
    <cellStyle name="Normal 5 2 2 2 4 5 3" xfId="6441" xr:uid="{00000000-0005-0000-0000-000080170000}"/>
    <cellStyle name="Normal 5 2 2 2 4 5 3 2" xfId="14891" xr:uid="{021AA8FF-7B90-4A8C-8C39-63E0278931BF}"/>
    <cellStyle name="Normal 5 2 2 2 4 5 3 3" xfId="23325" xr:uid="{629BC8D3-3643-40DE-A1A9-AAE0DBD9F3E4}"/>
    <cellStyle name="Normal 5 2 2 2 4 5 4" xfId="10673" xr:uid="{53E70F18-D647-4975-8BFC-622F34EEBF41}"/>
    <cellStyle name="Normal 5 2 2 2 4 5 5" xfId="19108" xr:uid="{4F881D8E-FE38-475B-B9B3-B834D8239587}"/>
    <cellStyle name="Normal 5 2 2 2 4 6" xfId="2571" xr:uid="{00000000-0005-0000-0000-000081170000}"/>
    <cellStyle name="Normal 5 2 2 2 4 6 2" xfId="6854" xr:uid="{00000000-0005-0000-0000-000082170000}"/>
    <cellStyle name="Normal 5 2 2 2 4 6 2 2" xfId="15304" xr:uid="{53203CFD-1633-4CD5-A8CE-39F12C83A78B}"/>
    <cellStyle name="Normal 5 2 2 2 4 6 2 3" xfId="23738" xr:uid="{0D95078F-9B36-4E53-A690-B339F1611CC6}"/>
    <cellStyle name="Normal 5 2 2 2 4 6 3" xfId="11086" xr:uid="{F6E13EDE-F858-45AE-A1EF-0F2641A97CFE}"/>
    <cellStyle name="Normal 5 2 2 2 4 6 4" xfId="19521" xr:uid="{7CF2F3D8-9E29-4BD1-AFB1-746CB710BF5F}"/>
    <cellStyle name="Normal 5 2 2 2 4 7" xfId="4789" xr:uid="{00000000-0005-0000-0000-000083170000}"/>
    <cellStyle name="Normal 5 2 2 2 4 7 2" xfId="13239" xr:uid="{65867FCD-EF3D-453F-8AD8-F85C57F8DFC1}"/>
    <cellStyle name="Normal 5 2 2 2 4 7 3" xfId="21673" xr:uid="{6AB73D21-8851-432A-9DCC-FE489F3AEDBD}"/>
    <cellStyle name="Normal 5 2 2 2 4 8" xfId="9021" xr:uid="{D0A7BFA5-3EE6-4C54-B9CA-392E83A5BC40}"/>
    <cellStyle name="Normal 5 2 2 2 4 9" xfId="17456" xr:uid="{C5074954-F8B3-401B-BDC1-643021B2B28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25CC012D-FC87-47CB-AE23-A0B4326402BD}"/>
    <cellStyle name="Normal 5 2 2 2 5 2 2 3" xfId="24224" xr:uid="{CABD81F0-6587-4F72-B06B-5F2D7C0A940C}"/>
    <cellStyle name="Normal 5 2 2 2 5 2 3" xfId="11572" xr:uid="{526C4186-25F4-45C5-A650-A40B9C1A16B3}"/>
    <cellStyle name="Normal 5 2 2 2 5 2 4" xfId="20007" xr:uid="{996CDB25-DBB8-4940-9F9D-D3EC613E9021}"/>
    <cellStyle name="Normal 5 2 2 2 5 3" xfId="5195" xr:uid="{00000000-0005-0000-0000-000087170000}"/>
    <cellStyle name="Normal 5 2 2 2 5 3 2" xfId="13645" xr:uid="{B3B565A1-C8EB-46B6-8837-5072BC25C63F}"/>
    <cellStyle name="Normal 5 2 2 2 5 3 3" xfId="22079" xr:uid="{C37E32B9-4D90-4978-BA77-62087F487E1C}"/>
    <cellStyle name="Normal 5 2 2 2 5 4" xfId="9427" xr:uid="{261C81B5-F256-4139-B7F0-B3A600850163}"/>
    <cellStyle name="Normal 5 2 2 2 5 5" xfId="17862" xr:uid="{4706C5FE-8526-4FC2-8BDF-78DC09D3AE1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D44BD962-9950-469E-B0E9-C9E92354E5CE}"/>
    <cellStyle name="Normal 5 2 2 2 6 2 2 3" xfId="24637" xr:uid="{B7B75667-4D8B-4D8F-BCE0-76E83E113B0E}"/>
    <cellStyle name="Normal 5 2 2 2 6 2 3" xfId="11985" xr:uid="{50BEF4C3-A78C-4C09-979A-7D2C3D507F69}"/>
    <cellStyle name="Normal 5 2 2 2 6 2 4" xfId="20420" xr:uid="{B1F16E86-94B7-456C-8663-487C446C9BF9}"/>
    <cellStyle name="Normal 5 2 2 2 6 3" xfId="5608" xr:uid="{00000000-0005-0000-0000-00008B170000}"/>
    <cellStyle name="Normal 5 2 2 2 6 3 2" xfId="14058" xr:uid="{A2746A7F-0B4D-42BC-B166-E6393E0F1845}"/>
    <cellStyle name="Normal 5 2 2 2 6 3 3" xfId="22492" xr:uid="{EB5F7DE1-9739-4B3E-8841-F44F84A9A702}"/>
    <cellStyle name="Normal 5 2 2 2 6 4" xfId="9840" xr:uid="{0DA3A057-9822-4D87-BB58-1C9904554102}"/>
    <cellStyle name="Normal 5 2 2 2 6 5" xfId="18275" xr:uid="{31169317-6522-419F-8ADC-E1B6DD8D5A0B}"/>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D58F883A-89C2-4F04-BE04-756AB2275F4A}"/>
    <cellStyle name="Normal 5 2 2 2 7 2 2 3" xfId="25050" xr:uid="{097AE325-597D-4BAF-98B3-55039546F393}"/>
    <cellStyle name="Normal 5 2 2 2 7 2 3" xfId="12398" xr:uid="{3D8539EF-C994-4F61-B0F1-7849298995C9}"/>
    <cellStyle name="Normal 5 2 2 2 7 2 4" xfId="20833" xr:uid="{6CE1967C-1116-497A-96B8-28AF6542FB15}"/>
    <cellStyle name="Normal 5 2 2 2 7 3" xfId="6021" xr:uid="{00000000-0005-0000-0000-00008F170000}"/>
    <cellStyle name="Normal 5 2 2 2 7 3 2" xfId="14471" xr:uid="{8FA3AC4F-4773-4E13-BCB5-129DC4550D3F}"/>
    <cellStyle name="Normal 5 2 2 2 7 3 3" xfId="22905" xr:uid="{6DC45059-8A01-4BE8-89BD-8BF01595333F}"/>
    <cellStyle name="Normal 5 2 2 2 7 4" xfId="10253" xr:uid="{23CEDF63-83BC-459B-971E-25E7413E4363}"/>
    <cellStyle name="Normal 5 2 2 2 7 5" xfId="18688" xr:uid="{03AFF518-BCC0-462A-85D6-3D7866CD42C1}"/>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215D2A71-578B-4565-B9DC-205CB854CA55}"/>
    <cellStyle name="Normal 5 2 2 2 8 2 2 3" xfId="25463" xr:uid="{DCD8F079-E083-4955-A3BA-EF74B94B5416}"/>
    <cellStyle name="Normal 5 2 2 2 8 2 3" xfId="12811" xr:uid="{D298F23F-6015-402A-B65D-7695DE20E01B}"/>
    <cellStyle name="Normal 5 2 2 2 8 2 4" xfId="21246" xr:uid="{08C4F802-8185-400D-9967-FA6B5F5F1F90}"/>
    <cellStyle name="Normal 5 2 2 2 8 3" xfId="6434" xr:uid="{00000000-0005-0000-0000-000093170000}"/>
    <cellStyle name="Normal 5 2 2 2 8 3 2" xfId="14884" xr:uid="{AA81895A-2F4C-43B2-B6E9-897FA8B28B96}"/>
    <cellStyle name="Normal 5 2 2 2 8 3 3" xfId="23318" xr:uid="{8D08680C-561E-4AF1-B258-C70420839DD6}"/>
    <cellStyle name="Normal 5 2 2 2 8 4" xfId="10666" xr:uid="{CB221760-ED99-4A30-98D4-324CC624EC0F}"/>
    <cellStyle name="Normal 5 2 2 2 8 5" xfId="19101" xr:uid="{E3CDCD67-BFBC-4E79-B806-1E0421BD96F4}"/>
    <cellStyle name="Normal 5 2 2 2 9" xfId="2564" xr:uid="{00000000-0005-0000-0000-000094170000}"/>
    <cellStyle name="Normal 5 2 2 2 9 2" xfId="6847" xr:uid="{00000000-0005-0000-0000-000095170000}"/>
    <cellStyle name="Normal 5 2 2 2 9 2 2" xfId="15297" xr:uid="{EFF06C1B-8CBB-4B6B-A6AE-AF6F70136982}"/>
    <cellStyle name="Normal 5 2 2 2 9 2 3" xfId="23731" xr:uid="{523B4C9B-7492-4F12-87BC-EB46D9F877D5}"/>
    <cellStyle name="Normal 5 2 2 2 9 3" xfId="11079" xr:uid="{185A7151-C010-4C99-B53A-9453736EB903}"/>
    <cellStyle name="Normal 5 2 2 2 9 4" xfId="19514" xr:uid="{E7C8640E-B089-4CB1-9193-13A75E8422EB}"/>
    <cellStyle name="Normal 5 2 2 3" xfId="417" xr:uid="{00000000-0005-0000-0000-000096170000}"/>
    <cellStyle name="Normal 5 2 2 3 10" xfId="9022" xr:uid="{4073AEFB-EB7B-4F83-91D6-BEDFDAADFA05}"/>
    <cellStyle name="Normal 5 2 2 3 11" xfId="17457" xr:uid="{1C872EFE-88D1-4CA4-B819-84BEAFD62B1B}"/>
    <cellStyle name="Normal 5 2 2 3 2" xfId="418" xr:uid="{00000000-0005-0000-0000-000097170000}"/>
    <cellStyle name="Normal 5 2 2 3 2 10" xfId="17458" xr:uid="{C8031633-7C93-464A-8EAB-D44F06BD006B}"/>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47A15135-823B-41FE-AC85-0C854A9A5DEE}"/>
    <cellStyle name="Normal 5 2 2 3 2 2 2 2 2 3" xfId="24234" xr:uid="{D1E1A312-4B7B-49F8-BB0D-34042BC420AA}"/>
    <cellStyle name="Normal 5 2 2 3 2 2 2 2 3" xfId="11582" xr:uid="{2A532457-5152-4EB2-B723-8554100D5EDE}"/>
    <cellStyle name="Normal 5 2 2 3 2 2 2 2 4" xfId="20017" xr:uid="{BA30122E-74D8-4F4B-891C-F660EB981DA4}"/>
    <cellStyle name="Normal 5 2 2 3 2 2 2 3" xfId="5205" xr:uid="{00000000-0005-0000-0000-00009C170000}"/>
    <cellStyle name="Normal 5 2 2 3 2 2 2 3 2" xfId="13655" xr:uid="{A8D94382-2A1A-46FF-8255-97CF1DE5BDFD}"/>
    <cellStyle name="Normal 5 2 2 3 2 2 2 3 3" xfId="22089" xr:uid="{681F7761-C231-45B7-8B22-18C1D5C343FC}"/>
    <cellStyle name="Normal 5 2 2 3 2 2 2 4" xfId="9437" xr:uid="{0EE8CF77-B497-4CB7-AA5B-03431F1D3E0E}"/>
    <cellStyle name="Normal 5 2 2 3 2 2 2 5" xfId="17872" xr:uid="{A8B7DEA9-A730-4E49-9AF7-CFAEC9C9D73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FBC27806-CC18-437A-9BCF-799436CE12B2}"/>
    <cellStyle name="Normal 5 2 2 3 2 2 3 2 2 3" xfId="24647" xr:uid="{C1E3BD76-B15A-4348-9FF1-D1F8C971387F}"/>
    <cellStyle name="Normal 5 2 2 3 2 2 3 2 3" xfId="11995" xr:uid="{6B629A1E-072C-4948-B2F0-F0758A6562E1}"/>
    <cellStyle name="Normal 5 2 2 3 2 2 3 2 4" xfId="20430" xr:uid="{4F026C44-9F68-47E7-8EC5-5274053B82F9}"/>
    <cellStyle name="Normal 5 2 2 3 2 2 3 3" xfId="5618" xr:uid="{00000000-0005-0000-0000-0000A0170000}"/>
    <cellStyle name="Normal 5 2 2 3 2 2 3 3 2" xfId="14068" xr:uid="{5EAEDD0C-F31D-4410-AAFE-7FA36398C9E8}"/>
    <cellStyle name="Normal 5 2 2 3 2 2 3 3 3" xfId="22502" xr:uid="{703326CE-6238-4302-97A1-B35541E75227}"/>
    <cellStyle name="Normal 5 2 2 3 2 2 3 4" xfId="9850" xr:uid="{7F5BE291-CC60-468B-80EA-5F973EB9AFFB}"/>
    <cellStyle name="Normal 5 2 2 3 2 2 3 5" xfId="18285" xr:uid="{A88C275A-CA09-4863-867C-CAEDE24C5031}"/>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14E12D79-9C2A-4B0E-93C7-5CD9B32EFF16}"/>
    <cellStyle name="Normal 5 2 2 3 2 2 4 2 2 3" xfId="25060" xr:uid="{B5DB3054-9A4A-42FC-B6A4-912C1DBEB55B}"/>
    <cellStyle name="Normal 5 2 2 3 2 2 4 2 3" xfId="12408" xr:uid="{E2F79E00-1EC6-4908-A496-F60F74D9103D}"/>
    <cellStyle name="Normal 5 2 2 3 2 2 4 2 4" xfId="20843" xr:uid="{3944BF9D-047B-4D94-9D45-9E3735E76EBC}"/>
    <cellStyle name="Normal 5 2 2 3 2 2 4 3" xfId="6031" xr:uid="{00000000-0005-0000-0000-0000A4170000}"/>
    <cellStyle name="Normal 5 2 2 3 2 2 4 3 2" xfId="14481" xr:uid="{67F1B8CA-5F15-409F-8419-81DCBF15CA30}"/>
    <cellStyle name="Normal 5 2 2 3 2 2 4 3 3" xfId="22915" xr:uid="{305F0E51-8C15-4714-8105-E69D8B970CD9}"/>
    <cellStyle name="Normal 5 2 2 3 2 2 4 4" xfId="10263" xr:uid="{D41968F5-9794-460F-852F-823E1FAED7FB}"/>
    <cellStyle name="Normal 5 2 2 3 2 2 4 5" xfId="18698" xr:uid="{7EF1BE89-5284-4C4C-A261-701CF28330DE}"/>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1789EDF1-7EC5-4528-AD6F-70C5DA54D4CA}"/>
    <cellStyle name="Normal 5 2 2 3 2 2 5 2 2 3" xfId="25473" xr:uid="{8F4CCB66-067D-4A91-9A30-86EE8A9D7289}"/>
    <cellStyle name="Normal 5 2 2 3 2 2 5 2 3" xfId="12821" xr:uid="{5B523129-CA54-47C7-A908-DBE1E2CDEC0C}"/>
    <cellStyle name="Normal 5 2 2 3 2 2 5 2 4" xfId="21256" xr:uid="{F3900B6C-C0E5-4E87-B92D-9EAFA3971AF1}"/>
    <cellStyle name="Normal 5 2 2 3 2 2 5 3" xfId="6444" xr:uid="{00000000-0005-0000-0000-0000A8170000}"/>
    <cellStyle name="Normal 5 2 2 3 2 2 5 3 2" xfId="14894" xr:uid="{0482BE36-CCE3-4052-B1E7-F44735969E04}"/>
    <cellStyle name="Normal 5 2 2 3 2 2 5 3 3" xfId="23328" xr:uid="{D88EB0C1-1971-4BCD-8635-6B1016C5D9FB}"/>
    <cellStyle name="Normal 5 2 2 3 2 2 5 4" xfId="10676" xr:uid="{4F332708-7841-448D-8C71-8A97043B3DFE}"/>
    <cellStyle name="Normal 5 2 2 3 2 2 5 5" xfId="19111" xr:uid="{40994E32-B1E5-4559-87CE-12E4C39DE772}"/>
    <cellStyle name="Normal 5 2 2 3 2 2 6" xfId="2574" xr:uid="{00000000-0005-0000-0000-0000A9170000}"/>
    <cellStyle name="Normal 5 2 2 3 2 2 6 2" xfId="6857" xr:uid="{00000000-0005-0000-0000-0000AA170000}"/>
    <cellStyle name="Normal 5 2 2 3 2 2 6 2 2" xfId="15307" xr:uid="{093C7DB6-B64E-44A0-AC10-C7AC19B91FE7}"/>
    <cellStyle name="Normal 5 2 2 3 2 2 6 2 3" xfId="23741" xr:uid="{92D2A04A-6ADC-4032-AE31-73CACEBD5F4E}"/>
    <cellStyle name="Normal 5 2 2 3 2 2 6 3" xfId="11089" xr:uid="{5D2B972C-5854-456B-8D99-94EDD2476891}"/>
    <cellStyle name="Normal 5 2 2 3 2 2 6 4" xfId="19524" xr:uid="{9E969119-5D6D-4165-AE14-CB1F0069A083}"/>
    <cellStyle name="Normal 5 2 2 3 2 2 7" xfId="4792" xr:uid="{00000000-0005-0000-0000-0000AB170000}"/>
    <cellStyle name="Normal 5 2 2 3 2 2 7 2" xfId="13242" xr:uid="{B0EB6336-6DA1-4319-960B-9D671B3865FC}"/>
    <cellStyle name="Normal 5 2 2 3 2 2 7 3" xfId="21676" xr:uid="{1B90B525-36D9-486C-97AA-0BE161EF2FFA}"/>
    <cellStyle name="Normal 5 2 2 3 2 2 8" xfId="9024" xr:uid="{62268210-ACD8-431A-9CFB-690CCEF555CF}"/>
    <cellStyle name="Normal 5 2 2 3 2 2 9" xfId="17459" xr:uid="{D5DF692E-C634-4914-AA8F-92114F13F756}"/>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CD70BB0F-FD9E-4747-838E-A5150C9B5611}"/>
    <cellStyle name="Normal 5 2 2 3 2 3 2 2 3" xfId="24233" xr:uid="{6F839899-5811-40AC-97C9-E11D8472993B}"/>
    <cellStyle name="Normal 5 2 2 3 2 3 2 3" xfId="11581" xr:uid="{6B5BCEFD-1591-47EF-BA03-C19E7F30C09D}"/>
    <cellStyle name="Normal 5 2 2 3 2 3 2 4" xfId="20016" xr:uid="{174ED54D-5D4E-4EE9-BCEA-2D346C3AC48C}"/>
    <cellStyle name="Normal 5 2 2 3 2 3 3" xfId="5204" xr:uid="{00000000-0005-0000-0000-0000AF170000}"/>
    <cellStyle name="Normal 5 2 2 3 2 3 3 2" xfId="13654" xr:uid="{69861EF8-3E72-4B65-AC65-58777B4AD7A9}"/>
    <cellStyle name="Normal 5 2 2 3 2 3 3 3" xfId="22088" xr:uid="{6D778454-80F5-4F46-B25C-AE7E7D2D7F4E}"/>
    <cellStyle name="Normal 5 2 2 3 2 3 4" xfId="9436" xr:uid="{C88637D0-15F5-4FE3-A49C-5F7366D07E6F}"/>
    <cellStyle name="Normal 5 2 2 3 2 3 5" xfId="17871" xr:uid="{E28A83AB-5AE6-4F7C-9A85-E5C4F176158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4A24976F-3EFA-4CDA-8A01-4099DEC2E331}"/>
    <cellStyle name="Normal 5 2 2 3 2 4 2 2 3" xfId="24646" xr:uid="{D8709BA7-62E2-4890-A4FB-4A7F410C02CE}"/>
    <cellStyle name="Normal 5 2 2 3 2 4 2 3" xfId="11994" xr:uid="{BC9A0BD5-8E09-479F-AB8A-A055ECEABC2C}"/>
    <cellStyle name="Normal 5 2 2 3 2 4 2 4" xfId="20429" xr:uid="{2A83B3AA-363D-4844-A73E-C8EE742791CC}"/>
    <cellStyle name="Normal 5 2 2 3 2 4 3" xfId="5617" xr:uid="{00000000-0005-0000-0000-0000B3170000}"/>
    <cellStyle name="Normal 5 2 2 3 2 4 3 2" xfId="14067" xr:uid="{4B623D79-752D-4B6E-98AE-8C20E0E4B45C}"/>
    <cellStyle name="Normal 5 2 2 3 2 4 3 3" xfId="22501" xr:uid="{858D9F12-FAF6-45BA-BF76-81E6262563BA}"/>
    <cellStyle name="Normal 5 2 2 3 2 4 4" xfId="9849" xr:uid="{4DD8A906-0795-4B36-89BE-D455F0F4A97B}"/>
    <cellStyle name="Normal 5 2 2 3 2 4 5" xfId="18284" xr:uid="{AB0AE81C-CC0F-477C-8DCE-69E48D580465}"/>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4CE6AF9E-D0DF-4A9C-BD42-1BB28E687FD5}"/>
    <cellStyle name="Normal 5 2 2 3 2 5 2 2 3" xfId="25059" xr:uid="{8BAB9365-5804-4615-800C-8C4EEA1AA066}"/>
    <cellStyle name="Normal 5 2 2 3 2 5 2 3" xfId="12407" xr:uid="{5AD29489-509F-46B4-966C-8FD8CFC00D19}"/>
    <cellStyle name="Normal 5 2 2 3 2 5 2 4" xfId="20842" xr:uid="{EF7389B6-BE43-4A24-BE88-AC26E7134E1C}"/>
    <cellStyle name="Normal 5 2 2 3 2 5 3" xfId="6030" xr:uid="{00000000-0005-0000-0000-0000B7170000}"/>
    <cellStyle name="Normal 5 2 2 3 2 5 3 2" xfId="14480" xr:uid="{03FEC9BF-AA1F-4271-A4B5-60B300FF94B8}"/>
    <cellStyle name="Normal 5 2 2 3 2 5 3 3" xfId="22914" xr:uid="{8FEA5646-9B3C-4EB8-9844-E14595FAEAC3}"/>
    <cellStyle name="Normal 5 2 2 3 2 5 4" xfId="10262" xr:uid="{C8CB3562-C651-4F14-8C39-519422C4A969}"/>
    <cellStyle name="Normal 5 2 2 3 2 5 5" xfId="18697" xr:uid="{E7C82249-FB1B-40E6-8F28-D9EDDC901334}"/>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892CF003-29FE-40E7-859A-8916ACB508D4}"/>
    <cellStyle name="Normal 5 2 2 3 2 6 2 2 3" xfId="25472" xr:uid="{23B276F4-599B-4F04-B741-7130EC7ABCD1}"/>
    <cellStyle name="Normal 5 2 2 3 2 6 2 3" xfId="12820" xr:uid="{F6D2FB73-1509-41B5-B95E-6DB1DA7EFFBF}"/>
    <cellStyle name="Normal 5 2 2 3 2 6 2 4" xfId="21255" xr:uid="{934C074B-4A60-420C-AC30-CC9D9993F9BC}"/>
    <cellStyle name="Normal 5 2 2 3 2 6 3" xfId="6443" xr:uid="{00000000-0005-0000-0000-0000BB170000}"/>
    <cellStyle name="Normal 5 2 2 3 2 6 3 2" xfId="14893" xr:uid="{58349DAF-9B22-48A4-B1D8-AB2791FA81A1}"/>
    <cellStyle name="Normal 5 2 2 3 2 6 3 3" xfId="23327" xr:uid="{D8F38808-076C-4934-976A-2E60983C592A}"/>
    <cellStyle name="Normal 5 2 2 3 2 6 4" xfId="10675" xr:uid="{F7B46778-9F6D-4412-8A61-62A9DBB27557}"/>
    <cellStyle name="Normal 5 2 2 3 2 6 5" xfId="19110" xr:uid="{016D3E5B-2DFD-44AF-AAA9-C5D7FB13A655}"/>
    <cellStyle name="Normal 5 2 2 3 2 7" xfId="2573" xr:uid="{00000000-0005-0000-0000-0000BC170000}"/>
    <cellStyle name="Normal 5 2 2 3 2 7 2" xfId="6856" xr:uid="{00000000-0005-0000-0000-0000BD170000}"/>
    <cellStyle name="Normal 5 2 2 3 2 7 2 2" xfId="15306" xr:uid="{166B6217-6881-4E11-A512-77E356358179}"/>
    <cellStyle name="Normal 5 2 2 3 2 7 2 3" xfId="23740" xr:uid="{FE5FC16C-970B-4B8C-85C5-96207194F5A3}"/>
    <cellStyle name="Normal 5 2 2 3 2 7 3" xfId="11088" xr:uid="{7B9CE404-8F31-4BB5-A206-61B6B03FC3B3}"/>
    <cellStyle name="Normal 5 2 2 3 2 7 4" xfId="19523" xr:uid="{49FF42A4-6589-431A-921A-08B82D09B87E}"/>
    <cellStyle name="Normal 5 2 2 3 2 8" xfId="4791" xr:uid="{00000000-0005-0000-0000-0000BE170000}"/>
    <cellStyle name="Normal 5 2 2 3 2 8 2" xfId="13241" xr:uid="{C5320FD8-5680-4FC1-AFF1-2FDF9171D14C}"/>
    <cellStyle name="Normal 5 2 2 3 2 8 3" xfId="21675" xr:uid="{7A4EEB96-99F4-4B7E-B35C-0B5ECA38FAE8}"/>
    <cellStyle name="Normal 5 2 2 3 2 9" xfId="9023" xr:uid="{FBCD8C46-4A1E-4525-8DFE-8FA2D4A03C5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72655FAB-D9D0-45D6-8B9D-B8D674786B91}"/>
    <cellStyle name="Normal 5 2 2 3 3 2 2 2 3" xfId="24235" xr:uid="{DD5D52F8-73E9-4B2B-915E-EB0C1C7D879D}"/>
    <cellStyle name="Normal 5 2 2 3 3 2 2 3" xfId="11583" xr:uid="{90E13375-BB20-4DC7-9B92-E0746B39D46A}"/>
    <cellStyle name="Normal 5 2 2 3 3 2 2 4" xfId="20018" xr:uid="{B0387426-38A0-4883-AD23-6A4CF192B1F6}"/>
    <cellStyle name="Normal 5 2 2 3 3 2 3" xfId="5206" xr:uid="{00000000-0005-0000-0000-0000C3170000}"/>
    <cellStyle name="Normal 5 2 2 3 3 2 3 2" xfId="13656" xr:uid="{0FE8A6E4-7328-4FB7-9AF7-5FF471B0FF70}"/>
    <cellStyle name="Normal 5 2 2 3 3 2 3 3" xfId="22090" xr:uid="{95CCD405-CE23-4DF1-8AF1-B62C360AA5B1}"/>
    <cellStyle name="Normal 5 2 2 3 3 2 4" xfId="9438" xr:uid="{CDD307AE-DF88-4BB0-A14E-D2D2675BE479}"/>
    <cellStyle name="Normal 5 2 2 3 3 2 5" xfId="17873" xr:uid="{4A9826F4-24B2-49DC-A1EA-2C387B4E88B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716B2C7C-9516-4874-8606-5C7E4720B62D}"/>
    <cellStyle name="Normal 5 2 2 3 3 3 2 2 3" xfId="24648" xr:uid="{A625DF26-840A-496C-B449-318E0A31C108}"/>
    <cellStyle name="Normal 5 2 2 3 3 3 2 3" xfId="11996" xr:uid="{16CAC9F1-E61B-496D-9F92-BD4F08E67F67}"/>
    <cellStyle name="Normal 5 2 2 3 3 3 2 4" xfId="20431" xr:uid="{54A0431E-C940-4FD9-98E2-9E2B6D08B2AA}"/>
    <cellStyle name="Normal 5 2 2 3 3 3 3" xfId="5619" xr:uid="{00000000-0005-0000-0000-0000C7170000}"/>
    <cellStyle name="Normal 5 2 2 3 3 3 3 2" xfId="14069" xr:uid="{570B496D-CD43-44DB-86C9-FE2EB7CEB018}"/>
    <cellStyle name="Normal 5 2 2 3 3 3 3 3" xfId="22503" xr:uid="{366E6490-BECF-444F-BBDB-EE41D94B59F9}"/>
    <cellStyle name="Normal 5 2 2 3 3 3 4" xfId="9851" xr:uid="{836CCC4F-E031-419B-8F46-510EBBE1BF84}"/>
    <cellStyle name="Normal 5 2 2 3 3 3 5" xfId="18286" xr:uid="{22095F68-B965-42A8-9B57-BCC9EB3BF6A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1BEDBC18-09C7-4F3F-B78B-DB0DDB1FB36B}"/>
    <cellStyle name="Normal 5 2 2 3 3 4 2 2 3" xfId="25061" xr:uid="{A67790AE-A609-40AF-8092-B62D35383C97}"/>
    <cellStyle name="Normal 5 2 2 3 3 4 2 3" xfId="12409" xr:uid="{F3E76A4D-FB0F-4242-8D46-1187DB898C33}"/>
    <cellStyle name="Normal 5 2 2 3 3 4 2 4" xfId="20844" xr:uid="{7F13A02D-EA11-441B-991C-C0E1154E6BFD}"/>
    <cellStyle name="Normal 5 2 2 3 3 4 3" xfId="6032" xr:uid="{00000000-0005-0000-0000-0000CB170000}"/>
    <cellStyle name="Normal 5 2 2 3 3 4 3 2" xfId="14482" xr:uid="{574D2B21-9212-47BD-9722-01E5C2FA7CD5}"/>
    <cellStyle name="Normal 5 2 2 3 3 4 3 3" xfId="22916" xr:uid="{044CDD87-039B-4B8C-BAF0-BA0E0DFA04B4}"/>
    <cellStyle name="Normal 5 2 2 3 3 4 4" xfId="10264" xr:uid="{B1E4C109-58B8-4389-BE4D-598CC66A3929}"/>
    <cellStyle name="Normal 5 2 2 3 3 4 5" xfId="18699" xr:uid="{7ED75CEA-2F2A-49BE-BC5D-5C61594162F2}"/>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2625F4E2-137D-4980-B65C-628D004D232F}"/>
    <cellStyle name="Normal 5 2 2 3 3 5 2 2 3" xfId="25474" xr:uid="{A7112983-C4C4-47AA-838D-BCF89BF3910C}"/>
    <cellStyle name="Normal 5 2 2 3 3 5 2 3" xfId="12822" xr:uid="{31DA27CA-8D5E-4F9E-B96B-3C47C0C6C6EC}"/>
    <cellStyle name="Normal 5 2 2 3 3 5 2 4" xfId="21257" xr:uid="{D9CCB1C0-3D33-44B0-B92B-6861550206C1}"/>
    <cellStyle name="Normal 5 2 2 3 3 5 3" xfId="6445" xr:uid="{00000000-0005-0000-0000-0000CF170000}"/>
    <cellStyle name="Normal 5 2 2 3 3 5 3 2" xfId="14895" xr:uid="{514B2FE3-C97A-4630-9BF1-99B4E0EAAB68}"/>
    <cellStyle name="Normal 5 2 2 3 3 5 3 3" xfId="23329" xr:uid="{8E6E9C19-F0DD-4391-94E0-C9DC9891D337}"/>
    <cellStyle name="Normal 5 2 2 3 3 5 4" xfId="10677" xr:uid="{5047EF3D-46DB-4CF9-B7D0-A81512D6613D}"/>
    <cellStyle name="Normal 5 2 2 3 3 5 5" xfId="19112" xr:uid="{80DFA98D-0E47-404F-B10E-F2A75046758F}"/>
    <cellStyle name="Normal 5 2 2 3 3 6" xfId="2575" xr:uid="{00000000-0005-0000-0000-0000D0170000}"/>
    <cellStyle name="Normal 5 2 2 3 3 6 2" xfId="6858" xr:uid="{00000000-0005-0000-0000-0000D1170000}"/>
    <cellStyle name="Normal 5 2 2 3 3 6 2 2" xfId="15308" xr:uid="{BA1C59D8-F2E5-4366-AFAA-D62F87BC1832}"/>
    <cellStyle name="Normal 5 2 2 3 3 6 2 3" xfId="23742" xr:uid="{4D885CB4-2B7F-4C00-8BD7-25C2AA4AADBD}"/>
    <cellStyle name="Normal 5 2 2 3 3 6 3" xfId="11090" xr:uid="{2C63514F-35E7-48EB-B51C-641BF3B4BFF4}"/>
    <cellStyle name="Normal 5 2 2 3 3 6 4" xfId="19525" xr:uid="{F00219AE-5944-4718-A5D6-83A9CD818CB4}"/>
    <cellStyle name="Normal 5 2 2 3 3 7" xfId="4793" xr:uid="{00000000-0005-0000-0000-0000D2170000}"/>
    <cellStyle name="Normal 5 2 2 3 3 7 2" xfId="13243" xr:uid="{E5A92BEB-36E9-4492-9C42-566537D0249D}"/>
    <cellStyle name="Normal 5 2 2 3 3 7 3" xfId="21677" xr:uid="{2AE4A35E-6177-49D9-A21D-72C7D29B9B08}"/>
    <cellStyle name="Normal 5 2 2 3 3 8" xfId="9025" xr:uid="{0091A152-8C34-4AA8-94D1-470200AF35CC}"/>
    <cellStyle name="Normal 5 2 2 3 3 9" xfId="17460" xr:uid="{6FFAB099-37DB-4EB8-8C5C-69486D306B03}"/>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897DD72F-B555-4EB7-A73F-CA6EF60537EB}"/>
    <cellStyle name="Normal 5 2 2 3 4 2 2 3" xfId="24232" xr:uid="{B7EF6BE4-B2A7-4E40-ADE6-5771E06D194E}"/>
    <cellStyle name="Normal 5 2 2 3 4 2 3" xfId="11580" xr:uid="{42ED7629-10E0-491A-8CDE-F733249517D1}"/>
    <cellStyle name="Normal 5 2 2 3 4 2 4" xfId="20015" xr:uid="{623ACE49-AD1D-4E25-9BB8-8EA34E1001D1}"/>
    <cellStyle name="Normal 5 2 2 3 4 3" xfId="5203" xr:uid="{00000000-0005-0000-0000-0000D6170000}"/>
    <cellStyle name="Normal 5 2 2 3 4 3 2" xfId="13653" xr:uid="{8E95B3B7-AEE4-43A1-8483-3DB5961EA116}"/>
    <cellStyle name="Normal 5 2 2 3 4 3 3" xfId="22087" xr:uid="{FD472B72-7243-47ED-B20E-53C23EE6182A}"/>
    <cellStyle name="Normal 5 2 2 3 4 4" xfId="9435" xr:uid="{02358B09-CBF7-411E-9AC5-0EC3BDC5BAE5}"/>
    <cellStyle name="Normal 5 2 2 3 4 5" xfId="17870" xr:uid="{F38835C8-BB0C-450C-8569-EB82CF25A66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81D68985-3233-497F-A3D1-885A1736F6B8}"/>
    <cellStyle name="Normal 5 2 2 3 5 2 2 3" xfId="24645" xr:uid="{9AB36F3C-2410-4E9E-8F77-8CFE6BD5C6D0}"/>
    <cellStyle name="Normal 5 2 2 3 5 2 3" xfId="11993" xr:uid="{C9709C80-5FAA-429F-9391-66340CFEA9B0}"/>
    <cellStyle name="Normal 5 2 2 3 5 2 4" xfId="20428" xr:uid="{64B6CCE8-7A2A-4C8D-90DE-404B57342035}"/>
    <cellStyle name="Normal 5 2 2 3 5 3" xfId="5616" xr:uid="{00000000-0005-0000-0000-0000DA170000}"/>
    <cellStyle name="Normal 5 2 2 3 5 3 2" xfId="14066" xr:uid="{47C8903E-BDF8-4CFE-8504-F1BC7376599A}"/>
    <cellStyle name="Normal 5 2 2 3 5 3 3" xfId="22500" xr:uid="{72DC0FC2-9E56-4D2D-9AE5-B74E937A1B70}"/>
    <cellStyle name="Normal 5 2 2 3 5 4" xfId="9848" xr:uid="{ED977DB3-FAC8-411D-81E3-A6E3DE4B947A}"/>
    <cellStyle name="Normal 5 2 2 3 5 5" xfId="18283" xr:uid="{EDF54E7E-9DE5-4F7E-AD82-1D5BF4E68D7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1AB9FE4C-B4E8-472A-A2BA-A396498288AF}"/>
    <cellStyle name="Normal 5 2 2 3 6 2 2 3" xfId="25058" xr:uid="{2C2174FD-C81B-4036-9FD8-6BC8F200972D}"/>
    <cellStyle name="Normal 5 2 2 3 6 2 3" xfId="12406" xr:uid="{038EAFAB-7FCD-4767-A734-646953B09539}"/>
    <cellStyle name="Normal 5 2 2 3 6 2 4" xfId="20841" xr:uid="{FE710CCD-EB03-4DDB-99F5-E56889C2C6A1}"/>
    <cellStyle name="Normal 5 2 2 3 6 3" xfId="6029" xr:uid="{00000000-0005-0000-0000-0000DE170000}"/>
    <cellStyle name="Normal 5 2 2 3 6 3 2" xfId="14479" xr:uid="{DCE5A712-D34F-455E-BB9D-142EA5B61669}"/>
    <cellStyle name="Normal 5 2 2 3 6 3 3" xfId="22913" xr:uid="{2F9D8353-FA51-44C4-A159-D626F805D593}"/>
    <cellStyle name="Normal 5 2 2 3 6 4" xfId="10261" xr:uid="{01BD7B73-5942-4E05-829F-23AE4DF10BEA}"/>
    <cellStyle name="Normal 5 2 2 3 6 5" xfId="18696" xr:uid="{E3473C99-CF44-427B-8A67-364293B3297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6FF5C637-4F2D-4CEE-AABE-F169C5D6BB2B}"/>
    <cellStyle name="Normal 5 2 2 3 7 2 2 3" xfId="25471" xr:uid="{CB8736FB-A587-409E-A5E1-D2F04C700B7C}"/>
    <cellStyle name="Normal 5 2 2 3 7 2 3" xfId="12819" xr:uid="{3666C05B-4DF3-4EC5-90AB-1AE3D2A83D52}"/>
    <cellStyle name="Normal 5 2 2 3 7 2 4" xfId="21254" xr:uid="{F066E580-FBC0-4A2E-BC00-EA135AB80494}"/>
    <cellStyle name="Normal 5 2 2 3 7 3" xfId="6442" xr:uid="{00000000-0005-0000-0000-0000E2170000}"/>
    <cellStyle name="Normal 5 2 2 3 7 3 2" xfId="14892" xr:uid="{562F91D9-19FF-4F88-88A4-FC7A917AD477}"/>
    <cellStyle name="Normal 5 2 2 3 7 3 3" xfId="23326" xr:uid="{07192A77-AB95-4CEF-9DF6-D5DB510B823C}"/>
    <cellStyle name="Normal 5 2 2 3 7 4" xfId="10674" xr:uid="{A9712E75-0065-4D6F-9B76-DE9E955A1840}"/>
    <cellStyle name="Normal 5 2 2 3 7 5" xfId="19109" xr:uid="{4283531C-A5BE-4B86-BBD2-339C4C9C8F36}"/>
    <cellStyle name="Normal 5 2 2 3 8" xfId="2572" xr:uid="{00000000-0005-0000-0000-0000E3170000}"/>
    <cellStyle name="Normal 5 2 2 3 8 2" xfId="6855" xr:uid="{00000000-0005-0000-0000-0000E4170000}"/>
    <cellStyle name="Normal 5 2 2 3 8 2 2" xfId="15305" xr:uid="{EAA52950-6AA3-429F-89E2-13DA8487D2C1}"/>
    <cellStyle name="Normal 5 2 2 3 8 2 3" xfId="23739" xr:uid="{F48EEB28-0F40-41AB-8112-AAB6027C5CA5}"/>
    <cellStyle name="Normal 5 2 2 3 8 3" xfId="11087" xr:uid="{EB05CB29-924A-424F-948F-D84A95135AD4}"/>
    <cellStyle name="Normal 5 2 2 3 8 4" xfId="19522" xr:uid="{F141C77E-95AB-4E31-9BF8-300FCE045221}"/>
    <cellStyle name="Normal 5 2 2 3 9" xfId="4790" xr:uid="{00000000-0005-0000-0000-0000E5170000}"/>
    <cellStyle name="Normal 5 2 2 3 9 2" xfId="13240" xr:uid="{C49D8270-7066-4BFF-BEED-58025E69163A}"/>
    <cellStyle name="Normal 5 2 2 3 9 3" xfId="21674" xr:uid="{6D4754B1-4482-4B1D-A0C4-A7C5AC9239CB}"/>
    <cellStyle name="Normal 5 2 2 4" xfId="421" xr:uid="{00000000-0005-0000-0000-0000E6170000}"/>
    <cellStyle name="Normal 5 2 2 4 10" xfId="17461" xr:uid="{BB02074C-82F9-48B7-BCEA-091DBB15AAE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F5B23756-D3E3-4AEE-A43F-1FAC8B8B3003}"/>
    <cellStyle name="Normal 5 2 2 4 2 2 2 2 3" xfId="24237" xr:uid="{A0342500-F393-4E40-B867-285BF0593A93}"/>
    <cellStyle name="Normal 5 2 2 4 2 2 2 3" xfId="11585" xr:uid="{1FC4EC85-E11F-4F01-8477-B8D03DB63344}"/>
    <cellStyle name="Normal 5 2 2 4 2 2 2 4" xfId="20020" xr:uid="{A1CECF58-EBC0-433A-8160-859DE25CD8B9}"/>
    <cellStyle name="Normal 5 2 2 4 2 2 3" xfId="5208" xr:uid="{00000000-0005-0000-0000-0000EB170000}"/>
    <cellStyle name="Normal 5 2 2 4 2 2 3 2" xfId="13658" xr:uid="{98D94FCC-A83B-4760-A11B-350C07410372}"/>
    <cellStyle name="Normal 5 2 2 4 2 2 3 3" xfId="22092" xr:uid="{CA24C9CE-D14B-44A9-93AD-AEFD78E9CA26}"/>
    <cellStyle name="Normal 5 2 2 4 2 2 4" xfId="9440" xr:uid="{9659385D-818D-4F90-8FB1-76A22AAA8280}"/>
    <cellStyle name="Normal 5 2 2 4 2 2 5" xfId="17875" xr:uid="{2445CEC7-489F-4BE6-8630-E701C900BAFB}"/>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77FA0CA3-CBE1-42CF-92DE-03BB46A200D5}"/>
    <cellStyle name="Normal 5 2 2 4 2 3 2 2 3" xfId="24650" xr:uid="{E800FF91-94A8-4E7F-A8FE-EBD25341FBEA}"/>
    <cellStyle name="Normal 5 2 2 4 2 3 2 3" xfId="11998" xr:uid="{2BF7D942-3923-4FEA-AF00-040E7677AA53}"/>
    <cellStyle name="Normal 5 2 2 4 2 3 2 4" xfId="20433" xr:uid="{58A9DCEF-A6A9-431D-B2CA-20DF729B9B61}"/>
    <cellStyle name="Normal 5 2 2 4 2 3 3" xfId="5621" xr:uid="{00000000-0005-0000-0000-0000EF170000}"/>
    <cellStyle name="Normal 5 2 2 4 2 3 3 2" xfId="14071" xr:uid="{CF3CB514-9BE8-4B5C-8679-6100CC6FCC5D}"/>
    <cellStyle name="Normal 5 2 2 4 2 3 3 3" xfId="22505" xr:uid="{86C54E6D-AD9E-4601-8ADE-5B8E4A812E7E}"/>
    <cellStyle name="Normal 5 2 2 4 2 3 4" xfId="9853" xr:uid="{1B095F5B-5E55-4C2A-9949-06053833055A}"/>
    <cellStyle name="Normal 5 2 2 4 2 3 5" xfId="18288" xr:uid="{18AA55F4-1AFE-4FD3-AE7E-29D6740AED1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19E367BE-AA42-40FB-B1B0-226361CFA26E}"/>
    <cellStyle name="Normal 5 2 2 4 2 4 2 2 3" xfId="25063" xr:uid="{354F4592-9407-437F-875B-C9337FB51122}"/>
    <cellStyle name="Normal 5 2 2 4 2 4 2 3" xfId="12411" xr:uid="{F557A60F-CF3A-49D0-98C1-9CC19DE5900B}"/>
    <cellStyle name="Normal 5 2 2 4 2 4 2 4" xfId="20846" xr:uid="{5FC5D3C8-1776-4C0F-A237-57CEC34D9C6F}"/>
    <cellStyle name="Normal 5 2 2 4 2 4 3" xfId="6034" xr:uid="{00000000-0005-0000-0000-0000F3170000}"/>
    <cellStyle name="Normal 5 2 2 4 2 4 3 2" xfId="14484" xr:uid="{B91EA536-168F-4B1E-9677-5F9D24175E2D}"/>
    <cellStyle name="Normal 5 2 2 4 2 4 3 3" xfId="22918" xr:uid="{356AEED0-C91A-49A1-8291-06E56592EE6C}"/>
    <cellStyle name="Normal 5 2 2 4 2 4 4" xfId="10266" xr:uid="{183524D7-E17A-463E-AD65-EBC2FF28321B}"/>
    <cellStyle name="Normal 5 2 2 4 2 4 5" xfId="18701" xr:uid="{79EA08F8-7D3B-46E1-B7B5-BC2CC5C2BF3C}"/>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72D8262B-6E93-4468-829E-396FA66C542B}"/>
    <cellStyle name="Normal 5 2 2 4 2 5 2 2 3" xfId="25476" xr:uid="{143C9361-875C-4D5D-ACEF-11BB6A50EC64}"/>
    <cellStyle name="Normal 5 2 2 4 2 5 2 3" xfId="12824" xr:uid="{0626679C-C4F8-417F-A2EC-C76CBE06D701}"/>
    <cellStyle name="Normal 5 2 2 4 2 5 2 4" xfId="21259" xr:uid="{78D18061-6BF2-40ED-BDAC-FE589D69631B}"/>
    <cellStyle name="Normal 5 2 2 4 2 5 3" xfId="6447" xr:uid="{00000000-0005-0000-0000-0000F7170000}"/>
    <cellStyle name="Normal 5 2 2 4 2 5 3 2" xfId="14897" xr:uid="{7EADF068-5289-45FD-AD30-B5ECB8C16261}"/>
    <cellStyle name="Normal 5 2 2 4 2 5 3 3" xfId="23331" xr:uid="{C4A7D636-3258-4568-9F3F-76CEA318DB03}"/>
    <cellStyle name="Normal 5 2 2 4 2 5 4" xfId="10679" xr:uid="{342621A0-BAB4-4622-B32A-803C099607EB}"/>
    <cellStyle name="Normal 5 2 2 4 2 5 5" xfId="19114" xr:uid="{50C936CA-7A17-4B0A-BA47-A009E49EFEF0}"/>
    <cellStyle name="Normal 5 2 2 4 2 6" xfId="2577" xr:uid="{00000000-0005-0000-0000-0000F8170000}"/>
    <cellStyle name="Normal 5 2 2 4 2 6 2" xfId="6860" xr:uid="{00000000-0005-0000-0000-0000F9170000}"/>
    <cellStyle name="Normal 5 2 2 4 2 6 2 2" xfId="15310" xr:uid="{33025277-2B99-4607-BC4A-510591D9ECB7}"/>
    <cellStyle name="Normal 5 2 2 4 2 6 2 3" xfId="23744" xr:uid="{C096BAE9-F6CB-4210-9CF9-716F1116E57E}"/>
    <cellStyle name="Normal 5 2 2 4 2 6 3" xfId="11092" xr:uid="{00D8DE21-C8D8-451A-A063-B24A16DD3F05}"/>
    <cellStyle name="Normal 5 2 2 4 2 6 4" xfId="19527" xr:uid="{258A2C93-1716-41BD-AE6D-69FEBD9AEB74}"/>
    <cellStyle name="Normal 5 2 2 4 2 7" xfId="4795" xr:uid="{00000000-0005-0000-0000-0000FA170000}"/>
    <cellStyle name="Normal 5 2 2 4 2 7 2" xfId="13245" xr:uid="{7CC45E41-C563-43AA-80CE-390AF384B0E7}"/>
    <cellStyle name="Normal 5 2 2 4 2 7 3" xfId="21679" xr:uid="{7BE694DE-9289-4363-ADF6-6C053E79BC38}"/>
    <cellStyle name="Normal 5 2 2 4 2 8" xfId="9027" xr:uid="{17B75DF5-D1D0-4065-8E82-DA1D5AFB6CA4}"/>
    <cellStyle name="Normal 5 2 2 4 2 9" xfId="17462" xr:uid="{11D2B63D-1631-4D25-AE6F-0D5F5C1C779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3D4D9F72-8DB7-4950-B0A6-D9281617B1C0}"/>
    <cellStyle name="Normal 5 2 2 4 3 2 2 3" xfId="24236" xr:uid="{98B0E033-8948-41B7-9127-F07CF466D1FF}"/>
    <cellStyle name="Normal 5 2 2 4 3 2 3" xfId="11584" xr:uid="{F1FBA1B5-D4A0-4821-BA42-8583F63D3F77}"/>
    <cellStyle name="Normal 5 2 2 4 3 2 4" xfId="20019" xr:uid="{52313CB6-3D70-4EF5-B7BF-C18E76F21D06}"/>
    <cellStyle name="Normal 5 2 2 4 3 3" xfId="5207" xr:uid="{00000000-0005-0000-0000-0000FE170000}"/>
    <cellStyle name="Normal 5 2 2 4 3 3 2" xfId="13657" xr:uid="{8CCF6B2B-AD71-4DDF-AD4C-763538BD14C3}"/>
    <cellStyle name="Normal 5 2 2 4 3 3 3" xfId="22091" xr:uid="{50B7C839-75E8-4714-B86E-6E507AEA2DF3}"/>
    <cellStyle name="Normal 5 2 2 4 3 4" xfId="9439" xr:uid="{0442FEAC-7371-41AD-A77E-78CCD8B2CB5A}"/>
    <cellStyle name="Normal 5 2 2 4 3 5" xfId="17874" xr:uid="{752D9D24-379B-4F68-823D-C4CD4667956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49EA658D-7D78-4381-9D24-910FF5BF7A22}"/>
    <cellStyle name="Normal 5 2 2 4 4 2 2 3" xfId="24649" xr:uid="{7A3FDE3E-F522-4F00-8986-D42D8D556F67}"/>
    <cellStyle name="Normal 5 2 2 4 4 2 3" xfId="11997" xr:uid="{5705DDCE-5F39-4BE8-B308-02D8F1F96BF4}"/>
    <cellStyle name="Normal 5 2 2 4 4 2 4" xfId="20432" xr:uid="{EEB9AE98-6694-4E2E-AFE2-C8D3694A27D7}"/>
    <cellStyle name="Normal 5 2 2 4 4 3" xfId="5620" xr:uid="{00000000-0005-0000-0000-000002180000}"/>
    <cellStyle name="Normal 5 2 2 4 4 3 2" xfId="14070" xr:uid="{2F51DCF3-B628-4303-939D-4BEEE04A87E8}"/>
    <cellStyle name="Normal 5 2 2 4 4 3 3" xfId="22504" xr:uid="{83BDA935-29DE-4B58-8318-B9FC4A200223}"/>
    <cellStyle name="Normal 5 2 2 4 4 4" xfId="9852" xr:uid="{5344AFE4-DE7F-423E-8430-62272271CA4E}"/>
    <cellStyle name="Normal 5 2 2 4 4 5" xfId="18287" xr:uid="{D01B1B9D-2E9A-41E9-B832-B783C549381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CB22FB4A-21A0-4A6C-93F2-743D60E12953}"/>
    <cellStyle name="Normal 5 2 2 4 5 2 2 3" xfId="25062" xr:uid="{7D8CDC57-2579-48F0-A622-3233FC68D7A6}"/>
    <cellStyle name="Normal 5 2 2 4 5 2 3" xfId="12410" xr:uid="{3BAA8A6A-5050-440D-B404-66BD25B0CB9A}"/>
    <cellStyle name="Normal 5 2 2 4 5 2 4" xfId="20845" xr:uid="{13DA4FAA-0914-446C-B53B-45A304E3C791}"/>
    <cellStyle name="Normal 5 2 2 4 5 3" xfId="6033" xr:uid="{00000000-0005-0000-0000-000006180000}"/>
    <cellStyle name="Normal 5 2 2 4 5 3 2" xfId="14483" xr:uid="{24AD613D-5CA1-403B-A26F-B92DF7DB8C34}"/>
    <cellStyle name="Normal 5 2 2 4 5 3 3" xfId="22917" xr:uid="{F24F561C-7643-47EF-ACDA-FC8454BAAF14}"/>
    <cellStyle name="Normal 5 2 2 4 5 4" xfId="10265" xr:uid="{3A781392-F977-4D17-B31E-AA3232F9D7ED}"/>
    <cellStyle name="Normal 5 2 2 4 5 5" xfId="18700" xr:uid="{D5E5406F-8C17-45D7-BCB2-2DF58B1ADA4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C96BF5A8-00DE-451A-9BA7-FBAEEBFB4748}"/>
    <cellStyle name="Normal 5 2 2 4 6 2 2 3" xfId="25475" xr:uid="{0191EE1F-D0B7-45B1-9C76-CD6CFB678403}"/>
    <cellStyle name="Normal 5 2 2 4 6 2 3" xfId="12823" xr:uid="{9BB9E771-3453-4886-92D6-78663958B4C7}"/>
    <cellStyle name="Normal 5 2 2 4 6 2 4" xfId="21258" xr:uid="{0DF03B51-6C9B-4663-8FA8-5763F19BBD4F}"/>
    <cellStyle name="Normal 5 2 2 4 6 3" xfId="6446" xr:uid="{00000000-0005-0000-0000-00000A180000}"/>
    <cellStyle name="Normal 5 2 2 4 6 3 2" xfId="14896" xr:uid="{83CAB1E3-FB23-443B-BB6E-8AF375754556}"/>
    <cellStyle name="Normal 5 2 2 4 6 3 3" xfId="23330" xr:uid="{234C7ADC-C7E7-4FD6-B766-9CB78234541C}"/>
    <cellStyle name="Normal 5 2 2 4 6 4" xfId="10678" xr:uid="{D0FECA53-7430-4005-8278-DBCF054F38D6}"/>
    <cellStyle name="Normal 5 2 2 4 6 5" xfId="19113" xr:uid="{86BABE74-57BB-4E2F-93C0-A01C6268551D}"/>
    <cellStyle name="Normal 5 2 2 4 7" xfId="2576" xr:uid="{00000000-0005-0000-0000-00000B180000}"/>
    <cellStyle name="Normal 5 2 2 4 7 2" xfId="6859" xr:uid="{00000000-0005-0000-0000-00000C180000}"/>
    <cellStyle name="Normal 5 2 2 4 7 2 2" xfId="15309" xr:uid="{6089EC57-8268-405A-84C9-E7EC75892F70}"/>
    <cellStyle name="Normal 5 2 2 4 7 2 3" xfId="23743" xr:uid="{58DA71A9-82E9-4519-97A2-98AD1DE8EA34}"/>
    <cellStyle name="Normal 5 2 2 4 7 3" xfId="11091" xr:uid="{852FC9B6-65BA-4011-BC4A-12FEFF97A437}"/>
    <cellStyle name="Normal 5 2 2 4 7 4" xfId="19526" xr:uid="{B7F2F344-9779-43CE-AA8E-81B717E47534}"/>
    <cellStyle name="Normal 5 2 2 4 8" xfId="4794" xr:uid="{00000000-0005-0000-0000-00000D180000}"/>
    <cellStyle name="Normal 5 2 2 4 8 2" xfId="13244" xr:uid="{7A1840F8-E772-420C-8A63-C93BDBA58ECD}"/>
    <cellStyle name="Normal 5 2 2 4 8 3" xfId="21678" xr:uid="{9EF76613-78A4-4E68-B457-6D2589C9FEE5}"/>
    <cellStyle name="Normal 5 2 2 4 9" xfId="9026" xr:uid="{A078FDB6-E7B5-41D4-81C6-8808B06BBBB7}"/>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8D0C1944-74D1-4207-9EC5-0B8D6EE58D55}"/>
    <cellStyle name="Normal 5 2 2 5 2 2 2 3" xfId="24238" xr:uid="{B887D446-B471-4147-B08C-E19D35F07D15}"/>
    <cellStyle name="Normal 5 2 2 5 2 2 3" xfId="11586" xr:uid="{C4515B70-2DDE-4B70-B181-362EA4083AE0}"/>
    <cellStyle name="Normal 5 2 2 5 2 2 4" xfId="20021" xr:uid="{90C80B0D-8F47-4CCF-8BB6-842E810CFB93}"/>
    <cellStyle name="Normal 5 2 2 5 2 3" xfId="5209" xr:uid="{00000000-0005-0000-0000-000012180000}"/>
    <cellStyle name="Normal 5 2 2 5 2 3 2" xfId="13659" xr:uid="{3DA18A49-F0B3-45F9-97BA-C36B6A0ED675}"/>
    <cellStyle name="Normal 5 2 2 5 2 3 3" xfId="22093" xr:uid="{8E3DDE11-2D88-49BC-AC6E-AD8540E3B497}"/>
    <cellStyle name="Normal 5 2 2 5 2 4" xfId="9441" xr:uid="{3F71404B-0B37-4A99-9109-94CFAEE75799}"/>
    <cellStyle name="Normal 5 2 2 5 2 5" xfId="17876" xr:uid="{B2663DAF-C9F8-461D-9392-3443903A1C6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DDADA65E-CCD1-472E-B12D-82ADEF86150C}"/>
    <cellStyle name="Normal 5 2 2 5 3 2 2 3" xfId="24651" xr:uid="{BF5DBBBC-5E4D-4932-B744-24FA285656A4}"/>
    <cellStyle name="Normal 5 2 2 5 3 2 3" xfId="11999" xr:uid="{3B9DD96F-C695-4AF1-8874-E0DF671E1EC5}"/>
    <cellStyle name="Normal 5 2 2 5 3 2 4" xfId="20434" xr:uid="{4C79AD81-5AD0-4823-B32E-B8F77619ED0E}"/>
    <cellStyle name="Normal 5 2 2 5 3 3" xfId="5622" xr:uid="{00000000-0005-0000-0000-000016180000}"/>
    <cellStyle name="Normal 5 2 2 5 3 3 2" xfId="14072" xr:uid="{57C88588-E807-4267-87CD-165DE3C4DCD4}"/>
    <cellStyle name="Normal 5 2 2 5 3 3 3" xfId="22506" xr:uid="{517003B6-1286-4497-8CE0-94C698ABCA61}"/>
    <cellStyle name="Normal 5 2 2 5 3 4" xfId="9854" xr:uid="{635DA1F3-6AAE-46AB-8E14-676648A87390}"/>
    <cellStyle name="Normal 5 2 2 5 3 5" xfId="18289" xr:uid="{C03B35B3-0098-4AF3-988C-C898C77BFB7B}"/>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6C5C031D-6994-4BA3-A71F-B2EE7D4273BD}"/>
    <cellStyle name="Normal 5 2 2 5 4 2 2 3" xfId="25064" xr:uid="{4BA1EA0B-7AE8-46B1-ADB2-1D447528AA6F}"/>
    <cellStyle name="Normal 5 2 2 5 4 2 3" xfId="12412" xr:uid="{ECE3C929-6DEF-4E70-BFA9-808D84104441}"/>
    <cellStyle name="Normal 5 2 2 5 4 2 4" xfId="20847" xr:uid="{359781E5-002B-4537-A9C8-B72E5E44E51B}"/>
    <cellStyle name="Normal 5 2 2 5 4 3" xfId="6035" xr:uid="{00000000-0005-0000-0000-00001A180000}"/>
    <cellStyle name="Normal 5 2 2 5 4 3 2" xfId="14485" xr:uid="{76673F64-DC5A-4F04-88BD-4C0A5180D7D9}"/>
    <cellStyle name="Normal 5 2 2 5 4 3 3" xfId="22919" xr:uid="{DA4E4F38-DA66-4A4E-B675-1349829E4860}"/>
    <cellStyle name="Normal 5 2 2 5 4 4" xfId="10267" xr:uid="{32C04F94-09C9-468D-AE67-65EEF53ADA0B}"/>
    <cellStyle name="Normal 5 2 2 5 4 5" xfId="18702" xr:uid="{6D05E279-BEF4-4012-9E54-9A5CD7DC4922}"/>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F62305EE-E4B1-4CD7-A870-93C85EE00228}"/>
    <cellStyle name="Normal 5 2 2 5 5 2 2 3" xfId="25477" xr:uid="{8D1BAE7D-3129-44E6-B253-075F8E770BC3}"/>
    <cellStyle name="Normal 5 2 2 5 5 2 3" xfId="12825" xr:uid="{0DC6EAD0-C57A-46B9-BF77-A249698F8F7B}"/>
    <cellStyle name="Normal 5 2 2 5 5 2 4" xfId="21260" xr:uid="{41D4AD43-0259-44A0-8418-FBA463652183}"/>
    <cellStyle name="Normal 5 2 2 5 5 3" xfId="6448" xr:uid="{00000000-0005-0000-0000-00001E180000}"/>
    <cellStyle name="Normal 5 2 2 5 5 3 2" xfId="14898" xr:uid="{55CB0C95-98D7-46E5-9988-8601D365F436}"/>
    <cellStyle name="Normal 5 2 2 5 5 3 3" xfId="23332" xr:uid="{A523E5AF-1507-4517-BF37-1C51F15366A8}"/>
    <cellStyle name="Normal 5 2 2 5 5 4" xfId="10680" xr:uid="{838E4657-0D33-4729-88F5-276281869E5B}"/>
    <cellStyle name="Normal 5 2 2 5 5 5" xfId="19115" xr:uid="{C91BFFFD-129D-4C39-9EFC-BC8B3651C61F}"/>
    <cellStyle name="Normal 5 2 2 5 6" xfId="2578" xr:uid="{00000000-0005-0000-0000-00001F180000}"/>
    <cellStyle name="Normal 5 2 2 5 6 2" xfId="6861" xr:uid="{00000000-0005-0000-0000-000020180000}"/>
    <cellStyle name="Normal 5 2 2 5 6 2 2" xfId="15311" xr:uid="{DF3FF97E-1DB9-41D2-8B91-76A71A695754}"/>
    <cellStyle name="Normal 5 2 2 5 6 2 3" xfId="23745" xr:uid="{2F8AAF48-009C-44BC-991C-A358742F76FF}"/>
    <cellStyle name="Normal 5 2 2 5 6 3" xfId="11093" xr:uid="{A795A4D0-BF98-4B6A-A1E2-5E54FC7AAA48}"/>
    <cellStyle name="Normal 5 2 2 5 6 4" xfId="19528" xr:uid="{C63EE66E-4A1C-45E1-A57D-9078545A5904}"/>
    <cellStyle name="Normal 5 2 2 5 7" xfId="4796" xr:uid="{00000000-0005-0000-0000-000021180000}"/>
    <cellStyle name="Normal 5 2 2 5 7 2" xfId="13246" xr:uid="{5222E27C-B4CC-40E9-9E6B-2D40E31C02CD}"/>
    <cellStyle name="Normal 5 2 2 5 7 3" xfId="21680" xr:uid="{25155439-E7E0-437C-82A0-58F6B43EAB31}"/>
    <cellStyle name="Normal 5 2 2 5 8" xfId="9028" xr:uid="{C4EAB0AE-7ED9-46C8-887C-0AC643679D69}"/>
    <cellStyle name="Normal 5 2 2 5 9" xfId="17463" xr:uid="{8083B2D6-23F5-4787-A655-F68C10F9EF5A}"/>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CA94E986-C67E-4511-A366-092CB7EDE8B8}"/>
    <cellStyle name="Normal 5 2 2 6 2 2 3" xfId="24223" xr:uid="{AB0AFA8D-8B8E-4A5A-BBD3-4985D9E5B16B}"/>
    <cellStyle name="Normal 5 2 2 6 2 3" xfId="11571" xr:uid="{8C75BE58-EF4E-4AED-8458-F86D7ACA1B2F}"/>
    <cellStyle name="Normal 5 2 2 6 2 4" xfId="20006" xr:uid="{9171DEA9-DD2D-4C29-846C-F49C0F149856}"/>
    <cellStyle name="Normal 5 2 2 6 3" xfId="5194" xr:uid="{00000000-0005-0000-0000-000025180000}"/>
    <cellStyle name="Normal 5 2 2 6 3 2" xfId="13644" xr:uid="{F1EEC296-BBD1-4973-AC2C-AECEBC0FF4BA}"/>
    <cellStyle name="Normal 5 2 2 6 3 3" xfId="22078" xr:uid="{A56D1C8D-B44B-4B67-937C-4668B0CDF870}"/>
    <cellStyle name="Normal 5 2 2 6 4" xfId="9426" xr:uid="{2826CCBA-3AEE-4041-A074-6714AD3B43EA}"/>
    <cellStyle name="Normal 5 2 2 6 5" xfId="17861" xr:uid="{506BF2EA-B422-43FB-BE95-B7BBFA0C9448}"/>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19E53AEB-8ED1-4C0A-ACD0-105276782222}"/>
    <cellStyle name="Normal 5 2 2 7 2 2 3" xfId="24636" xr:uid="{D2EBF535-6448-4942-8A87-06075095B85E}"/>
    <cellStyle name="Normal 5 2 2 7 2 3" xfId="11984" xr:uid="{20152C76-91BC-4CE2-9433-13B2B61CAE13}"/>
    <cellStyle name="Normal 5 2 2 7 2 4" xfId="20419" xr:uid="{B08AB3F8-A6BF-4198-BC96-81E5607AED44}"/>
    <cellStyle name="Normal 5 2 2 7 3" xfId="5607" xr:uid="{00000000-0005-0000-0000-000029180000}"/>
    <cellStyle name="Normal 5 2 2 7 3 2" xfId="14057" xr:uid="{6C68AC4E-A449-43F5-A46B-593E819AD189}"/>
    <cellStyle name="Normal 5 2 2 7 3 3" xfId="22491" xr:uid="{08EC9043-53C8-4D72-A4CD-0F288B5F12AA}"/>
    <cellStyle name="Normal 5 2 2 7 4" xfId="9839" xr:uid="{67153323-39A6-471A-8D8C-C923DD71A861}"/>
    <cellStyle name="Normal 5 2 2 7 5" xfId="18274" xr:uid="{C32A50AD-8233-4FFB-AAD7-3664D5F457E9}"/>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5E0E29FB-3F17-4168-832E-02FB867C7A1D}"/>
    <cellStyle name="Normal 5 2 2 8 2 2 3" xfId="25049" xr:uid="{E82A6605-E8F4-42DE-8945-E25238781F93}"/>
    <cellStyle name="Normal 5 2 2 8 2 3" xfId="12397" xr:uid="{5A99F578-5F7C-42B2-8BC3-A18F64F68AC8}"/>
    <cellStyle name="Normal 5 2 2 8 2 4" xfId="20832" xr:uid="{08AA1674-155E-40ED-9034-F82549C15266}"/>
    <cellStyle name="Normal 5 2 2 8 3" xfId="6020" xr:uid="{00000000-0005-0000-0000-00002D180000}"/>
    <cellStyle name="Normal 5 2 2 8 3 2" xfId="14470" xr:uid="{E000967E-78B1-493B-A733-4752A826B64A}"/>
    <cellStyle name="Normal 5 2 2 8 3 3" xfId="22904" xr:uid="{7D74B265-8DCE-47DE-AA59-FBEE2A802DA5}"/>
    <cellStyle name="Normal 5 2 2 8 4" xfId="10252" xr:uid="{112BBB88-1541-4B28-A3B6-DBF76A11D79C}"/>
    <cellStyle name="Normal 5 2 2 8 5" xfId="18687" xr:uid="{FC4D0842-C0AB-45F9-A3AC-9E8657EC9136}"/>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561D6DE4-C472-4353-89E8-C12FFBCCE563}"/>
    <cellStyle name="Normal 5 2 2 9 2 2 3" xfId="25462" xr:uid="{2F7EC9DA-2B54-4B05-B1D3-71D0D0915BF4}"/>
    <cellStyle name="Normal 5 2 2 9 2 3" xfId="12810" xr:uid="{C622661C-A575-4C12-A945-816D8185AF08}"/>
    <cellStyle name="Normal 5 2 2 9 2 4" xfId="21245" xr:uid="{86F28E4B-F441-4A19-8D3A-7FCE1637FA20}"/>
    <cellStyle name="Normal 5 2 2 9 3" xfId="6433" xr:uid="{00000000-0005-0000-0000-000031180000}"/>
    <cellStyle name="Normal 5 2 2 9 3 2" xfId="14883" xr:uid="{FDDF72F2-DB4A-4EA3-B8A8-6A56AB0114AA}"/>
    <cellStyle name="Normal 5 2 2 9 3 3" xfId="23317" xr:uid="{84811D8C-6A88-49D5-B173-0C1596DF8640}"/>
    <cellStyle name="Normal 5 2 2 9 4" xfId="10665" xr:uid="{83E6732F-95D1-4F37-862B-61A26E40453C}"/>
    <cellStyle name="Normal 5 2 2 9 5" xfId="19100" xr:uid="{A713AA4F-F023-494F-86C8-82FBE6A14B76}"/>
    <cellStyle name="Normal 5 2 3" xfId="424" xr:uid="{00000000-0005-0000-0000-000032180000}"/>
    <cellStyle name="Normal 5 2 3 10" xfId="4797" xr:uid="{00000000-0005-0000-0000-000033180000}"/>
    <cellStyle name="Normal 5 2 3 10 2" xfId="13247" xr:uid="{CB08B4AB-1281-493A-8CD6-9A3C8B8BFCF8}"/>
    <cellStyle name="Normal 5 2 3 10 3" xfId="21681" xr:uid="{03CA26FC-54C9-4891-8868-D2FB44C97916}"/>
    <cellStyle name="Normal 5 2 3 11" xfId="9029" xr:uid="{595D4981-BD56-4B33-ACC5-C2A77284AC01}"/>
    <cellStyle name="Normal 5 2 3 12" xfId="17464" xr:uid="{7A4CD604-323E-455E-B0CF-881BE781CBBB}"/>
    <cellStyle name="Normal 5 2 3 2" xfId="425" xr:uid="{00000000-0005-0000-0000-000034180000}"/>
    <cellStyle name="Normal 5 2 3 2 10" xfId="9030" xr:uid="{B6A20E22-B641-4385-8702-4C8CD44D60E6}"/>
    <cellStyle name="Normal 5 2 3 2 11" xfId="17465" xr:uid="{BC3B8596-C417-48B0-A639-1AD428DED3FE}"/>
    <cellStyle name="Normal 5 2 3 2 2" xfId="426" xr:uid="{00000000-0005-0000-0000-000035180000}"/>
    <cellStyle name="Normal 5 2 3 2 2 10" xfId="17466" xr:uid="{6F9588D7-C24E-43BE-8349-FC1DD4F37584}"/>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A64DD95C-5A42-423E-A35B-3FBCA41E8083}"/>
    <cellStyle name="Normal 5 2 3 2 2 2 2 2 2 3" xfId="24242" xr:uid="{10C92AE0-6AF7-4966-B6BC-B3D203BB120C}"/>
    <cellStyle name="Normal 5 2 3 2 2 2 2 2 3" xfId="11590" xr:uid="{62A68D63-8ACA-46BD-9350-B2C2FFC31948}"/>
    <cellStyle name="Normal 5 2 3 2 2 2 2 2 4" xfId="20025" xr:uid="{4D3C4DD4-6A94-4175-A9BE-CBD17CA7C0D5}"/>
    <cellStyle name="Normal 5 2 3 2 2 2 2 3" xfId="5213" xr:uid="{00000000-0005-0000-0000-00003A180000}"/>
    <cellStyle name="Normal 5 2 3 2 2 2 2 3 2" xfId="13663" xr:uid="{AA9436BC-0E3D-4BE5-B899-AB4FE8DA3780}"/>
    <cellStyle name="Normal 5 2 3 2 2 2 2 3 3" xfId="22097" xr:uid="{95416CC0-D9F2-4676-8C84-A8CCC1B69DB5}"/>
    <cellStyle name="Normal 5 2 3 2 2 2 2 4" xfId="9445" xr:uid="{01D7D52E-8A71-4423-94CA-F375D9BE26EC}"/>
    <cellStyle name="Normal 5 2 3 2 2 2 2 5" xfId="17880" xr:uid="{BC210962-501C-4EB7-B54C-437192C6E248}"/>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267DC782-D59D-475C-9C32-53C4D8AEDAAC}"/>
    <cellStyle name="Normal 5 2 3 2 2 2 3 2 2 3" xfId="24655" xr:uid="{BB3335B3-5A60-4810-BF20-082984544FC4}"/>
    <cellStyle name="Normal 5 2 3 2 2 2 3 2 3" xfId="12003" xr:uid="{56079A9D-2BBE-41AF-AA66-EFCA019BAE35}"/>
    <cellStyle name="Normal 5 2 3 2 2 2 3 2 4" xfId="20438" xr:uid="{BAA8310B-15F9-4626-9FDB-F6CD724AE327}"/>
    <cellStyle name="Normal 5 2 3 2 2 2 3 3" xfId="5626" xr:uid="{00000000-0005-0000-0000-00003E180000}"/>
    <cellStyle name="Normal 5 2 3 2 2 2 3 3 2" xfId="14076" xr:uid="{A983F28A-31D9-4555-9ACD-FEEA60B25D7D}"/>
    <cellStyle name="Normal 5 2 3 2 2 2 3 3 3" xfId="22510" xr:uid="{CDBC7430-DE2D-410A-9A54-B9DC0E8216A8}"/>
    <cellStyle name="Normal 5 2 3 2 2 2 3 4" xfId="9858" xr:uid="{11D37A27-5F68-4E18-9342-6F7F943DF59F}"/>
    <cellStyle name="Normal 5 2 3 2 2 2 3 5" xfId="18293" xr:uid="{7ABAE2D2-3938-4091-A5DC-C49F26CBEFB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1E85D54C-100B-43F6-91B2-AB51FFC8AB37}"/>
    <cellStyle name="Normal 5 2 3 2 2 2 4 2 2 3" xfId="25068" xr:uid="{47993BF5-312A-4DF4-8EE5-D051274B78CC}"/>
    <cellStyle name="Normal 5 2 3 2 2 2 4 2 3" xfId="12416" xr:uid="{9A49C637-A474-4ED1-858C-3631E7F38390}"/>
    <cellStyle name="Normal 5 2 3 2 2 2 4 2 4" xfId="20851" xr:uid="{83189748-9C22-4925-B38B-4E8DEC22D024}"/>
    <cellStyle name="Normal 5 2 3 2 2 2 4 3" xfId="6039" xr:uid="{00000000-0005-0000-0000-000042180000}"/>
    <cellStyle name="Normal 5 2 3 2 2 2 4 3 2" xfId="14489" xr:uid="{EEF02A28-F03F-48C9-B680-3CEDBC2DCDF3}"/>
    <cellStyle name="Normal 5 2 3 2 2 2 4 3 3" xfId="22923" xr:uid="{E5842270-3220-4551-92DB-D8AD29A589CE}"/>
    <cellStyle name="Normal 5 2 3 2 2 2 4 4" xfId="10271" xr:uid="{1D7EAD2C-8220-4D42-A511-B4ACCC5FDD75}"/>
    <cellStyle name="Normal 5 2 3 2 2 2 4 5" xfId="18706" xr:uid="{24A523D8-BCEA-488A-ADBB-F8447BEBC077}"/>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4CB8E587-61E4-4452-A6E5-C052865B5C1C}"/>
    <cellStyle name="Normal 5 2 3 2 2 2 5 2 2 3" xfId="25481" xr:uid="{7A642533-1DE5-477F-A8B8-704E7F335C1A}"/>
    <cellStyle name="Normal 5 2 3 2 2 2 5 2 3" xfId="12829" xr:uid="{9A65190F-C144-41C8-BE13-4DC8684BEEE9}"/>
    <cellStyle name="Normal 5 2 3 2 2 2 5 2 4" xfId="21264" xr:uid="{8C4F6595-7178-4C68-A9BB-F1867FC4577A}"/>
    <cellStyle name="Normal 5 2 3 2 2 2 5 3" xfId="6452" xr:uid="{00000000-0005-0000-0000-000046180000}"/>
    <cellStyle name="Normal 5 2 3 2 2 2 5 3 2" xfId="14902" xr:uid="{34185188-F84F-44E8-BFE2-604F56CE7A15}"/>
    <cellStyle name="Normal 5 2 3 2 2 2 5 3 3" xfId="23336" xr:uid="{6E9CFBC1-D652-4C68-8C1F-FDA2B9AC2905}"/>
    <cellStyle name="Normal 5 2 3 2 2 2 5 4" xfId="10684" xr:uid="{59EEC41B-D9AB-4F29-B704-8E8A394F0CFB}"/>
    <cellStyle name="Normal 5 2 3 2 2 2 5 5" xfId="19119" xr:uid="{2A891F1C-38C4-4331-927B-9CD4EC859D1F}"/>
    <cellStyle name="Normal 5 2 3 2 2 2 6" xfId="2582" xr:uid="{00000000-0005-0000-0000-000047180000}"/>
    <cellStyle name="Normal 5 2 3 2 2 2 6 2" xfId="6865" xr:uid="{00000000-0005-0000-0000-000048180000}"/>
    <cellStyle name="Normal 5 2 3 2 2 2 6 2 2" xfId="15315" xr:uid="{4EDF9FF8-9497-41B4-891D-6EE99DCED8E9}"/>
    <cellStyle name="Normal 5 2 3 2 2 2 6 2 3" xfId="23749" xr:uid="{BFB8F8A3-6D33-4FBC-B7BE-F87721B7D55C}"/>
    <cellStyle name="Normal 5 2 3 2 2 2 6 3" xfId="11097" xr:uid="{00F14ED4-9BF9-45DA-A44B-BC20F4B7C113}"/>
    <cellStyle name="Normal 5 2 3 2 2 2 6 4" xfId="19532" xr:uid="{1D586329-09D2-47CB-B9B6-ED87CD85549D}"/>
    <cellStyle name="Normal 5 2 3 2 2 2 7" xfId="4800" xr:uid="{00000000-0005-0000-0000-000049180000}"/>
    <cellStyle name="Normal 5 2 3 2 2 2 7 2" xfId="13250" xr:uid="{E972B9B4-2136-43ED-8973-BB5CACACB76B}"/>
    <cellStyle name="Normal 5 2 3 2 2 2 7 3" xfId="21684" xr:uid="{8934D113-19FA-423A-8DF2-162A9E01D6C2}"/>
    <cellStyle name="Normal 5 2 3 2 2 2 8" xfId="9032" xr:uid="{D0B68F84-20B6-416E-902E-3C559D273AB6}"/>
    <cellStyle name="Normal 5 2 3 2 2 2 9" xfId="17467" xr:uid="{F8681D88-CA8F-42F3-933B-7018803CF213}"/>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67AF67D8-4DF9-4D31-BC3D-94D41BB60997}"/>
    <cellStyle name="Normal 5 2 3 2 2 3 2 2 3" xfId="24241" xr:uid="{9678822E-DE6F-4FED-B24A-CADE41753F6D}"/>
    <cellStyle name="Normal 5 2 3 2 2 3 2 3" xfId="11589" xr:uid="{B27C9D88-8205-4207-A1FD-9652E92BD805}"/>
    <cellStyle name="Normal 5 2 3 2 2 3 2 4" xfId="20024" xr:uid="{2CD2E334-01D9-404F-8B5F-A47776415764}"/>
    <cellStyle name="Normal 5 2 3 2 2 3 3" xfId="5212" xr:uid="{00000000-0005-0000-0000-00004D180000}"/>
    <cellStyle name="Normal 5 2 3 2 2 3 3 2" xfId="13662" xr:uid="{81B41E50-C376-4469-BE07-0EC353DC9D2E}"/>
    <cellStyle name="Normal 5 2 3 2 2 3 3 3" xfId="22096" xr:uid="{C44DDD47-254D-4C77-89F0-5DEA4C30FE0C}"/>
    <cellStyle name="Normal 5 2 3 2 2 3 4" xfId="9444" xr:uid="{D0B06EFD-B874-458A-875E-89B7612452B9}"/>
    <cellStyle name="Normal 5 2 3 2 2 3 5" xfId="17879" xr:uid="{9548AA4C-34A4-4265-B944-81CE4CA62F0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91F9E8E8-422D-45C0-8A87-42E92DD4CE8A}"/>
    <cellStyle name="Normal 5 2 3 2 2 4 2 2 3" xfId="24654" xr:uid="{77274271-747B-47F6-88B2-81B4C27E8664}"/>
    <cellStyle name="Normal 5 2 3 2 2 4 2 3" xfId="12002" xr:uid="{6CCE0262-0C55-4735-B96A-8060201E5F59}"/>
    <cellStyle name="Normal 5 2 3 2 2 4 2 4" xfId="20437" xr:uid="{31BCDF73-89C4-4B10-A84B-F921AEE3E7B3}"/>
    <cellStyle name="Normal 5 2 3 2 2 4 3" xfId="5625" xr:uid="{00000000-0005-0000-0000-000051180000}"/>
    <cellStyle name="Normal 5 2 3 2 2 4 3 2" xfId="14075" xr:uid="{AFA2BD3E-F13C-49A7-ABF1-F0610465721F}"/>
    <cellStyle name="Normal 5 2 3 2 2 4 3 3" xfId="22509" xr:uid="{2EF6FC86-DB72-478C-8824-2F9BEC5F4DE4}"/>
    <cellStyle name="Normal 5 2 3 2 2 4 4" xfId="9857" xr:uid="{5FC49D1B-5986-42C0-B07E-3A78C50F97FD}"/>
    <cellStyle name="Normal 5 2 3 2 2 4 5" xfId="18292" xr:uid="{6C78E643-F622-4A91-9661-ADC42C21B9A2}"/>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086A25C3-494A-485F-BE77-B05618F3FF26}"/>
    <cellStyle name="Normal 5 2 3 2 2 5 2 2 3" xfId="25067" xr:uid="{77FE9902-619F-471F-A70D-834753717960}"/>
    <cellStyle name="Normal 5 2 3 2 2 5 2 3" xfId="12415" xr:uid="{7E6AF228-9DF2-483C-AD20-809C5B3C81F6}"/>
    <cellStyle name="Normal 5 2 3 2 2 5 2 4" xfId="20850" xr:uid="{181D8343-1248-40AC-884B-355AAEEF7A2D}"/>
    <cellStyle name="Normal 5 2 3 2 2 5 3" xfId="6038" xr:uid="{00000000-0005-0000-0000-000055180000}"/>
    <cellStyle name="Normal 5 2 3 2 2 5 3 2" xfId="14488" xr:uid="{D4D22ECA-09B3-4389-A6C3-B59455D3018D}"/>
    <cellStyle name="Normal 5 2 3 2 2 5 3 3" xfId="22922" xr:uid="{07E28677-B25E-4005-97FE-DC81A6CDFFB8}"/>
    <cellStyle name="Normal 5 2 3 2 2 5 4" xfId="10270" xr:uid="{C3F1AB4D-A147-4DBE-878F-552ABE05EFB9}"/>
    <cellStyle name="Normal 5 2 3 2 2 5 5" xfId="18705" xr:uid="{32894D32-ABC5-43EA-8363-E911852CD63C}"/>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45F832CD-ED45-4F5C-A1CE-760F38CF5D9B}"/>
    <cellStyle name="Normal 5 2 3 2 2 6 2 2 3" xfId="25480" xr:uid="{CF66379F-33A0-4B61-8DD6-436277AA8190}"/>
    <cellStyle name="Normal 5 2 3 2 2 6 2 3" xfId="12828" xr:uid="{5991FEA0-197D-472A-B8D0-1B109921AA7A}"/>
    <cellStyle name="Normal 5 2 3 2 2 6 2 4" xfId="21263" xr:uid="{F9E2D0FD-5C40-4A32-8FD1-E226D8A8FC98}"/>
    <cellStyle name="Normal 5 2 3 2 2 6 3" xfId="6451" xr:uid="{00000000-0005-0000-0000-000059180000}"/>
    <cellStyle name="Normal 5 2 3 2 2 6 3 2" xfId="14901" xr:uid="{84EE31D7-EA70-4898-A69F-6195FC310529}"/>
    <cellStyle name="Normal 5 2 3 2 2 6 3 3" xfId="23335" xr:uid="{8B5A2EB2-6BE1-468E-8CE0-4B5B5EF97430}"/>
    <cellStyle name="Normal 5 2 3 2 2 6 4" xfId="10683" xr:uid="{F93C594F-E115-48A4-8228-9D2E112A1F15}"/>
    <cellStyle name="Normal 5 2 3 2 2 6 5" xfId="19118" xr:uid="{731EE78D-E94A-480B-B923-6ED1D5AA2A9B}"/>
    <cellStyle name="Normal 5 2 3 2 2 7" xfId="2581" xr:uid="{00000000-0005-0000-0000-00005A180000}"/>
    <cellStyle name="Normal 5 2 3 2 2 7 2" xfId="6864" xr:uid="{00000000-0005-0000-0000-00005B180000}"/>
    <cellStyle name="Normal 5 2 3 2 2 7 2 2" xfId="15314" xr:uid="{3738739B-0B80-42AD-8D65-2A85AD44DF0A}"/>
    <cellStyle name="Normal 5 2 3 2 2 7 2 3" xfId="23748" xr:uid="{E45DF3D5-7B2B-4AB8-BE98-8768B14D10B5}"/>
    <cellStyle name="Normal 5 2 3 2 2 7 3" xfId="11096" xr:uid="{E44695D3-86AD-4EC2-9702-F5D9916FFB9E}"/>
    <cellStyle name="Normal 5 2 3 2 2 7 4" xfId="19531" xr:uid="{94117F22-78DB-4AE9-818C-3A5519E22F99}"/>
    <cellStyle name="Normal 5 2 3 2 2 8" xfId="4799" xr:uid="{00000000-0005-0000-0000-00005C180000}"/>
    <cellStyle name="Normal 5 2 3 2 2 8 2" xfId="13249" xr:uid="{E6EA5E2C-1A95-4710-8AF7-E00219B3853B}"/>
    <cellStyle name="Normal 5 2 3 2 2 8 3" xfId="21683" xr:uid="{6E7A1376-F696-4D6F-AE9A-5700A8949E13}"/>
    <cellStyle name="Normal 5 2 3 2 2 9" xfId="9031" xr:uid="{B3985E3B-518E-4DA6-80AF-AAB61AF3E77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0C2A2EDC-51FF-4D41-A391-F1F300CEE8E0}"/>
    <cellStyle name="Normal 5 2 3 2 3 2 2 2 3" xfId="24243" xr:uid="{0FEAA46E-8777-4090-9844-F835891A8BF2}"/>
    <cellStyle name="Normal 5 2 3 2 3 2 2 3" xfId="11591" xr:uid="{B7B962E3-B2FB-4A07-A274-0705E47CFF54}"/>
    <cellStyle name="Normal 5 2 3 2 3 2 2 4" xfId="20026" xr:uid="{5B8368B3-882B-4AF8-8523-4113BCFDC46D}"/>
    <cellStyle name="Normal 5 2 3 2 3 2 3" xfId="5214" xr:uid="{00000000-0005-0000-0000-000061180000}"/>
    <cellStyle name="Normal 5 2 3 2 3 2 3 2" xfId="13664" xr:uid="{6B39E1F7-AAA5-424F-A317-F398619A64F4}"/>
    <cellStyle name="Normal 5 2 3 2 3 2 3 3" xfId="22098" xr:uid="{5DB8102D-4FDF-45E4-B5FF-C2CC747FE8C7}"/>
    <cellStyle name="Normal 5 2 3 2 3 2 4" xfId="9446" xr:uid="{B42E13B6-A195-4975-B71E-F2F57C7CBE7C}"/>
    <cellStyle name="Normal 5 2 3 2 3 2 5" xfId="17881" xr:uid="{6CC3F182-A324-4565-B7F9-C423DD2D6CC2}"/>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ED0E21D2-C4DE-4D7E-A99B-BB11F0DDB174}"/>
    <cellStyle name="Normal 5 2 3 2 3 3 2 2 3" xfId="24656" xr:uid="{7EBA2A87-2385-4C46-875C-E4ED3580C4C3}"/>
    <cellStyle name="Normal 5 2 3 2 3 3 2 3" xfId="12004" xr:uid="{86720526-8828-4A6C-959C-FF572CF5C59F}"/>
    <cellStyle name="Normal 5 2 3 2 3 3 2 4" xfId="20439" xr:uid="{EDA9751A-96CF-4BBB-B2F7-58474EB18A92}"/>
    <cellStyle name="Normal 5 2 3 2 3 3 3" xfId="5627" xr:uid="{00000000-0005-0000-0000-000065180000}"/>
    <cellStyle name="Normal 5 2 3 2 3 3 3 2" xfId="14077" xr:uid="{30533B9E-FFB3-4779-ACD9-804F5B82FF7F}"/>
    <cellStyle name="Normal 5 2 3 2 3 3 3 3" xfId="22511" xr:uid="{19A13C69-52F0-451B-9D22-E90B9224DD16}"/>
    <cellStyle name="Normal 5 2 3 2 3 3 4" xfId="9859" xr:uid="{C780EFC4-74B8-4C75-9B67-062F0B05EDC7}"/>
    <cellStyle name="Normal 5 2 3 2 3 3 5" xfId="18294" xr:uid="{29AFE480-D086-4EF2-B73C-77D9C55B7BB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B27337C7-DE97-4BBF-9D6B-30616728CA48}"/>
    <cellStyle name="Normal 5 2 3 2 3 4 2 2 3" xfId="25069" xr:uid="{FD8F3EE2-2844-4C6A-B801-029E97F0AF7F}"/>
    <cellStyle name="Normal 5 2 3 2 3 4 2 3" xfId="12417" xr:uid="{83DFE77C-D207-46AB-94D9-C9E1C71215F9}"/>
    <cellStyle name="Normal 5 2 3 2 3 4 2 4" xfId="20852" xr:uid="{0A224F48-DCBA-4979-ADD1-95B93A58B4FE}"/>
    <cellStyle name="Normal 5 2 3 2 3 4 3" xfId="6040" xr:uid="{00000000-0005-0000-0000-000069180000}"/>
    <cellStyle name="Normal 5 2 3 2 3 4 3 2" xfId="14490" xr:uid="{CA00F1C9-955B-4C78-8803-5F28CB2E9E3C}"/>
    <cellStyle name="Normal 5 2 3 2 3 4 3 3" xfId="22924" xr:uid="{0ED997D8-DA9F-45A6-A005-031D1E7AEE40}"/>
    <cellStyle name="Normal 5 2 3 2 3 4 4" xfId="10272" xr:uid="{99835121-682C-4B87-8C4B-C3DCA0F02E25}"/>
    <cellStyle name="Normal 5 2 3 2 3 4 5" xfId="18707" xr:uid="{54C94C10-7BC4-4D6F-A256-62832D4515B9}"/>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3F04B139-97F8-430D-9166-09A1D1D54535}"/>
    <cellStyle name="Normal 5 2 3 2 3 5 2 2 3" xfId="25482" xr:uid="{A631FEB4-AEDB-42F8-89D8-A44C52C2FDBB}"/>
    <cellStyle name="Normal 5 2 3 2 3 5 2 3" xfId="12830" xr:uid="{035329FC-D7FB-420B-8AA7-D91969E94EF2}"/>
    <cellStyle name="Normal 5 2 3 2 3 5 2 4" xfId="21265" xr:uid="{A719DA7A-17C2-4004-8510-FEC5FA36D6F1}"/>
    <cellStyle name="Normal 5 2 3 2 3 5 3" xfId="6453" xr:uid="{00000000-0005-0000-0000-00006D180000}"/>
    <cellStyle name="Normal 5 2 3 2 3 5 3 2" xfId="14903" xr:uid="{440964A9-C369-40D5-BB76-26D20C3D14D9}"/>
    <cellStyle name="Normal 5 2 3 2 3 5 3 3" xfId="23337" xr:uid="{3B04BD15-B3FD-4045-B789-BEC932B4957D}"/>
    <cellStyle name="Normal 5 2 3 2 3 5 4" xfId="10685" xr:uid="{23744382-A4D2-46CC-9914-595507D188D5}"/>
    <cellStyle name="Normal 5 2 3 2 3 5 5" xfId="19120" xr:uid="{E73339BB-FFF2-476A-B252-AA1281BAF9EB}"/>
    <cellStyle name="Normal 5 2 3 2 3 6" xfId="2583" xr:uid="{00000000-0005-0000-0000-00006E180000}"/>
    <cellStyle name="Normal 5 2 3 2 3 6 2" xfId="6866" xr:uid="{00000000-0005-0000-0000-00006F180000}"/>
    <cellStyle name="Normal 5 2 3 2 3 6 2 2" xfId="15316" xr:uid="{55F6D485-2921-4545-A92A-5250AC77F19C}"/>
    <cellStyle name="Normal 5 2 3 2 3 6 2 3" xfId="23750" xr:uid="{5C1551E0-BD5C-42EC-A567-1B8972FFFB00}"/>
    <cellStyle name="Normal 5 2 3 2 3 6 3" xfId="11098" xr:uid="{E5148246-3FAF-47C2-AA91-853F86D802DA}"/>
    <cellStyle name="Normal 5 2 3 2 3 6 4" xfId="19533" xr:uid="{65A590A3-7453-42FB-A87D-5C83D2B4B329}"/>
    <cellStyle name="Normal 5 2 3 2 3 7" xfId="4801" xr:uid="{00000000-0005-0000-0000-000070180000}"/>
    <cellStyle name="Normal 5 2 3 2 3 7 2" xfId="13251" xr:uid="{B6088D61-C805-4CDA-9ACC-7DEF9DE1342F}"/>
    <cellStyle name="Normal 5 2 3 2 3 7 3" xfId="21685" xr:uid="{DCDD3D89-4FE0-4A55-908D-0E027FF585C1}"/>
    <cellStyle name="Normal 5 2 3 2 3 8" xfId="9033" xr:uid="{4FD36D8C-0E9F-4F6D-8B02-2D92821AD464}"/>
    <cellStyle name="Normal 5 2 3 2 3 9" xfId="17468" xr:uid="{AAEBCA62-E696-4F74-8115-44265915767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9124A87D-03AC-4245-8578-4D8F9C18AE85}"/>
    <cellStyle name="Normal 5 2 3 2 4 2 2 3" xfId="24240" xr:uid="{2432FAFA-BC59-475B-AE0C-68BA03A102B2}"/>
    <cellStyle name="Normal 5 2 3 2 4 2 3" xfId="11588" xr:uid="{F7FEF1CA-0A7B-46AE-B97F-6B739324DAC9}"/>
    <cellStyle name="Normal 5 2 3 2 4 2 4" xfId="20023" xr:uid="{6FB351E2-CF8E-4F2D-A4ED-C2CDA3C6FD7E}"/>
    <cellStyle name="Normal 5 2 3 2 4 3" xfId="5211" xr:uid="{00000000-0005-0000-0000-000074180000}"/>
    <cellStyle name="Normal 5 2 3 2 4 3 2" xfId="13661" xr:uid="{74C9BDC8-7A18-4655-A252-B4E3E9414413}"/>
    <cellStyle name="Normal 5 2 3 2 4 3 3" xfId="22095" xr:uid="{677706EA-CE41-49B2-B9E4-76942C5747AC}"/>
    <cellStyle name="Normal 5 2 3 2 4 4" xfId="9443" xr:uid="{A874D479-DDEA-446D-9859-39614E58339C}"/>
    <cellStyle name="Normal 5 2 3 2 4 5" xfId="17878" xr:uid="{DEE9795E-DACB-4CA5-BD23-87159459A0D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2D98115C-245B-4EAF-B135-035335EB9546}"/>
    <cellStyle name="Normal 5 2 3 2 5 2 2 3" xfId="24653" xr:uid="{8BABF1AD-8A1A-4517-AA6F-33A9584C842B}"/>
    <cellStyle name="Normal 5 2 3 2 5 2 3" xfId="12001" xr:uid="{5FC11572-04F7-4793-BD27-8866AA634B7D}"/>
    <cellStyle name="Normal 5 2 3 2 5 2 4" xfId="20436" xr:uid="{60B53672-62CE-441C-9583-7204E336997F}"/>
    <cellStyle name="Normal 5 2 3 2 5 3" xfId="5624" xr:uid="{00000000-0005-0000-0000-000078180000}"/>
    <cellStyle name="Normal 5 2 3 2 5 3 2" xfId="14074" xr:uid="{613A46C1-DDEF-4AA5-8E0A-0976079427A0}"/>
    <cellStyle name="Normal 5 2 3 2 5 3 3" xfId="22508" xr:uid="{1E2757F1-583A-4417-A3C7-64625AF4F10C}"/>
    <cellStyle name="Normal 5 2 3 2 5 4" xfId="9856" xr:uid="{1F350E5F-2693-437C-A370-666F61570860}"/>
    <cellStyle name="Normal 5 2 3 2 5 5" xfId="18291" xr:uid="{D8FB596F-0295-4078-B704-63EB71B34EDA}"/>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5AFF5980-C8AF-4E88-882D-AA8D8CAF3329}"/>
    <cellStyle name="Normal 5 2 3 2 6 2 2 3" xfId="25066" xr:uid="{7B0B9828-C911-41A8-B43B-64310F2312B6}"/>
    <cellStyle name="Normal 5 2 3 2 6 2 3" xfId="12414" xr:uid="{FCC58C9E-A468-4710-B2D2-55C2BF0B2D8A}"/>
    <cellStyle name="Normal 5 2 3 2 6 2 4" xfId="20849" xr:uid="{F5457CC8-DF7A-4335-B233-B1F5DE1B7394}"/>
    <cellStyle name="Normal 5 2 3 2 6 3" xfId="6037" xr:uid="{00000000-0005-0000-0000-00007C180000}"/>
    <cellStyle name="Normal 5 2 3 2 6 3 2" xfId="14487" xr:uid="{92FEFC2F-393E-4493-86F6-CD06FA54546E}"/>
    <cellStyle name="Normal 5 2 3 2 6 3 3" xfId="22921" xr:uid="{BB432837-9A3D-423C-B3A6-3499B23A52EB}"/>
    <cellStyle name="Normal 5 2 3 2 6 4" xfId="10269" xr:uid="{D46AD8A9-884E-40BC-9D9D-B1BA908B70CE}"/>
    <cellStyle name="Normal 5 2 3 2 6 5" xfId="18704" xr:uid="{C7292B9A-94BB-4453-B468-A4A359C42E8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459A2C93-AD92-454F-AA43-B145D25C97CE}"/>
    <cellStyle name="Normal 5 2 3 2 7 2 2 3" xfId="25479" xr:uid="{D31C3DB9-9A05-4CA2-94CB-E20224FF1EEB}"/>
    <cellStyle name="Normal 5 2 3 2 7 2 3" xfId="12827" xr:uid="{95443539-E66C-461A-93BF-47062ECABE8A}"/>
    <cellStyle name="Normal 5 2 3 2 7 2 4" xfId="21262" xr:uid="{85322D8B-CA23-4F83-8ACE-80FB7AEFD3BA}"/>
    <cellStyle name="Normal 5 2 3 2 7 3" xfId="6450" xr:uid="{00000000-0005-0000-0000-000080180000}"/>
    <cellStyle name="Normal 5 2 3 2 7 3 2" xfId="14900" xr:uid="{B4D2EBA5-216E-4EF9-897D-AF9F075C4EEE}"/>
    <cellStyle name="Normal 5 2 3 2 7 3 3" xfId="23334" xr:uid="{3E2B5155-EB6E-40E3-882F-B5DCF0786F17}"/>
    <cellStyle name="Normal 5 2 3 2 7 4" xfId="10682" xr:uid="{EBF045F6-607F-4C29-812A-A77F91D41C32}"/>
    <cellStyle name="Normal 5 2 3 2 7 5" xfId="19117" xr:uid="{C278ACFD-99F5-42A4-9232-AD28A87C9976}"/>
    <cellStyle name="Normal 5 2 3 2 8" xfId="2580" xr:uid="{00000000-0005-0000-0000-000081180000}"/>
    <cellStyle name="Normal 5 2 3 2 8 2" xfId="6863" xr:uid="{00000000-0005-0000-0000-000082180000}"/>
    <cellStyle name="Normal 5 2 3 2 8 2 2" xfId="15313" xr:uid="{C6431405-2974-474C-BD3D-FC10BF21FC38}"/>
    <cellStyle name="Normal 5 2 3 2 8 2 3" xfId="23747" xr:uid="{6A71F8AF-A415-4D2E-BA0E-8DF50CA5F120}"/>
    <cellStyle name="Normal 5 2 3 2 8 3" xfId="11095" xr:uid="{97AF9182-4097-4A5D-90D8-C6FDF4D05476}"/>
    <cellStyle name="Normal 5 2 3 2 8 4" xfId="19530" xr:uid="{C5E6DE8E-99CD-4E82-A859-9A4D13231629}"/>
    <cellStyle name="Normal 5 2 3 2 9" xfId="4798" xr:uid="{00000000-0005-0000-0000-000083180000}"/>
    <cellStyle name="Normal 5 2 3 2 9 2" xfId="13248" xr:uid="{5B4CB24D-1179-44F7-AD4B-E64A37D52294}"/>
    <cellStyle name="Normal 5 2 3 2 9 3" xfId="21682" xr:uid="{96E31A64-F23A-4DE9-8958-3BCEB1F7F988}"/>
    <cellStyle name="Normal 5 2 3 3" xfId="429" xr:uid="{00000000-0005-0000-0000-000084180000}"/>
    <cellStyle name="Normal 5 2 3 3 10" xfId="17469" xr:uid="{6FAA15CE-D82D-4D2B-9B83-1E8EBC54321C}"/>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5E649AC9-69C7-4910-A0D8-7069DBC9CB98}"/>
    <cellStyle name="Normal 5 2 3 3 2 2 2 2 3" xfId="24245" xr:uid="{8AF98759-9D0C-4F69-AB93-25EE3123DD90}"/>
    <cellStyle name="Normal 5 2 3 3 2 2 2 3" xfId="11593" xr:uid="{3E02D486-9777-4BB5-9235-ED47A88E2567}"/>
    <cellStyle name="Normal 5 2 3 3 2 2 2 4" xfId="20028" xr:uid="{52D7598F-9B14-4BA1-ABA9-18799C67EEEA}"/>
    <cellStyle name="Normal 5 2 3 3 2 2 3" xfId="5216" xr:uid="{00000000-0005-0000-0000-000089180000}"/>
    <cellStyle name="Normal 5 2 3 3 2 2 3 2" xfId="13666" xr:uid="{719048C8-4614-416D-9616-C9BBFB976ACC}"/>
    <cellStyle name="Normal 5 2 3 3 2 2 3 3" xfId="22100" xr:uid="{9946F77C-6F26-4102-B3E9-71BE5C4BB9B5}"/>
    <cellStyle name="Normal 5 2 3 3 2 2 4" xfId="9448" xr:uid="{53CDCFBF-0333-4521-9061-BC4FF1374998}"/>
    <cellStyle name="Normal 5 2 3 3 2 2 5" xfId="17883" xr:uid="{800F644B-6FB3-45D2-ADEF-7EDC2DED2F5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4FABCFE7-DB89-4A2A-9338-41C566D060F1}"/>
    <cellStyle name="Normal 5 2 3 3 2 3 2 2 3" xfId="24658" xr:uid="{5C09DEF8-6324-45A7-B641-32208BEC0525}"/>
    <cellStyle name="Normal 5 2 3 3 2 3 2 3" xfId="12006" xr:uid="{F4DBF588-FC34-49BD-9FE0-B9B4FE0C59FA}"/>
    <cellStyle name="Normal 5 2 3 3 2 3 2 4" xfId="20441" xr:uid="{2A0D003F-3B52-47E3-9337-8700FC6E5860}"/>
    <cellStyle name="Normal 5 2 3 3 2 3 3" xfId="5629" xr:uid="{00000000-0005-0000-0000-00008D180000}"/>
    <cellStyle name="Normal 5 2 3 3 2 3 3 2" xfId="14079" xr:uid="{FBA28536-2DE8-477F-B9BC-0C86A5718B5A}"/>
    <cellStyle name="Normal 5 2 3 3 2 3 3 3" xfId="22513" xr:uid="{B5248380-61BB-46B3-94FC-CBCE2FE29CAB}"/>
    <cellStyle name="Normal 5 2 3 3 2 3 4" xfId="9861" xr:uid="{B712E8A0-70E2-4912-A13D-99A84203FAC2}"/>
    <cellStyle name="Normal 5 2 3 3 2 3 5" xfId="18296" xr:uid="{B7CA4808-62CA-4CFC-B9F7-863144D35507}"/>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6A8E75F7-5C8B-4E04-AC24-412DE1B046C1}"/>
    <cellStyle name="Normal 5 2 3 3 2 4 2 2 3" xfId="25071" xr:uid="{7ED4ECD9-AA48-45EA-A0A3-97234D823638}"/>
    <cellStyle name="Normal 5 2 3 3 2 4 2 3" xfId="12419" xr:uid="{E9BE6616-CB16-4A16-A7D8-0AA8F495F550}"/>
    <cellStyle name="Normal 5 2 3 3 2 4 2 4" xfId="20854" xr:uid="{7D10E330-D692-4957-850D-0DACBE18B830}"/>
    <cellStyle name="Normal 5 2 3 3 2 4 3" xfId="6042" xr:uid="{00000000-0005-0000-0000-000091180000}"/>
    <cellStyle name="Normal 5 2 3 3 2 4 3 2" xfId="14492" xr:uid="{949F7DAE-1928-43A2-81F4-4C4CBE7F062D}"/>
    <cellStyle name="Normal 5 2 3 3 2 4 3 3" xfId="22926" xr:uid="{723940F1-26F8-460F-948A-885BB47764FB}"/>
    <cellStyle name="Normal 5 2 3 3 2 4 4" xfId="10274" xr:uid="{E076973C-9CB4-4BBF-B20F-630DB36ABDA8}"/>
    <cellStyle name="Normal 5 2 3 3 2 4 5" xfId="18709" xr:uid="{F3F4B859-07EE-41F2-85E8-9F6BFC1E106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51B51E8C-A8DF-40E5-8567-788F58B9A54D}"/>
    <cellStyle name="Normal 5 2 3 3 2 5 2 2 3" xfId="25484" xr:uid="{C80B7B8D-33BC-4A00-AFF6-02E248ECAD73}"/>
    <cellStyle name="Normal 5 2 3 3 2 5 2 3" xfId="12832" xr:uid="{B2CF236B-D175-4E9B-8CF3-BF081E1FB2C7}"/>
    <cellStyle name="Normal 5 2 3 3 2 5 2 4" xfId="21267" xr:uid="{E6F6BB51-C653-4B41-BBB0-E1A1EF3F8F65}"/>
    <cellStyle name="Normal 5 2 3 3 2 5 3" xfId="6455" xr:uid="{00000000-0005-0000-0000-000095180000}"/>
    <cellStyle name="Normal 5 2 3 3 2 5 3 2" xfId="14905" xr:uid="{DA4DE583-F990-41D3-AEED-9C006F7F6FC3}"/>
    <cellStyle name="Normal 5 2 3 3 2 5 3 3" xfId="23339" xr:uid="{D5E10D23-4CCA-408D-89AD-3550164C8ABD}"/>
    <cellStyle name="Normal 5 2 3 3 2 5 4" xfId="10687" xr:uid="{13AEDD88-89FF-4244-AC0A-6D1DBC097D7C}"/>
    <cellStyle name="Normal 5 2 3 3 2 5 5" xfId="19122" xr:uid="{7EFBA62A-C981-4BDF-8A83-C501B70913FD}"/>
    <cellStyle name="Normal 5 2 3 3 2 6" xfId="2585" xr:uid="{00000000-0005-0000-0000-000096180000}"/>
    <cellStyle name="Normal 5 2 3 3 2 6 2" xfId="6868" xr:uid="{00000000-0005-0000-0000-000097180000}"/>
    <cellStyle name="Normal 5 2 3 3 2 6 2 2" xfId="15318" xr:uid="{24300722-49AE-470C-A8FB-BCC618FFB89C}"/>
    <cellStyle name="Normal 5 2 3 3 2 6 2 3" xfId="23752" xr:uid="{06D2C2A3-8C25-4708-A4CE-E677C452AE36}"/>
    <cellStyle name="Normal 5 2 3 3 2 6 3" xfId="11100" xr:uid="{1E735E6D-62E8-49AB-A11A-AA21F3EE4D70}"/>
    <cellStyle name="Normal 5 2 3 3 2 6 4" xfId="19535" xr:uid="{B64D7830-7D45-40D2-8C26-F614DB1DF84B}"/>
    <cellStyle name="Normal 5 2 3 3 2 7" xfId="4803" xr:uid="{00000000-0005-0000-0000-000098180000}"/>
    <cellStyle name="Normal 5 2 3 3 2 7 2" xfId="13253" xr:uid="{0716E540-A796-458E-B1FA-5D370DD00DE0}"/>
    <cellStyle name="Normal 5 2 3 3 2 7 3" xfId="21687" xr:uid="{2F10B643-A9B9-4EA3-8E5B-7B5FAAC34D09}"/>
    <cellStyle name="Normal 5 2 3 3 2 8" xfId="9035" xr:uid="{76EC4E16-6314-47BF-A13D-8C344A56F3BC}"/>
    <cellStyle name="Normal 5 2 3 3 2 9" xfId="17470" xr:uid="{2D369A55-42C4-4FAD-9059-836ED54A0732}"/>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C148749-88A6-4CC9-9548-51CCA3F0DDAA}"/>
    <cellStyle name="Normal 5 2 3 3 3 2 2 3" xfId="24244" xr:uid="{D953B2FA-4671-45F6-B836-0B845443A700}"/>
    <cellStyle name="Normal 5 2 3 3 3 2 3" xfId="11592" xr:uid="{F65DC889-FCE4-4040-BFC0-9C663FC5F5BE}"/>
    <cellStyle name="Normal 5 2 3 3 3 2 4" xfId="20027" xr:uid="{73BDF0CB-0185-4401-971E-F49D57C7A8F3}"/>
    <cellStyle name="Normal 5 2 3 3 3 3" xfId="5215" xr:uid="{00000000-0005-0000-0000-00009C180000}"/>
    <cellStyle name="Normal 5 2 3 3 3 3 2" xfId="13665" xr:uid="{F2700981-BAC9-454B-833A-FF8384981264}"/>
    <cellStyle name="Normal 5 2 3 3 3 3 3" xfId="22099" xr:uid="{34CECF84-12E2-4077-A9BC-068DBF81B942}"/>
    <cellStyle name="Normal 5 2 3 3 3 4" xfId="9447" xr:uid="{CDD1834D-1A39-4FC8-878F-25AD36028539}"/>
    <cellStyle name="Normal 5 2 3 3 3 5" xfId="17882" xr:uid="{C8873717-0909-4951-8772-F6FB4DF3D4A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74AAC3DA-CFA1-4592-A781-4F71659F21CB}"/>
    <cellStyle name="Normal 5 2 3 3 4 2 2 3" xfId="24657" xr:uid="{97B29970-DF93-4EF7-93BF-7D58A2D4B926}"/>
    <cellStyle name="Normal 5 2 3 3 4 2 3" xfId="12005" xr:uid="{65418B44-ABA2-47F9-8C72-2F56BE384557}"/>
    <cellStyle name="Normal 5 2 3 3 4 2 4" xfId="20440" xr:uid="{521DAC05-898E-42E6-81E5-43C261EF6A81}"/>
    <cellStyle name="Normal 5 2 3 3 4 3" xfId="5628" xr:uid="{00000000-0005-0000-0000-0000A0180000}"/>
    <cellStyle name="Normal 5 2 3 3 4 3 2" xfId="14078" xr:uid="{BC3D14F2-3659-45FA-AE42-09545CD8BADA}"/>
    <cellStyle name="Normal 5 2 3 3 4 3 3" xfId="22512" xr:uid="{E62DBFE5-0D12-459F-9544-792C40A41BC7}"/>
    <cellStyle name="Normal 5 2 3 3 4 4" xfId="9860" xr:uid="{9C8AB306-97C3-4EC3-8CE7-E95786D7E5DC}"/>
    <cellStyle name="Normal 5 2 3 3 4 5" xfId="18295" xr:uid="{E8EAFD4A-47AD-4911-A0D4-65B111F4274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D17482EC-417F-402E-867F-D5FBA38B724A}"/>
    <cellStyle name="Normal 5 2 3 3 5 2 2 3" xfId="25070" xr:uid="{5A4C350F-62AC-42A0-BFE1-B37DCD025A70}"/>
    <cellStyle name="Normal 5 2 3 3 5 2 3" xfId="12418" xr:uid="{FE3EE03E-A39D-4D33-A0D7-B8F8646A5D72}"/>
    <cellStyle name="Normal 5 2 3 3 5 2 4" xfId="20853" xr:uid="{15A9F62F-01F3-46C7-94A2-8CA7FA7BEA4F}"/>
    <cellStyle name="Normal 5 2 3 3 5 3" xfId="6041" xr:uid="{00000000-0005-0000-0000-0000A4180000}"/>
    <cellStyle name="Normal 5 2 3 3 5 3 2" xfId="14491" xr:uid="{8E5DB605-B123-4893-8681-E0B8FE73F331}"/>
    <cellStyle name="Normal 5 2 3 3 5 3 3" xfId="22925" xr:uid="{B458CE6C-5499-474F-80F3-9DB4C2C01E08}"/>
    <cellStyle name="Normal 5 2 3 3 5 4" xfId="10273" xr:uid="{B0690B20-883A-45BA-8EFE-C4BAE7F04BF3}"/>
    <cellStyle name="Normal 5 2 3 3 5 5" xfId="18708" xr:uid="{FEF7B21D-DF22-4ADD-92E8-DBD32F239ED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299BDBA3-0BDD-400D-999B-3E766152B590}"/>
    <cellStyle name="Normal 5 2 3 3 6 2 2 3" xfId="25483" xr:uid="{517D191A-C35B-4602-9C4E-4B1A7F3425D1}"/>
    <cellStyle name="Normal 5 2 3 3 6 2 3" xfId="12831" xr:uid="{5C92A873-FF10-45B0-8A57-A62599A9A9EC}"/>
    <cellStyle name="Normal 5 2 3 3 6 2 4" xfId="21266" xr:uid="{1FE652A8-C158-4415-8420-D71B7D4BDDF5}"/>
    <cellStyle name="Normal 5 2 3 3 6 3" xfId="6454" xr:uid="{00000000-0005-0000-0000-0000A8180000}"/>
    <cellStyle name="Normal 5 2 3 3 6 3 2" xfId="14904" xr:uid="{A1D4173F-B7F5-4F0C-9C12-EE0028F19FC3}"/>
    <cellStyle name="Normal 5 2 3 3 6 3 3" xfId="23338" xr:uid="{3BC95928-C386-4563-B74D-01B07AF82E96}"/>
    <cellStyle name="Normal 5 2 3 3 6 4" xfId="10686" xr:uid="{49D9AE29-6714-474E-8848-9437D7298C16}"/>
    <cellStyle name="Normal 5 2 3 3 6 5" xfId="19121" xr:uid="{9E3D441F-DE9E-41FF-B949-2B00C4710064}"/>
    <cellStyle name="Normal 5 2 3 3 7" xfId="2584" xr:uid="{00000000-0005-0000-0000-0000A9180000}"/>
    <cellStyle name="Normal 5 2 3 3 7 2" xfId="6867" xr:uid="{00000000-0005-0000-0000-0000AA180000}"/>
    <cellStyle name="Normal 5 2 3 3 7 2 2" xfId="15317" xr:uid="{AC8B5FFC-0708-478E-B1D5-AFB65AFACDFA}"/>
    <cellStyle name="Normal 5 2 3 3 7 2 3" xfId="23751" xr:uid="{D0A8A4F9-ED4F-46C0-8480-2F72B5359930}"/>
    <cellStyle name="Normal 5 2 3 3 7 3" xfId="11099" xr:uid="{EDF05CDC-FA42-4D20-B6C6-EEBF69161E20}"/>
    <cellStyle name="Normal 5 2 3 3 7 4" xfId="19534" xr:uid="{375CE629-756E-4805-8EA3-896D4AB4413C}"/>
    <cellStyle name="Normal 5 2 3 3 8" xfId="4802" xr:uid="{00000000-0005-0000-0000-0000AB180000}"/>
    <cellStyle name="Normal 5 2 3 3 8 2" xfId="13252" xr:uid="{60189295-BBCB-45A6-A334-67BC90D34A96}"/>
    <cellStyle name="Normal 5 2 3 3 8 3" xfId="21686" xr:uid="{A9B05A45-0A0A-426E-9069-6D715A0B7C12}"/>
    <cellStyle name="Normal 5 2 3 3 9" xfId="9034" xr:uid="{C6D90562-0D89-48C1-86A5-5B092A9585E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1D5B7419-646E-43B0-B528-AFC8014AEE5D}"/>
    <cellStyle name="Normal 5 2 3 4 2 2 2 3" xfId="24246" xr:uid="{9EB11EE5-1D5A-46A7-A14F-8F486DE757B4}"/>
    <cellStyle name="Normal 5 2 3 4 2 2 3" xfId="11594" xr:uid="{43CC9A3B-0168-4F06-8E84-1C2F81FECEFE}"/>
    <cellStyle name="Normal 5 2 3 4 2 2 4" xfId="20029" xr:uid="{770522D6-D5D7-45C4-AD70-036F266FF79B}"/>
    <cellStyle name="Normal 5 2 3 4 2 3" xfId="5217" xr:uid="{00000000-0005-0000-0000-0000B0180000}"/>
    <cellStyle name="Normal 5 2 3 4 2 3 2" xfId="13667" xr:uid="{54573E1C-957D-4EEF-9EF9-C824ACB1D772}"/>
    <cellStyle name="Normal 5 2 3 4 2 3 3" xfId="22101" xr:uid="{615092E9-1156-4B48-B2BF-0916EF6C3196}"/>
    <cellStyle name="Normal 5 2 3 4 2 4" xfId="9449" xr:uid="{031679D8-BD24-432A-B90B-391AA7D88512}"/>
    <cellStyle name="Normal 5 2 3 4 2 5" xfId="17884" xr:uid="{635F48FC-EC6F-462E-833C-5E775DD70619}"/>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E5A77783-4E67-4342-8CBF-1CA7DA95D254}"/>
    <cellStyle name="Normal 5 2 3 4 3 2 2 3" xfId="24659" xr:uid="{410DABE7-4BAE-4302-AA7B-E726C8C68639}"/>
    <cellStyle name="Normal 5 2 3 4 3 2 3" xfId="12007" xr:uid="{272E5AB6-652B-4A24-9D7B-AA7D24848319}"/>
    <cellStyle name="Normal 5 2 3 4 3 2 4" xfId="20442" xr:uid="{6BABB859-5E5C-49F1-BB90-30CECA0FA835}"/>
    <cellStyle name="Normal 5 2 3 4 3 3" xfId="5630" xr:uid="{00000000-0005-0000-0000-0000B4180000}"/>
    <cellStyle name="Normal 5 2 3 4 3 3 2" xfId="14080" xr:uid="{3325578A-6851-4B14-A361-D312BEFCA00D}"/>
    <cellStyle name="Normal 5 2 3 4 3 3 3" xfId="22514" xr:uid="{EF872EBA-73BD-4DAF-AA91-ECCAEF80F969}"/>
    <cellStyle name="Normal 5 2 3 4 3 4" xfId="9862" xr:uid="{9CC47A6B-4CA4-4D1D-B5A4-3FD1F0E075F6}"/>
    <cellStyle name="Normal 5 2 3 4 3 5" xfId="18297" xr:uid="{8C3E6A2E-5DEF-4E36-A955-DB942FF2991E}"/>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9FEED348-BE57-461E-B5AB-FD0537A144FA}"/>
    <cellStyle name="Normal 5 2 3 4 4 2 2 3" xfId="25072" xr:uid="{5E39D7F6-9656-405E-BCB9-F4728B1E8718}"/>
    <cellStyle name="Normal 5 2 3 4 4 2 3" xfId="12420" xr:uid="{BB28CE24-7CAC-4DEE-AE1D-8A611DE69C61}"/>
    <cellStyle name="Normal 5 2 3 4 4 2 4" xfId="20855" xr:uid="{C86665C0-A7B6-4D22-B2D7-CCEAFC640816}"/>
    <cellStyle name="Normal 5 2 3 4 4 3" xfId="6043" xr:uid="{00000000-0005-0000-0000-0000B8180000}"/>
    <cellStyle name="Normal 5 2 3 4 4 3 2" xfId="14493" xr:uid="{7AD25BB8-C3D6-4919-94B9-F403ACADEB10}"/>
    <cellStyle name="Normal 5 2 3 4 4 3 3" xfId="22927" xr:uid="{8EB7D352-8D65-4E44-B161-DE69F318E05A}"/>
    <cellStyle name="Normal 5 2 3 4 4 4" xfId="10275" xr:uid="{C5B761F2-EF87-46C2-B798-D15BD9BB444B}"/>
    <cellStyle name="Normal 5 2 3 4 4 5" xfId="18710" xr:uid="{0BE4C20A-529A-46A1-886E-EC993EAE604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CFD98A7D-9186-4105-9980-2CF50083BA2A}"/>
    <cellStyle name="Normal 5 2 3 4 5 2 2 3" xfId="25485" xr:uid="{CDB822AD-CB8F-4D40-8196-0108D5C7923B}"/>
    <cellStyle name="Normal 5 2 3 4 5 2 3" xfId="12833" xr:uid="{D326B464-2A79-4B59-B6C6-13DC07DCD7AE}"/>
    <cellStyle name="Normal 5 2 3 4 5 2 4" xfId="21268" xr:uid="{FB918B95-5533-40FA-B505-B02EECF8C091}"/>
    <cellStyle name="Normal 5 2 3 4 5 3" xfId="6456" xr:uid="{00000000-0005-0000-0000-0000BC180000}"/>
    <cellStyle name="Normal 5 2 3 4 5 3 2" xfId="14906" xr:uid="{1F667BE6-E121-4043-B1A3-8BAE947B7F88}"/>
    <cellStyle name="Normal 5 2 3 4 5 3 3" xfId="23340" xr:uid="{1C2B03E6-6538-43F4-9185-7BAABBC13061}"/>
    <cellStyle name="Normal 5 2 3 4 5 4" xfId="10688" xr:uid="{67A773C9-7617-4B38-9B9C-C5CA2A17C556}"/>
    <cellStyle name="Normal 5 2 3 4 5 5" xfId="19123" xr:uid="{FCFD8A1A-6004-45FE-8A2F-CDF739149461}"/>
    <cellStyle name="Normal 5 2 3 4 6" xfId="2586" xr:uid="{00000000-0005-0000-0000-0000BD180000}"/>
    <cellStyle name="Normal 5 2 3 4 6 2" xfId="6869" xr:uid="{00000000-0005-0000-0000-0000BE180000}"/>
    <cellStyle name="Normal 5 2 3 4 6 2 2" xfId="15319" xr:uid="{95223CF4-0D43-4CCB-ABF5-A7D15EBE52E0}"/>
    <cellStyle name="Normal 5 2 3 4 6 2 3" xfId="23753" xr:uid="{F9D40D74-DF2E-4903-88C1-C1C0090988A0}"/>
    <cellStyle name="Normal 5 2 3 4 6 3" xfId="11101" xr:uid="{6EB4B419-F7FF-473B-9108-554AB96DA7B7}"/>
    <cellStyle name="Normal 5 2 3 4 6 4" xfId="19536" xr:uid="{1C0E45F7-BBDD-41BE-BB5A-12A7C3A04E03}"/>
    <cellStyle name="Normal 5 2 3 4 7" xfId="4804" xr:uid="{00000000-0005-0000-0000-0000BF180000}"/>
    <cellStyle name="Normal 5 2 3 4 7 2" xfId="13254" xr:uid="{6A91CA7B-7768-4F61-B4AC-A0734D8B1CF7}"/>
    <cellStyle name="Normal 5 2 3 4 7 3" xfId="21688" xr:uid="{0696FD9A-78F1-4FCB-9826-2883BB8AF3A7}"/>
    <cellStyle name="Normal 5 2 3 4 8" xfId="9036" xr:uid="{7653AC85-4CD9-4B20-9C60-B7B076C44442}"/>
    <cellStyle name="Normal 5 2 3 4 9" xfId="17471" xr:uid="{C3FEE965-60A4-41D4-8E47-D6724A50C93D}"/>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41AA488D-B981-441B-BEB3-7B23B3310079}"/>
    <cellStyle name="Normal 5 2 3 5 2 2 3" xfId="24239" xr:uid="{E1AF35FB-591F-4A96-8E64-E53C834AD994}"/>
    <cellStyle name="Normal 5 2 3 5 2 3" xfId="11587" xr:uid="{49435EB7-5F00-4BEA-821A-11978E18CCC5}"/>
    <cellStyle name="Normal 5 2 3 5 2 4" xfId="20022" xr:uid="{9D312323-5D19-4869-B65B-8D7F702ABE6B}"/>
    <cellStyle name="Normal 5 2 3 5 3" xfId="5210" xr:uid="{00000000-0005-0000-0000-0000C3180000}"/>
    <cellStyle name="Normal 5 2 3 5 3 2" xfId="13660" xr:uid="{509C91D4-85EE-4334-8726-EFCDEA31BFD2}"/>
    <cellStyle name="Normal 5 2 3 5 3 3" xfId="22094" xr:uid="{64B8A9BB-0D06-4E85-877B-BD213D77587A}"/>
    <cellStyle name="Normal 5 2 3 5 4" xfId="9442" xr:uid="{9ADBA8FD-2B77-4CEE-BB5B-46E84B68A5BF}"/>
    <cellStyle name="Normal 5 2 3 5 5" xfId="17877" xr:uid="{927E544C-00B0-48A8-934C-3A53D7A1C62B}"/>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15ED9FFA-50A4-4F9F-A0D8-8C0BF0C98991}"/>
    <cellStyle name="Normal 5 2 3 6 2 2 3" xfId="24652" xr:uid="{E8E5A3CA-92FA-4A18-A442-ADF313BBEEA7}"/>
    <cellStyle name="Normal 5 2 3 6 2 3" xfId="12000" xr:uid="{AFB29030-CFBB-450C-AF5E-2FBFE9271B0D}"/>
    <cellStyle name="Normal 5 2 3 6 2 4" xfId="20435" xr:uid="{F8E0DF06-C688-4B7B-B256-7979C0613F7C}"/>
    <cellStyle name="Normal 5 2 3 6 3" xfId="5623" xr:uid="{00000000-0005-0000-0000-0000C7180000}"/>
    <cellStyle name="Normal 5 2 3 6 3 2" xfId="14073" xr:uid="{73B8FA60-5731-4B43-ADD1-479FAC19F8DD}"/>
    <cellStyle name="Normal 5 2 3 6 3 3" xfId="22507" xr:uid="{D00F5B6E-944F-4DC5-A7AC-91EE6113BF2A}"/>
    <cellStyle name="Normal 5 2 3 6 4" xfId="9855" xr:uid="{A2F2FA62-B588-45C6-BA74-21E3CE8C0A97}"/>
    <cellStyle name="Normal 5 2 3 6 5" xfId="18290" xr:uid="{78069BEA-535B-4122-AD72-11596EBD0103}"/>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12F96C8-D70F-4114-97A1-1720D30C4F49}"/>
    <cellStyle name="Normal 5 2 3 7 2 2 3" xfId="25065" xr:uid="{1B46C721-EAFB-4FDD-8081-05B932527834}"/>
    <cellStyle name="Normal 5 2 3 7 2 3" xfId="12413" xr:uid="{57AA043B-4240-4CC0-B4C8-94F43310EB9F}"/>
    <cellStyle name="Normal 5 2 3 7 2 4" xfId="20848" xr:uid="{E8156FEF-9945-446E-A143-F8C3E59BD542}"/>
    <cellStyle name="Normal 5 2 3 7 3" xfId="6036" xr:uid="{00000000-0005-0000-0000-0000CB180000}"/>
    <cellStyle name="Normal 5 2 3 7 3 2" xfId="14486" xr:uid="{C3EF5DA9-3A9A-4906-B004-789767A4078A}"/>
    <cellStyle name="Normal 5 2 3 7 3 3" xfId="22920" xr:uid="{D33E1576-6E28-44A4-88B6-237890C690CA}"/>
    <cellStyle name="Normal 5 2 3 7 4" xfId="10268" xr:uid="{AC2B49B7-7FFD-4BE8-AE4F-887626C83F48}"/>
    <cellStyle name="Normal 5 2 3 7 5" xfId="18703" xr:uid="{869B7C60-4E8A-4AAF-AAC2-8047A1AB184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E2B82681-63D7-4F3B-B447-05C01B4CE3B1}"/>
    <cellStyle name="Normal 5 2 3 8 2 2 3" xfId="25478" xr:uid="{6C13260E-4B4D-4E57-809D-045EB084B1A1}"/>
    <cellStyle name="Normal 5 2 3 8 2 3" xfId="12826" xr:uid="{0F5DA420-FA56-4344-9186-A4B11CA9B703}"/>
    <cellStyle name="Normal 5 2 3 8 2 4" xfId="21261" xr:uid="{82A09736-5A99-4261-81B6-0AA503F15254}"/>
    <cellStyle name="Normal 5 2 3 8 3" xfId="6449" xr:uid="{00000000-0005-0000-0000-0000CF180000}"/>
    <cellStyle name="Normal 5 2 3 8 3 2" xfId="14899" xr:uid="{9F89EF1D-DBC9-4F1F-936A-1E737FCCEF79}"/>
    <cellStyle name="Normal 5 2 3 8 3 3" xfId="23333" xr:uid="{62F7CFF7-3416-4917-AEA8-4F1F4432C78F}"/>
    <cellStyle name="Normal 5 2 3 8 4" xfId="10681" xr:uid="{01233939-BE31-48B3-995C-E665824CF946}"/>
    <cellStyle name="Normal 5 2 3 8 5" xfId="19116" xr:uid="{1E2916C1-8F4A-448C-ADD2-92E6327ED529}"/>
    <cellStyle name="Normal 5 2 3 9" xfId="2579" xr:uid="{00000000-0005-0000-0000-0000D0180000}"/>
    <cellStyle name="Normal 5 2 3 9 2" xfId="6862" xr:uid="{00000000-0005-0000-0000-0000D1180000}"/>
    <cellStyle name="Normal 5 2 3 9 2 2" xfId="15312" xr:uid="{4C1D0F80-E0E4-4FB8-895C-D6762ABA3003}"/>
    <cellStyle name="Normal 5 2 3 9 2 3" xfId="23746" xr:uid="{13D5E5A1-272A-4612-B564-4249082E2C23}"/>
    <cellStyle name="Normal 5 2 3 9 3" xfId="11094" xr:uid="{D9C291A8-F8C7-4705-8853-CA558DBF8B99}"/>
    <cellStyle name="Normal 5 2 3 9 4" xfId="19529" xr:uid="{4759868B-5600-4EC8-BD11-F8CD4E2B7CB6}"/>
    <cellStyle name="Normal 5 2 4" xfId="432" xr:uid="{00000000-0005-0000-0000-0000D2180000}"/>
    <cellStyle name="Normal 5 2 4 10" xfId="9037" xr:uid="{A86EE001-2610-4BCC-8F9E-6604415583EB}"/>
    <cellStyle name="Normal 5 2 4 11" xfId="17472" xr:uid="{D84CCCF6-88EF-4091-9F29-2FF19003A17C}"/>
    <cellStyle name="Normal 5 2 4 2" xfId="433" xr:uid="{00000000-0005-0000-0000-0000D3180000}"/>
    <cellStyle name="Normal 5 2 4 2 10" xfId="17473" xr:uid="{2E2E3A1B-93B3-4F51-A192-E5DCC4330EEB}"/>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6F908C96-C1AB-43EC-99EA-6F096F85CAF3}"/>
    <cellStyle name="Normal 5 2 4 2 2 2 2 2 3" xfId="24249" xr:uid="{A84F1F62-0B25-48D4-B922-F33A00698AE9}"/>
    <cellStyle name="Normal 5 2 4 2 2 2 2 3" xfId="11597" xr:uid="{16F95B07-BC2A-4C4E-ACD4-48462173144F}"/>
    <cellStyle name="Normal 5 2 4 2 2 2 2 4" xfId="20032" xr:uid="{D51C34AF-8CDC-4999-9F93-D9C997EE75ED}"/>
    <cellStyle name="Normal 5 2 4 2 2 2 3" xfId="5220" xr:uid="{00000000-0005-0000-0000-0000D8180000}"/>
    <cellStyle name="Normal 5 2 4 2 2 2 3 2" xfId="13670" xr:uid="{FBB3A458-D36B-4F6A-9508-598807CDE139}"/>
    <cellStyle name="Normal 5 2 4 2 2 2 3 3" xfId="22104" xr:uid="{5DC4FF67-DA4F-43A3-A4FF-D0FF49BDF0C0}"/>
    <cellStyle name="Normal 5 2 4 2 2 2 4" xfId="9452" xr:uid="{975C46E8-2A09-42A3-8973-BC520DEC37AE}"/>
    <cellStyle name="Normal 5 2 4 2 2 2 5" xfId="17887" xr:uid="{AAF12CE3-6F5C-4434-BFF9-DA8B76B7275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57B3327A-23F0-499C-B0BC-3386D70B27CC}"/>
    <cellStyle name="Normal 5 2 4 2 2 3 2 2 3" xfId="24662" xr:uid="{AECAB5CE-988E-4F5B-8684-181081DFE106}"/>
    <cellStyle name="Normal 5 2 4 2 2 3 2 3" xfId="12010" xr:uid="{DFFE5C39-14CD-4740-B9B3-DB0B05ACEEEC}"/>
    <cellStyle name="Normal 5 2 4 2 2 3 2 4" xfId="20445" xr:uid="{10FA2C25-3837-4356-B690-68E1B501423F}"/>
    <cellStyle name="Normal 5 2 4 2 2 3 3" xfId="5633" xr:uid="{00000000-0005-0000-0000-0000DC180000}"/>
    <cellStyle name="Normal 5 2 4 2 2 3 3 2" xfId="14083" xr:uid="{FE5C100E-ECA9-4B2A-A725-E19EAC2DB7F0}"/>
    <cellStyle name="Normal 5 2 4 2 2 3 3 3" xfId="22517" xr:uid="{7D70359A-6A19-4C5D-9A37-1BDFC5308593}"/>
    <cellStyle name="Normal 5 2 4 2 2 3 4" xfId="9865" xr:uid="{1448432F-D4F0-4C28-B31D-955C411D1941}"/>
    <cellStyle name="Normal 5 2 4 2 2 3 5" xfId="18300" xr:uid="{B42FDC23-638A-46FD-9396-C7E786A08C04}"/>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F0782C96-4970-451E-A99D-150C58F157FB}"/>
    <cellStyle name="Normal 5 2 4 2 2 4 2 2 3" xfId="25075" xr:uid="{47E2CDC3-219E-4E91-A120-57F41FDAB767}"/>
    <cellStyle name="Normal 5 2 4 2 2 4 2 3" xfId="12423" xr:uid="{87D82B40-1AD8-4FD3-906D-159AB7833805}"/>
    <cellStyle name="Normal 5 2 4 2 2 4 2 4" xfId="20858" xr:uid="{0828E028-9461-47EA-87F5-0948F369E5C9}"/>
    <cellStyle name="Normal 5 2 4 2 2 4 3" xfId="6046" xr:uid="{00000000-0005-0000-0000-0000E0180000}"/>
    <cellStyle name="Normal 5 2 4 2 2 4 3 2" xfId="14496" xr:uid="{D6F87DF1-0849-4A6C-8DF9-5F6329108AE7}"/>
    <cellStyle name="Normal 5 2 4 2 2 4 3 3" xfId="22930" xr:uid="{3DB784D9-205A-46C5-BE7B-C94464568681}"/>
    <cellStyle name="Normal 5 2 4 2 2 4 4" xfId="10278" xr:uid="{AC7D4556-85E6-4893-BCD5-DEE8B8998245}"/>
    <cellStyle name="Normal 5 2 4 2 2 4 5" xfId="18713" xr:uid="{11F56548-CB43-42A9-9202-462A83451F7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1F124974-2F2C-4B18-BB70-7C6C67ADA137}"/>
    <cellStyle name="Normal 5 2 4 2 2 5 2 2 3" xfId="25488" xr:uid="{898EEF51-3AE4-48A4-A1B8-D370511FF0D7}"/>
    <cellStyle name="Normal 5 2 4 2 2 5 2 3" xfId="12836" xr:uid="{04A99559-F120-4B72-8F6E-8AF0B6404770}"/>
    <cellStyle name="Normal 5 2 4 2 2 5 2 4" xfId="21271" xr:uid="{31A00ED4-492C-45F4-83DB-6477F2AB0394}"/>
    <cellStyle name="Normal 5 2 4 2 2 5 3" xfId="6459" xr:uid="{00000000-0005-0000-0000-0000E4180000}"/>
    <cellStyle name="Normal 5 2 4 2 2 5 3 2" xfId="14909" xr:uid="{4519DF9F-8B15-4043-A601-587DCFF8A325}"/>
    <cellStyle name="Normal 5 2 4 2 2 5 3 3" xfId="23343" xr:uid="{0AAFF6F0-DA6F-4EE7-9BE4-6DF8213120F3}"/>
    <cellStyle name="Normal 5 2 4 2 2 5 4" xfId="10691" xr:uid="{FA64BF63-EE4A-48A2-8621-88FF506C56B6}"/>
    <cellStyle name="Normal 5 2 4 2 2 5 5" xfId="19126" xr:uid="{C365882E-056F-477B-8955-97AD93663C9A}"/>
    <cellStyle name="Normal 5 2 4 2 2 6" xfId="2589" xr:uid="{00000000-0005-0000-0000-0000E5180000}"/>
    <cellStyle name="Normal 5 2 4 2 2 6 2" xfId="6872" xr:uid="{00000000-0005-0000-0000-0000E6180000}"/>
    <cellStyle name="Normal 5 2 4 2 2 6 2 2" xfId="15322" xr:uid="{1BA93A71-D4DB-4B93-9D75-CB575C4825E4}"/>
    <cellStyle name="Normal 5 2 4 2 2 6 2 3" xfId="23756" xr:uid="{FEAA129C-F755-41FC-BE0C-B5EB4C614D1C}"/>
    <cellStyle name="Normal 5 2 4 2 2 6 3" xfId="11104" xr:uid="{30907739-DD3B-4087-B344-46E9D01259F4}"/>
    <cellStyle name="Normal 5 2 4 2 2 6 4" xfId="19539" xr:uid="{CB90DA3A-6662-40C5-9B41-D94FB41586A4}"/>
    <cellStyle name="Normal 5 2 4 2 2 7" xfId="4807" xr:uid="{00000000-0005-0000-0000-0000E7180000}"/>
    <cellStyle name="Normal 5 2 4 2 2 7 2" xfId="13257" xr:uid="{8E8F397C-271A-4CDC-9A46-0BD7BA759F99}"/>
    <cellStyle name="Normal 5 2 4 2 2 7 3" xfId="21691" xr:uid="{06981889-EFE2-4388-8B86-06267AAAD7C8}"/>
    <cellStyle name="Normal 5 2 4 2 2 8" xfId="9039" xr:uid="{3BF71BB0-833A-418B-867C-C359CD21DA1E}"/>
    <cellStyle name="Normal 5 2 4 2 2 9" xfId="17474" xr:uid="{39E4830E-8080-4D38-BE0F-A04E81FAEF1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FC0DFC7B-877B-4404-BF87-644E48D6763B}"/>
    <cellStyle name="Normal 5 2 4 2 3 2 2 3" xfId="24248" xr:uid="{68EDD686-0C04-4750-A69D-FE364398791A}"/>
    <cellStyle name="Normal 5 2 4 2 3 2 3" xfId="11596" xr:uid="{28E9B891-E384-41AE-8A53-E48423EC6769}"/>
    <cellStyle name="Normal 5 2 4 2 3 2 4" xfId="20031" xr:uid="{21E2A6E4-57C2-426B-AFE5-1D23D7CDD269}"/>
    <cellStyle name="Normal 5 2 4 2 3 3" xfId="5219" xr:uid="{00000000-0005-0000-0000-0000EB180000}"/>
    <cellStyle name="Normal 5 2 4 2 3 3 2" xfId="13669" xr:uid="{8B89514D-BC0A-4BF7-95C2-94E24A390D77}"/>
    <cellStyle name="Normal 5 2 4 2 3 3 3" xfId="22103" xr:uid="{F13DA076-7F3A-4E6E-A0B2-FC47462DA465}"/>
    <cellStyle name="Normal 5 2 4 2 3 4" xfId="9451" xr:uid="{CCDEA892-AC9C-4FE8-AE9F-13E0CF37E751}"/>
    <cellStyle name="Normal 5 2 4 2 3 5" xfId="17886" xr:uid="{82C3A8D2-BE2A-4271-9EF0-B0A434D6491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C45892EA-9354-4729-8125-B9F49B4A63E6}"/>
    <cellStyle name="Normal 5 2 4 2 4 2 2 3" xfId="24661" xr:uid="{8DDDD92A-F0C9-4989-9DFE-FF3CAE3B8D95}"/>
    <cellStyle name="Normal 5 2 4 2 4 2 3" xfId="12009" xr:uid="{C49E2286-74AF-4B86-AEE8-7D919D00B45E}"/>
    <cellStyle name="Normal 5 2 4 2 4 2 4" xfId="20444" xr:uid="{626A332D-F218-452E-AA3C-3137C1C57638}"/>
    <cellStyle name="Normal 5 2 4 2 4 3" xfId="5632" xr:uid="{00000000-0005-0000-0000-0000EF180000}"/>
    <cellStyle name="Normal 5 2 4 2 4 3 2" xfId="14082" xr:uid="{3C75F944-06A2-4330-AE8C-EE5385F90AE7}"/>
    <cellStyle name="Normal 5 2 4 2 4 3 3" xfId="22516" xr:uid="{294682AA-804C-4D98-833F-31B19224E176}"/>
    <cellStyle name="Normal 5 2 4 2 4 4" xfId="9864" xr:uid="{D1866A01-C50E-4909-AF10-203F40B2D45B}"/>
    <cellStyle name="Normal 5 2 4 2 4 5" xfId="18299" xr:uid="{D13409D7-AC54-4F61-8D72-E4CE8997F011}"/>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D2CF136F-D17E-4F2E-BF9D-81143D51953D}"/>
    <cellStyle name="Normal 5 2 4 2 5 2 2 3" xfId="25074" xr:uid="{D7D8F98D-2F8D-4624-AE32-D8BE984392AC}"/>
    <cellStyle name="Normal 5 2 4 2 5 2 3" xfId="12422" xr:uid="{64AA4860-524C-4372-B9C5-C443881BC207}"/>
    <cellStyle name="Normal 5 2 4 2 5 2 4" xfId="20857" xr:uid="{2F9E10C3-5B7F-481C-8C65-0AB5650D0DBF}"/>
    <cellStyle name="Normal 5 2 4 2 5 3" xfId="6045" xr:uid="{00000000-0005-0000-0000-0000F3180000}"/>
    <cellStyle name="Normal 5 2 4 2 5 3 2" xfId="14495" xr:uid="{8A08D9D5-5F43-42EB-A706-641E3D481806}"/>
    <cellStyle name="Normal 5 2 4 2 5 3 3" xfId="22929" xr:uid="{C8CC2686-8170-4193-9141-93D3FF516BF9}"/>
    <cellStyle name="Normal 5 2 4 2 5 4" xfId="10277" xr:uid="{903D4011-5078-44EA-BF35-95AAAA70DB6A}"/>
    <cellStyle name="Normal 5 2 4 2 5 5" xfId="18712" xr:uid="{E00E4478-AC3B-4270-A486-6354BBFB0814}"/>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FB25CB88-9C46-48F8-B992-DA722F470058}"/>
    <cellStyle name="Normal 5 2 4 2 6 2 2 3" xfId="25487" xr:uid="{14BA3CEB-29BA-420C-8906-199DE65D3C7A}"/>
    <cellStyle name="Normal 5 2 4 2 6 2 3" xfId="12835" xr:uid="{63906E2F-C261-4625-94A7-61786C2A198C}"/>
    <cellStyle name="Normal 5 2 4 2 6 2 4" xfId="21270" xr:uid="{BE06BF0B-D1F8-4A04-BAE0-1B3CE9B6D487}"/>
    <cellStyle name="Normal 5 2 4 2 6 3" xfId="6458" xr:uid="{00000000-0005-0000-0000-0000F7180000}"/>
    <cellStyle name="Normal 5 2 4 2 6 3 2" xfId="14908" xr:uid="{3E38A2D9-8209-4898-ADE3-A3863CE3500C}"/>
    <cellStyle name="Normal 5 2 4 2 6 3 3" xfId="23342" xr:uid="{07506AF7-E41C-4785-B981-336CC7F7BA40}"/>
    <cellStyle name="Normal 5 2 4 2 6 4" xfId="10690" xr:uid="{0F03AB78-2EFB-4802-B556-CB4845018A2B}"/>
    <cellStyle name="Normal 5 2 4 2 6 5" xfId="19125" xr:uid="{D1C5AC50-EEFD-4B6B-8F14-C2B37C0F60FE}"/>
    <cellStyle name="Normal 5 2 4 2 7" xfId="2588" xr:uid="{00000000-0005-0000-0000-0000F8180000}"/>
    <cellStyle name="Normal 5 2 4 2 7 2" xfId="6871" xr:uid="{00000000-0005-0000-0000-0000F9180000}"/>
    <cellStyle name="Normal 5 2 4 2 7 2 2" xfId="15321" xr:uid="{E0CEDA10-6676-4ED9-A467-226BD65160AB}"/>
    <cellStyle name="Normal 5 2 4 2 7 2 3" xfId="23755" xr:uid="{42ADB650-08A3-4420-A1F7-4A1626C30B21}"/>
    <cellStyle name="Normal 5 2 4 2 7 3" xfId="11103" xr:uid="{EBDC89A3-3B71-4CE7-AFCE-E1A9DF992113}"/>
    <cellStyle name="Normal 5 2 4 2 7 4" xfId="19538" xr:uid="{E820E133-0147-4C1D-A8A5-EC088CF38E31}"/>
    <cellStyle name="Normal 5 2 4 2 8" xfId="4806" xr:uid="{00000000-0005-0000-0000-0000FA180000}"/>
    <cellStyle name="Normal 5 2 4 2 8 2" xfId="13256" xr:uid="{739202FE-9322-4427-8C05-0D2695B7AFE5}"/>
    <cellStyle name="Normal 5 2 4 2 8 3" xfId="21690" xr:uid="{A1EC74CF-F130-4631-A6BA-373534E3B8DD}"/>
    <cellStyle name="Normal 5 2 4 2 9" xfId="9038" xr:uid="{D5040C12-445C-4755-9B46-922B513C27B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F5F91046-2229-4AFA-9B04-65FD82DD16C7}"/>
    <cellStyle name="Normal 5 2 4 3 2 2 2 3" xfId="24250" xr:uid="{DE52ECBC-62FE-4727-A360-91704DF82BBB}"/>
    <cellStyle name="Normal 5 2 4 3 2 2 3" xfId="11598" xr:uid="{7F074CE7-58AF-41A2-928B-D94B5EA24C30}"/>
    <cellStyle name="Normal 5 2 4 3 2 2 4" xfId="20033" xr:uid="{D8BFB0EF-8FE0-4C3F-9202-344226FEF50A}"/>
    <cellStyle name="Normal 5 2 4 3 2 3" xfId="5221" xr:uid="{00000000-0005-0000-0000-0000FF180000}"/>
    <cellStyle name="Normal 5 2 4 3 2 3 2" xfId="13671" xr:uid="{96C4B36F-8DC8-4B7B-8491-CABD7A0552EF}"/>
    <cellStyle name="Normal 5 2 4 3 2 3 3" xfId="22105" xr:uid="{62001A85-1340-4364-B632-03DFB080D3B4}"/>
    <cellStyle name="Normal 5 2 4 3 2 4" xfId="9453" xr:uid="{BBBE4C51-36E2-4BE6-A49F-767BC02C4F9A}"/>
    <cellStyle name="Normal 5 2 4 3 2 5" xfId="17888" xr:uid="{2C2E7F51-5148-42FB-AEA9-468FF68EDC8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A7D57806-DB52-48B0-9DCB-A81AEAC5B579}"/>
    <cellStyle name="Normal 5 2 4 3 3 2 2 3" xfId="24663" xr:uid="{BF2E7000-F6BC-4D08-B1E5-951864D8274C}"/>
    <cellStyle name="Normal 5 2 4 3 3 2 3" xfId="12011" xr:uid="{DE2A1FDE-6A06-44D6-A56F-C72E25995514}"/>
    <cellStyle name="Normal 5 2 4 3 3 2 4" xfId="20446" xr:uid="{AEE228CF-FACC-43BD-BB04-6B807E8E88EF}"/>
    <cellStyle name="Normal 5 2 4 3 3 3" xfId="5634" xr:uid="{00000000-0005-0000-0000-000003190000}"/>
    <cellStyle name="Normal 5 2 4 3 3 3 2" xfId="14084" xr:uid="{758FAA6D-6082-4081-A1B6-760188421FDC}"/>
    <cellStyle name="Normal 5 2 4 3 3 3 3" xfId="22518" xr:uid="{B511B4DD-054E-46A0-BD7A-9BBC2EEF0B02}"/>
    <cellStyle name="Normal 5 2 4 3 3 4" xfId="9866" xr:uid="{41228326-5587-41EE-81F5-C11B770059FD}"/>
    <cellStyle name="Normal 5 2 4 3 3 5" xfId="18301" xr:uid="{FBFE16F2-FB2C-48C6-990D-42E0B9EB8F48}"/>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CA2D10BD-30B2-4C02-B545-C41126E33698}"/>
    <cellStyle name="Normal 5 2 4 3 4 2 2 3" xfId="25076" xr:uid="{83D2A9BB-96D8-42C0-A280-29246FE63B8B}"/>
    <cellStyle name="Normal 5 2 4 3 4 2 3" xfId="12424" xr:uid="{ECB89666-B07D-43E7-B9C7-4DFEABD5F194}"/>
    <cellStyle name="Normal 5 2 4 3 4 2 4" xfId="20859" xr:uid="{993CAE46-62EB-4862-AB16-FBD462A310DF}"/>
    <cellStyle name="Normal 5 2 4 3 4 3" xfId="6047" xr:uid="{00000000-0005-0000-0000-000007190000}"/>
    <cellStyle name="Normal 5 2 4 3 4 3 2" xfId="14497" xr:uid="{EEB32492-1477-4142-9F27-8DAC14268F1F}"/>
    <cellStyle name="Normal 5 2 4 3 4 3 3" xfId="22931" xr:uid="{1EC2EDE8-3257-40E7-9B92-120375D87092}"/>
    <cellStyle name="Normal 5 2 4 3 4 4" xfId="10279" xr:uid="{FF53DAAA-599C-4047-BA5A-D97537FC3F20}"/>
    <cellStyle name="Normal 5 2 4 3 4 5" xfId="18714" xr:uid="{131B8B44-7D2A-4F32-AB98-2A3C4630C679}"/>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88952DAA-960C-452C-B8DF-8184EEAAF734}"/>
    <cellStyle name="Normal 5 2 4 3 5 2 2 3" xfId="25489" xr:uid="{CFC130AD-7E16-4E29-A5C0-B5B06F96FC7B}"/>
    <cellStyle name="Normal 5 2 4 3 5 2 3" xfId="12837" xr:uid="{94ED8F60-F413-4ACB-B985-3CF5E65B1444}"/>
    <cellStyle name="Normal 5 2 4 3 5 2 4" xfId="21272" xr:uid="{928A6F5C-39C1-4D01-989E-D58965A214F2}"/>
    <cellStyle name="Normal 5 2 4 3 5 3" xfId="6460" xr:uid="{00000000-0005-0000-0000-00000B190000}"/>
    <cellStyle name="Normal 5 2 4 3 5 3 2" xfId="14910" xr:uid="{56653A05-E90D-49BC-BC9D-94E1C164CCDF}"/>
    <cellStyle name="Normal 5 2 4 3 5 3 3" xfId="23344" xr:uid="{87916D86-3899-41F9-AABD-44C6BB888121}"/>
    <cellStyle name="Normal 5 2 4 3 5 4" xfId="10692" xr:uid="{74233DA0-9CF3-4D19-A32A-A78E11546A3A}"/>
    <cellStyle name="Normal 5 2 4 3 5 5" xfId="19127" xr:uid="{D2470977-44AE-4D92-A7E2-FD77327B4CAE}"/>
    <cellStyle name="Normal 5 2 4 3 6" xfId="2590" xr:uid="{00000000-0005-0000-0000-00000C190000}"/>
    <cellStyle name="Normal 5 2 4 3 6 2" xfId="6873" xr:uid="{00000000-0005-0000-0000-00000D190000}"/>
    <cellStyle name="Normal 5 2 4 3 6 2 2" xfId="15323" xr:uid="{471272F9-CBDC-44D2-87F6-1AD439C15CA8}"/>
    <cellStyle name="Normal 5 2 4 3 6 2 3" xfId="23757" xr:uid="{AB2C957A-67A3-48C9-B5A8-CB10C53FB5F7}"/>
    <cellStyle name="Normal 5 2 4 3 6 3" xfId="11105" xr:uid="{E5153CBA-F64A-4711-A8AD-97C2D8C39392}"/>
    <cellStyle name="Normal 5 2 4 3 6 4" xfId="19540" xr:uid="{5900FFBC-7CD4-4258-B8CC-C97A2F822DDA}"/>
    <cellStyle name="Normal 5 2 4 3 7" xfId="4808" xr:uid="{00000000-0005-0000-0000-00000E190000}"/>
    <cellStyle name="Normal 5 2 4 3 7 2" xfId="13258" xr:uid="{31465184-8897-49FB-B08C-DC4006EC0841}"/>
    <cellStyle name="Normal 5 2 4 3 7 3" xfId="21692" xr:uid="{F88DC5CC-0E21-484D-8B16-E5BA436B0301}"/>
    <cellStyle name="Normal 5 2 4 3 8" xfId="9040" xr:uid="{81C552AF-7138-480E-8D30-37BA296200FD}"/>
    <cellStyle name="Normal 5 2 4 3 9" xfId="17475" xr:uid="{2C206AF4-FAAE-4C84-822A-CFF69A28AA76}"/>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BE8AE429-E56A-4A01-8ABB-F6E384A57A12}"/>
    <cellStyle name="Normal 5 2 4 4 2 2 3" xfId="24247" xr:uid="{042FB2A4-6D65-499D-B393-B2443E87BD80}"/>
    <cellStyle name="Normal 5 2 4 4 2 3" xfId="11595" xr:uid="{BD6D9538-8DF6-413E-A335-23252F15E596}"/>
    <cellStyle name="Normal 5 2 4 4 2 4" xfId="20030" xr:uid="{524D643F-08BF-4A78-8DCF-6D3135F5A972}"/>
    <cellStyle name="Normal 5 2 4 4 3" xfId="5218" xr:uid="{00000000-0005-0000-0000-000012190000}"/>
    <cellStyle name="Normal 5 2 4 4 3 2" xfId="13668" xr:uid="{51832231-AAB9-4B7C-B554-BDE0B46A6016}"/>
    <cellStyle name="Normal 5 2 4 4 3 3" xfId="22102" xr:uid="{04ABDF27-681E-46FC-B250-432CA742E9A7}"/>
    <cellStyle name="Normal 5 2 4 4 4" xfId="9450" xr:uid="{931054E9-B233-4932-883E-01578794828A}"/>
    <cellStyle name="Normal 5 2 4 4 5" xfId="17885" xr:uid="{52246421-5DAE-4511-9A37-0D715E564006}"/>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49F5CC02-713D-4F3B-A886-D4405CC1D696}"/>
    <cellStyle name="Normal 5 2 4 5 2 2 3" xfId="24660" xr:uid="{A1AE6416-B615-425F-85A2-94CEA74EBA92}"/>
    <cellStyle name="Normal 5 2 4 5 2 3" xfId="12008" xr:uid="{DB2BC986-C54B-4DFA-9255-67DFD8562CC6}"/>
    <cellStyle name="Normal 5 2 4 5 2 4" xfId="20443" xr:uid="{FAD1184B-2EBD-414D-AAB7-C567E01B1562}"/>
    <cellStyle name="Normal 5 2 4 5 3" xfId="5631" xr:uid="{00000000-0005-0000-0000-000016190000}"/>
    <cellStyle name="Normal 5 2 4 5 3 2" xfId="14081" xr:uid="{8A8A23DE-40BE-4AAB-8D7B-B2854FD6BD25}"/>
    <cellStyle name="Normal 5 2 4 5 3 3" xfId="22515" xr:uid="{7A5C00D2-6DCA-4BEF-8701-353403031657}"/>
    <cellStyle name="Normal 5 2 4 5 4" xfId="9863" xr:uid="{A692E037-3678-404C-BB97-37CCA98A0F47}"/>
    <cellStyle name="Normal 5 2 4 5 5" xfId="18298" xr:uid="{C6F0DB75-4E9A-4AF8-9074-16CD12D38581}"/>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D9899452-073A-4AB9-B465-84733F5773FB}"/>
    <cellStyle name="Normal 5 2 4 6 2 2 3" xfId="25073" xr:uid="{E7ED80CE-0900-45DD-AE7F-741A215382F8}"/>
    <cellStyle name="Normal 5 2 4 6 2 3" xfId="12421" xr:uid="{F1E26EF5-1DD0-43BA-81CF-25F9CF8F4753}"/>
    <cellStyle name="Normal 5 2 4 6 2 4" xfId="20856" xr:uid="{1DC61FAC-F580-4193-A284-08D965C64753}"/>
    <cellStyle name="Normal 5 2 4 6 3" xfId="6044" xr:uid="{00000000-0005-0000-0000-00001A190000}"/>
    <cellStyle name="Normal 5 2 4 6 3 2" xfId="14494" xr:uid="{67970661-8911-41CB-99CA-73244590B77A}"/>
    <cellStyle name="Normal 5 2 4 6 3 3" xfId="22928" xr:uid="{E0596ABC-77C7-4D97-98B5-845639106564}"/>
    <cellStyle name="Normal 5 2 4 6 4" xfId="10276" xr:uid="{7E63B676-2F57-47E5-8FAB-1E0D0F3398AF}"/>
    <cellStyle name="Normal 5 2 4 6 5" xfId="18711" xr:uid="{8F1D64EF-66EE-4D49-A5E9-F94FC6F13A54}"/>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3EE6FCE4-20D6-465E-B05F-E88C60A41B65}"/>
    <cellStyle name="Normal 5 2 4 7 2 2 3" xfId="25486" xr:uid="{C5658C56-7ECC-48A8-9B7E-7CBAAB9F45B4}"/>
    <cellStyle name="Normal 5 2 4 7 2 3" xfId="12834" xr:uid="{C88C7769-5E5B-4006-B87D-B229F5F7E654}"/>
    <cellStyle name="Normal 5 2 4 7 2 4" xfId="21269" xr:uid="{3DC0441D-8B9C-4A83-B194-FB6B66A87E9E}"/>
    <cellStyle name="Normal 5 2 4 7 3" xfId="6457" xr:uid="{00000000-0005-0000-0000-00001E190000}"/>
    <cellStyle name="Normal 5 2 4 7 3 2" xfId="14907" xr:uid="{45B29439-19AE-46C7-A2CF-91EFFFB18DC3}"/>
    <cellStyle name="Normal 5 2 4 7 3 3" xfId="23341" xr:uid="{D378E9C3-8E48-4AB2-BACE-C65BA90BCC93}"/>
    <cellStyle name="Normal 5 2 4 7 4" xfId="10689" xr:uid="{35A841DA-2CAE-48BB-91AC-3C5444BC3BAD}"/>
    <cellStyle name="Normal 5 2 4 7 5" xfId="19124" xr:uid="{E5D1C8F1-7A5B-4DB4-A6EE-68F002A5DEC2}"/>
    <cellStyle name="Normal 5 2 4 8" xfId="2587" xr:uid="{00000000-0005-0000-0000-00001F190000}"/>
    <cellStyle name="Normal 5 2 4 8 2" xfId="6870" xr:uid="{00000000-0005-0000-0000-000020190000}"/>
    <cellStyle name="Normal 5 2 4 8 2 2" xfId="15320" xr:uid="{13C063FE-3936-4AFF-BF39-24F71094A4F3}"/>
    <cellStyle name="Normal 5 2 4 8 2 3" xfId="23754" xr:uid="{CA1968BB-FE54-4E96-8565-A3C0C82DE267}"/>
    <cellStyle name="Normal 5 2 4 8 3" xfId="11102" xr:uid="{002A886B-FC60-4551-BD50-B5B0A9E03840}"/>
    <cellStyle name="Normal 5 2 4 8 4" xfId="19537" xr:uid="{B2DEF510-92D7-4DA4-A692-7F6A4617B751}"/>
    <cellStyle name="Normal 5 2 4 9" xfId="4805" xr:uid="{00000000-0005-0000-0000-000021190000}"/>
    <cellStyle name="Normal 5 2 4 9 2" xfId="13255" xr:uid="{D39FB255-1B14-4DFB-9C8B-410FA778B0D7}"/>
    <cellStyle name="Normal 5 2 4 9 3" xfId="21689" xr:uid="{379C70EF-9809-419E-BA01-A402DDA0D11B}"/>
    <cellStyle name="Normal 5 2 5" xfId="436" xr:uid="{00000000-0005-0000-0000-000022190000}"/>
    <cellStyle name="Normal 5 2 5 10" xfId="17476" xr:uid="{9DA3CBB7-FA67-4678-A378-4CBADD89A3FE}"/>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484E6231-7190-408D-A02D-B66C13C4E1D7}"/>
    <cellStyle name="Normal 5 2 5 2 2 2 2 3" xfId="24252" xr:uid="{C7B006B1-6453-4EBB-B0C9-57F281F8C412}"/>
    <cellStyle name="Normal 5 2 5 2 2 2 3" xfId="11600" xr:uid="{E82053C0-B340-4ADC-8897-F98512CD1698}"/>
    <cellStyle name="Normal 5 2 5 2 2 2 4" xfId="20035" xr:uid="{235FC6BE-98D1-40EB-8DE0-AD36772C406B}"/>
    <cellStyle name="Normal 5 2 5 2 2 3" xfId="5223" xr:uid="{00000000-0005-0000-0000-000027190000}"/>
    <cellStyle name="Normal 5 2 5 2 2 3 2" xfId="13673" xr:uid="{DBEBF256-A994-40F8-8411-AED1CF5A46E5}"/>
    <cellStyle name="Normal 5 2 5 2 2 3 3" xfId="22107" xr:uid="{C3249369-FDB4-49A4-81CF-D1394792DF3A}"/>
    <cellStyle name="Normal 5 2 5 2 2 4" xfId="9455" xr:uid="{50194CDC-1199-4AF5-AA4B-1D2EF62306EB}"/>
    <cellStyle name="Normal 5 2 5 2 2 5" xfId="17890" xr:uid="{DD4261A6-2611-4DF4-B386-8472CC2E2CFA}"/>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32BAA317-C471-4C69-879A-00A6F717D25C}"/>
    <cellStyle name="Normal 5 2 5 2 3 2 2 3" xfId="24665" xr:uid="{E1793A86-675C-47FF-B9A0-178BB6AB80B3}"/>
    <cellStyle name="Normal 5 2 5 2 3 2 3" xfId="12013" xr:uid="{A84DA52A-7BCA-4D6A-B4AD-BFC8B9C3DF05}"/>
    <cellStyle name="Normal 5 2 5 2 3 2 4" xfId="20448" xr:uid="{546C5064-C9B5-41F3-BFF1-4E80703AA04D}"/>
    <cellStyle name="Normal 5 2 5 2 3 3" xfId="5636" xr:uid="{00000000-0005-0000-0000-00002B190000}"/>
    <cellStyle name="Normal 5 2 5 2 3 3 2" xfId="14086" xr:uid="{3482988F-6FAF-40A1-AC7C-7439157DFB37}"/>
    <cellStyle name="Normal 5 2 5 2 3 3 3" xfId="22520" xr:uid="{84115D82-9B93-49EA-99BA-96A7ADDEF85C}"/>
    <cellStyle name="Normal 5 2 5 2 3 4" xfId="9868" xr:uid="{71F2B413-1439-4ECC-84D9-6578657EC4BF}"/>
    <cellStyle name="Normal 5 2 5 2 3 5" xfId="18303" xr:uid="{AAF63465-0635-4CDC-95CA-9625006208CA}"/>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F1092D7F-5ED8-482E-9080-036031942A18}"/>
    <cellStyle name="Normal 5 2 5 2 4 2 2 3" xfId="25078" xr:uid="{A172B984-74E5-4F1F-AD0E-3A345A8D8F9A}"/>
    <cellStyle name="Normal 5 2 5 2 4 2 3" xfId="12426" xr:uid="{0D8209C8-B9C1-41A0-A990-EC12D6B8D7CF}"/>
    <cellStyle name="Normal 5 2 5 2 4 2 4" xfId="20861" xr:uid="{8EF473EF-3FA3-4ADD-AE9B-AF1C500D7278}"/>
    <cellStyle name="Normal 5 2 5 2 4 3" xfId="6049" xr:uid="{00000000-0005-0000-0000-00002F190000}"/>
    <cellStyle name="Normal 5 2 5 2 4 3 2" xfId="14499" xr:uid="{04E43849-AC7E-48DE-BFA3-CA3C30EC0E0A}"/>
    <cellStyle name="Normal 5 2 5 2 4 3 3" xfId="22933" xr:uid="{656A3E7E-A62E-4001-AFE1-13363AFD368F}"/>
    <cellStyle name="Normal 5 2 5 2 4 4" xfId="10281" xr:uid="{7B08A6B5-DD25-43C3-8921-B7BC746D2855}"/>
    <cellStyle name="Normal 5 2 5 2 4 5" xfId="18716" xr:uid="{BFE1A7B0-F5CC-4BB1-A5F7-54E5AC837439}"/>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623E27C-8740-46C8-9E2C-044DB671C987}"/>
    <cellStyle name="Normal 5 2 5 2 5 2 2 3" xfId="25491" xr:uid="{8BDCAE99-310D-40E3-93DB-FBCB168748DB}"/>
    <cellStyle name="Normal 5 2 5 2 5 2 3" xfId="12839" xr:uid="{DB628EBA-0C9F-4C9C-9E2C-48554162C3EB}"/>
    <cellStyle name="Normal 5 2 5 2 5 2 4" xfId="21274" xr:uid="{0632DDA0-AAC0-4DDD-9FFB-CCAEC8659899}"/>
    <cellStyle name="Normal 5 2 5 2 5 3" xfId="6462" xr:uid="{00000000-0005-0000-0000-000033190000}"/>
    <cellStyle name="Normal 5 2 5 2 5 3 2" xfId="14912" xr:uid="{9CB19D65-6E38-4558-9F4B-7E8158EBAD5C}"/>
    <cellStyle name="Normal 5 2 5 2 5 3 3" xfId="23346" xr:uid="{977B147F-8EB9-4074-ACFC-2AC19F11AB09}"/>
    <cellStyle name="Normal 5 2 5 2 5 4" xfId="10694" xr:uid="{6D55ABF2-02E1-4007-B57D-87758AED5F71}"/>
    <cellStyle name="Normal 5 2 5 2 5 5" xfId="19129" xr:uid="{53EFD4D9-3AD8-4C95-BE12-0E8693A702C4}"/>
    <cellStyle name="Normal 5 2 5 2 6" xfId="2592" xr:uid="{00000000-0005-0000-0000-000034190000}"/>
    <cellStyle name="Normal 5 2 5 2 6 2" xfId="6875" xr:uid="{00000000-0005-0000-0000-000035190000}"/>
    <cellStyle name="Normal 5 2 5 2 6 2 2" xfId="15325" xr:uid="{EA06E201-F341-45C1-B2C6-731DE82367A4}"/>
    <cellStyle name="Normal 5 2 5 2 6 2 3" xfId="23759" xr:uid="{1B806F7D-2704-41D5-B3F7-0F1A1CFC200A}"/>
    <cellStyle name="Normal 5 2 5 2 6 3" xfId="11107" xr:uid="{35A95FB8-6DF5-40D8-974A-4AD71BA30A84}"/>
    <cellStyle name="Normal 5 2 5 2 6 4" xfId="19542" xr:uid="{F5756EF8-7234-4ED4-8266-D341267A5C4A}"/>
    <cellStyle name="Normal 5 2 5 2 7" xfId="4810" xr:uid="{00000000-0005-0000-0000-000036190000}"/>
    <cellStyle name="Normal 5 2 5 2 7 2" xfId="13260" xr:uid="{67AAD8C3-2C06-4E05-9541-98971D60F575}"/>
    <cellStyle name="Normal 5 2 5 2 7 3" xfId="21694" xr:uid="{0AD21467-067E-48B7-86B5-134B0BCAE9E3}"/>
    <cellStyle name="Normal 5 2 5 2 8" xfId="9042" xr:uid="{FDFED990-B08D-4F3A-944C-E45F641CD44B}"/>
    <cellStyle name="Normal 5 2 5 2 9" xfId="17477" xr:uid="{C0BC8BBF-DB5C-407B-98A7-3CD8934C7338}"/>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E661E1C0-C22F-4BB9-8095-4B430E61690D}"/>
    <cellStyle name="Normal 5 2 5 3 2 2 3" xfId="24251" xr:uid="{3CF164F3-93D0-466D-ABBE-F7DB85A287F7}"/>
    <cellStyle name="Normal 5 2 5 3 2 3" xfId="11599" xr:uid="{ACC713A9-67D3-4774-A201-58D9934B8466}"/>
    <cellStyle name="Normal 5 2 5 3 2 4" xfId="20034" xr:uid="{C0FC941D-04E3-4724-A820-8B20B524229C}"/>
    <cellStyle name="Normal 5 2 5 3 3" xfId="5222" xr:uid="{00000000-0005-0000-0000-00003A190000}"/>
    <cellStyle name="Normal 5 2 5 3 3 2" xfId="13672" xr:uid="{00BCD548-6B4E-4020-B4F0-4180752223F8}"/>
    <cellStyle name="Normal 5 2 5 3 3 3" xfId="22106" xr:uid="{A9ECA17A-F639-402B-8313-F0C794F87D93}"/>
    <cellStyle name="Normal 5 2 5 3 4" xfId="9454" xr:uid="{ADAE21CD-86BF-4D50-8A31-69DE518C1A87}"/>
    <cellStyle name="Normal 5 2 5 3 5" xfId="17889" xr:uid="{75C233AE-640F-4175-AB54-4AB459C5878D}"/>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4F42E6B4-1A80-435A-B9A1-952E90C806BC}"/>
    <cellStyle name="Normal 5 2 5 4 2 2 3" xfId="24664" xr:uid="{04B1DFA4-A22A-4CEA-87AE-B9BBB6640ABC}"/>
    <cellStyle name="Normal 5 2 5 4 2 3" xfId="12012" xr:uid="{8923B295-6047-4A4E-8D49-32B8719CE26B}"/>
    <cellStyle name="Normal 5 2 5 4 2 4" xfId="20447" xr:uid="{6A87BEE2-1242-4B0A-BA0D-A0DAC6D2AB0F}"/>
    <cellStyle name="Normal 5 2 5 4 3" xfId="5635" xr:uid="{00000000-0005-0000-0000-00003E190000}"/>
    <cellStyle name="Normal 5 2 5 4 3 2" xfId="14085" xr:uid="{44556D74-A627-427C-9349-77FE1A332A04}"/>
    <cellStyle name="Normal 5 2 5 4 3 3" xfId="22519" xr:uid="{C843839E-64F3-44AB-BFA2-2E062990635B}"/>
    <cellStyle name="Normal 5 2 5 4 4" xfId="9867" xr:uid="{3EA3D016-2B6D-4E13-BD49-4CB3D5E0EB72}"/>
    <cellStyle name="Normal 5 2 5 4 5" xfId="18302" xr:uid="{0EB15C05-39F2-4F58-AABD-7266E95FED7F}"/>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67F7A7CE-9F4C-4A0A-ACF2-C3452B644DEF}"/>
    <cellStyle name="Normal 5 2 5 5 2 2 3" xfId="25077" xr:uid="{7E6E7846-6AA5-47A0-9BC4-430B7F0F5C59}"/>
    <cellStyle name="Normal 5 2 5 5 2 3" xfId="12425" xr:uid="{3E5D52CB-C6BE-4F23-BA8A-48F2C7A507CC}"/>
    <cellStyle name="Normal 5 2 5 5 2 4" xfId="20860" xr:uid="{B0E949A2-AA19-48F4-BDCA-DBBE2284CBA3}"/>
    <cellStyle name="Normal 5 2 5 5 3" xfId="6048" xr:uid="{00000000-0005-0000-0000-000042190000}"/>
    <cellStyle name="Normal 5 2 5 5 3 2" xfId="14498" xr:uid="{49D8AC3A-E0F1-4527-994C-E19F489DE6C9}"/>
    <cellStyle name="Normal 5 2 5 5 3 3" xfId="22932" xr:uid="{9AFB8E94-929C-4F43-8F2F-11F9FA765D18}"/>
    <cellStyle name="Normal 5 2 5 5 4" xfId="10280" xr:uid="{85CC92A0-8AD7-49F0-8BEA-846CD1717FBF}"/>
    <cellStyle name="Normal 5 2 5 5 5" xfId="18715" xr:uid="{D3EE5B78-4FC0-4992-BFAB-515219C1142A}"/>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0D1AF60F-3699-408D-BA17-28D2DE71DEF6}"/>
    <cellStyle name="Normal 5 2 5 6 2 2 3" xfId="25490" xr:uid="{61DB6E03-5286-47D3-A724-0A72972F4FDA}"/>
    <cellStyle name="Normal 5 2 5 6 2 3" xfId="12838" xr:uid="{A7EE5938-34F4-4D9A-A0ED-94158B5CECB2}"/>
    <cellStyle name="Normal 5 2 5 6 2 4" xfId="21273" xr:uid="{0DBD773C-95F8-47A3-AA39-6A92E4834CE0}"/>
    <cellStyle name="Normal 5 2 5 6 3" xfId="6461" xr:uid="{00000000-0005-0000-0000-000046190000}"/>
    <cellStyle name="Normal 5 2 5 6 3 2" xfId="14911" xr:uid="{B985B33B-B42A-468B-BC61-060B7A1304D4}"/>
    <cellStyle name="Normal 5 2 5 6 3 3" xfId="23345" xr:uid="{E8CCFC54-1770-48BA-8DC4-029B4F235019}"/>
    <cellStyle name="Normal 5 2 5 6 4" xfId="10693" xr:uid="{928C8071-1FEA-40A9-8654-100E04208FA9}"/>
    <cellStyle name="Normal 5 2 5 6 5" xfId="19128" xr:uid="{3F9604EC-D2B8-4E45-972B-4D03E3283DEB}"/>
    <cellStyle name="Normal 5 2 5 7" xfId="2591" xr:uid="{00000000-0005-0000-0000-000047190000}"/>
    <cellStyle name="Normal 5 2 5 7 2" xfId="6874" xr:uid="{00000000-0005-0000-0000-000048190000}"/>
    <cellStyle name="Normal 5 2 5 7 2 2" xfId="15324" xr:uid="{FC732C5A-9894-4E20-8424-BFC93644ABE2}"/>
    <cellStyle name="Normal 5 2 5 7 2 3" xfId="23758" xr:uid="{0E62D279-C264-4CA0-BD7A-3FC9E3012790}"/>
    <cellStyle name="Normal 5 2 5 7 3" xfId="11106" xr:uid="{0FE04C9C-7248-4C43-8703-F5657AC89940}"/>
    <cellStyle name="Normal 5 2 5 7 4" xfId="19541" xr:uid="{734F9887-F2AD-42A4-ACCD-D362AE3BBA95}"/>
    <cellStyle name="Normal 5 2 5 8" xfId="4809" xr:uid="{00000000-0005-0000-0000-000049190000}"/>
    <cellStyle name="Normal 5 2 5 8 2" xfId="13259" xr:uid="{91869C1C-C7CC-4786-888A-680116D45DF2}"/>
    <cellStyle name="Normal 5 2 5 8 3" xfId="21693" xr:uid="{F6A4A821-C9F0-473E-9697-79AE6EAFDC1B}"/>
    <cellStyle name="Normal 5 2 5 9" xfId="9041" xr:uid="{9A933CB6-27A3-4E15-9A7B-3D08B464E336}"/>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43B88517-089B-44B2-B2F0-7ADC7B6A3F3F}"/>
    <cellStyle name="Normal 5 2 6 2 2 2 3" xfId="24253" xr:uid="{6A70E1AE-E25F-4FF2-BB4B-DA1C9E403DCA}"/>
    <cellStyle name="Normal 5 2 6 2 2 3" xfId="11601" xr:uid="{D71236A7-1AE5-4369-838E-DA27C22230D7}"/>
    <cellStyle name="Normal 5 2 6 2 2 4" xfId="20036" xr:uid="{917D271D-C7EF-4B46-9F88-CF211F022CAF}"/>
    <cellStyle name="Normal 5 2 6 2 3" xfId="5224" xr:uid="{00000000-0005-0000-0000-00004E190000}"/>
    <cellStyle name="Normal 5 2 6 2 3 2" xfId="13674" xr:uid="{54516F2E-C967-4F49-A0CB-03A90C802DFD}"/>
    <cellStyle name="Normal 5 2 6 2 3 3" xfId="22108" xr:uid="{373A173B-22F0-476C-9A41-8C70B378CC5D}"/>
    <cellStyle name="Normal 5 2 6 2 4" xfId="9456" xr:uid="{07C611DD-C836-46B5-9F1B-D4E618678FC9}"/>
    <cellStyle name="Normal 5 2 6 2 5" xfId="17891" xr:uid="{5B0A0F44-FD41-4176-BDF3-703F5F9EC003}"/>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4AF4DCB1-763A-41A1-B0EA-E7176648079F}"/>
    <cellStyle name="Normal 5 2 6 3 2 2 3" xfId="24666" xr:uid="{74A8E252-DBFF-4603-9EDB-A1FEEA7FA487}"/>
    <cellStyle name="Normal 5 2 6 3 2 3" xfId="12014" xr:uid="{127D255D-19B1-4405-9EAB-5E4F17CC56CD}"/>
    <cellStyle name="Normal 5 2 6 3 2 4" xfId="20449" xr:uid="{9E6157CA-16AC-4CAA-8AD2-D4D02418DF57}"/>
    <cellStyle name="Normal 5 2 6 3 3" xfId="5637" xr:uid="{00000000-0005-0000-0000-000052190000}"/>
    <cellStyle name="Normal 5 2 6 3 3 2" xfId="14087" xr:uid="{4B65B440-9983-4E04-B2F2-DA9B5DD40CE3}"/>
    <cellStyle name="Normal 5 2 6 3 3 3" xfId="22521" xr:uid="{CB975AFD-AB75-4FAF-9EB4-6C85F834686F}"/>
    <cellStyle name="Normal 5 2 6 3 4" xfId="9869" xr:uid="{8F348D0F-25D5-48D4-8998-9A53B58C965E}"/>
    <cellStyle name="Normal 5 2 6 3 5" xfId="18304" xr:uid="{CFB3795A-F1E0-438F-9321-96FE34370119}"/>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CF659509-5804-4F86-A8C0-4EE6C7F5991B}"/>
    <cellStyle name="Normal 5 2 6 4 2 2 3" xfId="25079" xr:uid="{B3371386-8844-422F-9A7A-13924FFC770B}"/>
    <cellStyle name="Normal 5 2 6 4 2 3" xfId="12427" xr:uid="{AC8F53AF-04C5-4068-AE22-DDCF201BF5F9}"/>
    <cellStyle name="Normal 5 2 6 4 2 4" xfId="20862" xr:uid="{025F8E92-0C72-479B-A408-727ADD0C95FF}"/>
    <cellStyle name="Normal 5 2 6 4 3" xfId="6050" xr:uid="{00000000-0005-0000-0000-000056190000}"/>
    <cellStyle name="Normal 5 2 6 4 3 2" xfId="14500" xr:uid="{7F64A789-7745-4073-BFEE-83C2849D98DA}"/>
    <cellStyle name="Normal 5 2 6 4 3 3" xfId="22934" xr:uid="{465BA2D8-81D9-4EBD-858C-2D13F50173C6}"/>
    <cellStyle name="Normal 5 2 6 4 4" xfId="10282" xr:uid="{5FAFB9D7-EB8D-4D73-A560-D6E485D1CF70}"/>
    <cellStyle name="Normal 5 2 6 4 5" xfId="18717" xr:uid="{CD72270B-1E70-48F4-BB44-989621994CCA}"/>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4EC22C7E-EE71-4AD9-8E8D-893D05B53FC6}"/>
    <cellStyle name="Normal 5 2 6 5 2 2 3" xfId="25492" xr:uid="{82E1C6A1-2DFB-4158-9565-EA711E255DD3}"/>
    <cellStyle name="Normal 5 2 6 5 2 3" xfId="12840" xr:uid="{6DFF46A3-505B-419F-A263-4F37BFFCC928}"/>
    <cellStyle name="Normal 5 2 6 5 2 4" xfId="21275" xr:uid="{7ADEA633-F096-43D2-83DC-B7518A98ABE3}"/>
    <cellStyle name="Normal 5 2 6 5 3" xfId="6463" xr:uid="{00000000-0005-0000-0000-00005A190000}"/>
    <cellStyle name="Normal 5 2 6 5 3 2" xfId="14913" xr:uid="{402DD009-E1DA-4754-8D33-6AD3AEDFD2E9}"/>
    <cellStyle name="Normal 5 2 6 5 3 3" xfId="23347" xr:uid="{2B271C7D-0303-4A0A-9F83-861AB1A1BF28}"/>
    <cellStyle name="Normal 5 2 6 5 4" xfId="10695" xr:uid="{40F20FCC-28D4-4446-BABD-40D1255367FF}"/>
    <cellStyle name="Normal 5 2 6 5 5" xfId="19130" xr:uid="{E6AF4B95-C853-4AFA-9994-63C0D98EFF86}"/>
    <cellStyle name="Normal 5 2 6 6" xfId="2593" xr:uid="{00000000-0005-0000-0000-00005B190000}"/>
    <cellStyle name="Normal 5 2 6 6 2" xfId="6876" xr:uid="{00000000-0005-0000-0000-00005C190000}"/>
    <cellStyle name="Normal 5 2 6 6 2 2" xfId="15326" xr:uid="{45273372-35A2-458F-B41F-198FFB64EC46}"/>
    <cellStyle name="Normal 5 2 6 6 2 3" xfId="23760" xr:uid="{7C093899-B937-4AF6-AE58-4EAA29A15B6A}"/>
    <cellStyle name="Normal 5 2 6 6 3" xfId="11108" xr:uid="{7AAA2453-BB53-4DF0-9C1D-379FAE3FB606}"/>
    <cellStyle name="Normal 5 2 6 6 4" xfId="19543" xr:uid="{7404FF4F-0BB7-4566-A20C-2C1BC4BDEC48}"/>
    <cellStyle name="Normal 5 2 6 7" xfId="4811" xr:uid="{00000000-0005-0000-0000-00005D190000}"/>
    <cellStyle name="Normal 5 2 6 7 2" xfId="13261" xr:uid="{FA0BFAE8-82BE-419E-BC4C-23A7B0610144}"/>
    <cellStyle name="Normal 5 2 6 7 3" xfId="21695" xr:uid="{2FD3A41B-FA7B-4994-9C78-0A630C2BCB42}"/>
    <cellStyle name="Normal 5 2 6 8" xfId="9043" xr:uid="{0932E338-4DF6-49C1-AE41-4C5765FEC0E8}"/>
    <cellStyle name="Normal 5 2 6 9" xfId="17478" xr:uid="{DD189D42-68B3-42C6-83B6-8F1CFF449A25}"/>
    <cellStyle name="Normal 5 2 7" xfId="881" xr:uid="{00000000-0005-0000-0000-00005E190000}"/>
    <cellStyle name="Normal 5 2 7 2" xfId="3116" xr:uid="{00000000-0005-0000-0000-00005F190000}"/>
    <cellStyle name="Normal 5 2 7 2 2" xfId="7338" xr:uid="{00000000-0005-0000-0000-000060190000}"/>
    <cellStyle name="Normal 5 2 7 2 2 2" xfId="15788" xr:uid="{3979A48A-8DA1-4C21-9678-323B76A64153}"/>
    <cellStyle name="Normal 5 2 7 2 2 3" xfId="24222" xr:uid="{57EE5BAA-D562-4470-8DDB-05E307DC64D2}"/>
    <cellStyle name="Normal 5 2 7 2 3" xfId="11570" xr:uid="{07772BC5-E6CA-4E4B-9C96-F4C5D8CA1C23}"/>
    <cellStyle name="Normal 5 2 7 2 4" xfId="20005" xr:uid="{C926FF86-953D-4041-8AC3-CB5819D1E08A}"/>
    <cellStyle name="Normal 5 2 7 3" xfId="5193" xr:uid="{00000000-0005-0000-0000-000061190000}"/>
    <cellStyle name="Normal 5 2 7 3 2" xfId="13643" xr:uid="{4E9FF245-2679-413F-86FB-D32AAF0944C3}"/>
    <cellStyle name="Normal 5 2 7 3 3" xfId="22077" xr:uid="{AFDEE853-130F-4B00-95B0-C062E31E2567}"/>
    <cellStyle name="Normal 5 2 7 4" xfId="9425" xr:uid="{F45FEAB1-9CC8-446B-BAA0-B2E51E67E635}"/>
    <cellStyle name="Normal 5 2 7 5" xfId="17860" xr:uid="{DF7ADA10-C62E-4050-AFE1-CD84AAFD6453}"/>
    <cellStyle name="Normal 5 2 8" xfId="1299" xr:uid="{00000000-0005-0000-0000-000062190000}"/>
    <cellStyle name="Normal 5 2 8 2" xfId="3529" xr:uid="{00000000-0005-0000-0000-000063190000}"/>
    <cellStyle name="Normal 5 2 8 2 2" xfId="7751" xr:uid="{00000000-0005-0000-0000-000064190000}"/>
    <cellStyle name="Normal 5 2 8 2 2 2" xfId="16201" xr:uid="{60C5B919-EE05-4F59-ABD4-5FA9B14EE9D3}"/>
    <cellStyle name="Normal 5 2 8 2 2 3" xfId="24635" xr:uid="{B7CCCDD9-8A8B-4C19-9028-552DDDA6D136}"/>
    <cellStyle name="Normal 5 2 8 2 3" xfId="11983" xr:uid="{105032D1-B36F-421D-9D9A-8FCE9B8C2B7B}"/>
    <cellStyle name="Normal 5 2 8 2 4" xfId="20418" xr:uid="{7480FD42-E582-4737-97E8-FB907E4C5989}"/>
    <cellStyle name="Normal 5 2 8 3" xfId="5606" xr:uid="{00000000-0005-0000-0000-000065190000}"/>
    <cellStyle name="Normal 5 2 8 3 2" xfId="14056" xr:uid="{D3CCA0C5-05DF-41C2-8762-EA9F81395CBA}"/>
    <cellStyle name="Normal 5 2 8 3 3" xfId="22490" xr:uid="{D1372A63-F1B5-4AA6-AB31-8AFCD857D2D3}"/>
    <cellStyle name="Normal 5 2 8 4" xfId="9838" xr:uid="{9DB8395F-FA94-43ED-B56F-B1A4A7437305}"/>
    <cellStyle name="Normal 5 2 8 5" xfId="18273" xr:uid="{797B9BDA-A5AC-4226-BF2D-39BDC4563BB2}"/>
    <cellStyle name="Normal 5 2 9" xfId="1712" xr:uid="{00000000-0005-0000-0000-000066190000}"/>
    <cellStyle name="Normal 5 2 9 2" xfId="3942" xr:uid="{00000000-0005-0000-0000-000067190000}"/>
    <cellStyle name="Normal 5 2 9 2 2" xfId="8164" xr:uid="{00000000-0005-0000-0000-000068190000}"/>
    <cellStyle name="Normal 5 2 9 2 2 2" xfId="16614" xr:uid="{DB025FE7-F85C-4876-8FF9-F561DF51F9FF}"/>
    <cellStyle name="Normal 5 2 9 2 2 3" xfId="25048" xr:uid="{6A85A8FC-25CB-4422-AAD2-6481F167BB21}"/>
    <cellStyle name="Normal 5 2 9 2 3" xfId="12396" xr:uid="{9C5D87BF-6C53-49BA-A358-646ADA3DA35E}"/>
    <cellStyle name="Normal 5 2 9 2 4" xfId="20831" xr:uid="{5EC66073-207B-4C4C-8E0E-E6C28F1E3631}"/>
    <cellStyle name="Normal 5 2 9 3" xfId="6019" xr:uid="{00000000-0005-0000-0000-000069190000}"/>
    <cellStyle name="Normal 5 2 9 3 2" xfId="14469" xr:uid="{739C9C3E-8808-403F-94F5-C3BC2A548473}"/>
    <cellStyle name="Normal 5 2 9 3 3" xfId="22903" xr:uid="{F6B97999-D6FC-4032-AB26-D7DE5A016717}"/>
    <cellStyle name="Normal 5 2 9 4" xfId="10251" xr:uid="{BCAF2520-68EB-4F00-9973-EC6B684A35B0}"/>
    <cellStyle name="Normal 5 2 9 5" xfId="18686" xr:uid="{BA424883-2184-40F4-BEB0-DF8C8962F18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AE3C51F6-B76D-4BAC-B209-BDD6D338FC94}"/>
    <cellStyle name="Normal 5 3 10 2 2 3" xfId="25493" xr:uid="{74159927-C89D-4422-A1D5-CC878DE05130}"/>
    <cellStyle name="Normal 5 3 10 2 3" xfId="12841" xr:uid="{9BB48F81-54CE-4D36-8D2D-E54C597668A6}"/>
    <cellStyle name="Normal 5 3 10 2 4" xfId="21276" xr:uid="{B6CE217F-F3AE-42EA-8E78-0DCC641C394E}"/>
    <cellStyle name="Normal 5 3 10 3" xfId="6464" xr:uid="{00000000-0005-0000-0000-00006E190000}"/>
    <cellStyle name="Normal 5 3 10 3 2" xfId="14914" xr:uid="{E0FB2969-110C-4245-B24B-83289DA966FD}"/>
    <cellStyle name="Normal 5 3 10 3 3" xfId="23348" xr:uid="{C5C39A08-A88A-47FF-B9D1-04F26AF8D3B1}"/>
    <cellStyle name="Normal 5 3 10 4" xfId="10696" xr:uid="{320F7CB9-8BDF-43BF-8AEF-FE0061550DAB}"/>
    <cellStyle name="Normal 5 3 10 5" xfId="19131" xr:uid="{A788B927-2D2C-4692-A0C0-9D3859025F33}"/>
    <cellStyle name="Normal 5 3 11" xfId="2594" xr:uid="{00000000-0005-0000-0000-00006F190000}"/>
    <cellStyle name="Normal 5 3 11 2" xfId="6877" xr:uid="{00000000-0005-0000-0000-000070190000}"/>
    <cellStyle name="Normal 5 3 11 2 2" xfId="15327" xr:uid="{89D27C62-D8C3-4F3A-ABD7-36138845C481}"/>
    <cellStyle name="Normal 5 3 11 2 3" xfId="23761" xr:uid="{46A3FE9E-5B6E-4F99-9CAB-EDB1FFDD0F1A}"/>
    <cellStyle name="Normal 5 3 11 3" xfId="11109" xr:uid="{4ABA356F-BFE0-405B-A557-AD4C7059C4E0}"/>
    <cellStyle name="Normal 5 3 11 4" xfId="19544" xr:uid="{203C75E3-54B9-4B09-B922-55D5871F6E12}"/>
    <cellStyle name="Normal 5 3 12" xfId="4812" xr:uid="{00000000-0005-0000-0000-000071190000}"/>
    <cellStyle name="Normal 5 3 12 2" xfId="13262" xr:uid="{61F00FFD-9E3D-4B0E-8E87-2F47DFB759C8}"/>
    <cellStyle name="Normal 5 3 12 3" xfId="21696" xr:uid="{70A43B2F-514B-4FC1-9C6B-2D7655857FA0}"/>
    <cellStyle name="Normal 5 3 13" xfId="9044" xr:uid="{63E519F1-E18D-4B0F-B82D-6621C5824509}"/>
    <cellStyle name="Normal 5 3 14" xfId="17479" xr:uid="{59699DF2-3C56-4A55-BBF8-D43CA650FCE7}"/>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A13520F8-E140-40E5-BF92-C99F6FACE6DA}"/>
    <cellStyle name="Normal 5 3 3 10 3" xfId="21697" xr:uid="{D537FB01-723E-4D09-B173-CA9B05614102}"/>
    <cellStyle name="Normal 5 3 3 11" xfId="9045" xr:uid="{A09C482A-838C-4BE6-B225-7812042B8952}"/>
    <cellStyle name="Normal 5 3 3 12" xfId="17480" xr:uid="{6C73669F-D7CA-49CA-A859-5AEECF77560B}"/>
    <cellStyle name="Normal 5 3 3 2" xfId="442" xr:uid="{00000000-0005-0000-0000-000076190000}"/>
    <cellStyle name="Normal 5 3 3 2 10" xfId="9046" xr:uid="{542132FB-686B-4848-A8CE-9DD351070093}"/>
    <cellStyle name="Normal 5 3 3 2 11" xfId="17481" xr:uid="{3DF035B4-1216-43AF-B7B4-7B309BEB5FD9}"/>
    <cellStyle name="Normal 5 3 3 2 2" xfId="443" xr:uid="{00000000-0005-0000-0000-000077190000}"/>
    <cellStyle name="Normal 5 3 3 2 2 10" xfId="17482" xr:uid="{23924E60-6902-4235-8515-AAFCB27AD05A}"/>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BFDB7A7C-C1EC-4220-B806-2644720E2C6F}"/>
    <cellStyle name="Normal 5 3 3 2 2 2 2 2 2 3" xfId="24258" xr:uid="{32E88E02-646A-4733-87D6-2B5386108AE8}"/>
    <cellStyle name="Normal 5 3 3 2 2 2 2 2 3" xfId="11606" xr:uid="{AC848C2C-9423-4E44-B427-3A54F059B790}"/>
    <cellStyle name="Normal 5 3 3 2 2 2 2 2 4" xfId="20041" xr:uid="{B2B75F7D-5E7B-4D2A-B998-2D37C3C164F8}"/>
    <cellStyle name="Normal 5 3 3 2 2 2 2 3" xfId="5229" xr:uid="{00000000-0005-0000-0000-00007C190000}"/>
    <cellStyle name="Normal 5 3 3 2 2 2 2 3 2" xfId="13679" xr:uid="{D1B47BC4-48B2-4607-AAE0-67CD6074FB84}"/>
    <cellStyle name="Normal 5 3 3 2 2 2 2 3 3" xfId="22113" xr:uid="{E27AAD52-CB68-4D9B-B3D1-2E4E56132C07}"/>
    <cellStyle name="Normal 5 3 3 2 2 2 2 4" xfId="9461" xr:uid="{6DB5242D-EEFD-4617-9250-FF9FBB3723D1}"/>
    <cellStyle name="Normal 5 3 3 2 2 2 2 5" xfId="17896" xr:uid="{E1925C89-611B-4888-9AAB-D5E83873409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71EBD394-7E8D-46DC-A26D-11E4C3B2E7C4}"/>
    <cellStyle name="Normal 5 3 3 2 2 2 3 2 2 3" xfId="24671" xr:uid="{55A25434-5FD1-4723-8AB3-DA5B777B4370}"/>
    <cellStyle name="Normal 5 3 3 2 2 2 3 2 3" xfId="12019" xr:uid="{044B0C6B-CB5D-4AFC-9E4C-00FBF9EBFF47}"/>
    <cellStyle name="Normal 5 3 3 2 2 2 3 2 4" xfId="20454" xr:uid="{170EFD67-9D5F-4691-8741-E1203D7A6A5A}"/>
    <cellStyle name="Normal 5 3 3 2 2 2 3 3" xfId="5642" xr:uid="{00000000-0005-0000-0000-000080190000}"/>
    <cellStyle name="Normal 5 3 3 2 2 2 3 3 2" xfId="14092" xr:uid="{128DFA72-3752-43D5-B47F-B549225950CC}"/>
    <cellStyle name="Normal 5 3 3 2 2 2 3 3 3" xfId="22526" xr:uid="{20852DCC-9BF9-430B-A1CF-69B0B168B691}"/>
    <cellStyle name="Normal 5 3 3 2 2 2 3 4" xfId="9874" xr:uid="{F20C2305-CD17-47C2-897C-2BD8DD89FC9F}"/>
    <cellStyle name="Normal 5 3 3 2 2 2 3 5" xfId="18309" xr:uid="{B9E3231A-2EF8-4CB1-88E6-5FF53A8F055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2CDA7B26-6C96-4050-B81C-DC40BF7F2ED7}"/>
    <cellStyle name="Normal 5 3 3 2 2 2 4 2 2 3" xfId="25084" xr:uid="{6BEF147A-8132-4013-940B-ECBCD89F06EF}"/>
    <cellStyle name="Normal 5 3 3 2 2 2 4 2 3" xfId="12432" xr:uid="{2A975EB6-24C5-4034-8DD9-FA773712E51B}"/>
    <cellStyle name="Normal 5 3 3 2 2 2 4 2 4" xfId="20867" xr:uid="{B5561EF0-D429-46B9-982D-1ED496B03E55}"/>
    <cellStyle name="Normal 5 3 3 2 2 2 4 3" xfId="6055" xr:uid="{00000000-0005-0000-0000-000084190000}"/>
    <cellStyle name="Normal 5 3 3 2 2 2 4 3 2" xfId="14505" xr:uid="{23971241-C921-4D69-9B0D-8F866202B832}"/>
    <cellStyle name="Normal 5 3 3 2 2 2 4 3 3" xfId="22939" xr:uid="{ED64643A-A9F4-43B4-A4B0-7CDED2BF55EB}"/>
    <cellStyle name="Normal 5 3 3 2 2 2 4 4" xfId="10287" xr:uid="{B0C97D03-B2E0-4CEC-82E9-2013B6A08B3B}"/>
    <cellStyle name="Normal 5 3 3 2 2 2 4 5" xfId="18722" xr:uid="{0C940D5E-AC3C-4F27-95DE-5F667B775135}"/>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2677FDD8-CB95-4EFE-BE88-6BF62F27F381}"/>
    <cellStyle name="Normal 5 3 3 2 2 2 5 2 2 3" xfId="25497" xr:uid="{A6BFACFA-5DB1-460B-AB06-D68CA0D75C56}"/>
    <cellStyle name="Normal 5 3 3 2 2 2 5 2 3" xfId="12845" xr:uid="{6DA23851-65CD-4F8C-9393-7F9E78370700}"/>
    <cellStyle name="Normal 5 3 3 2 2 2 5 2 4" xfId="21280" xr:uid="{9FE68354-54DB-4EF7-A863-E6D10E6CBD69}"/>
    <cellStyle name="Normal 5 3 3 2 2 2 5 3" xfId="6468" xr:uid="{00000000-0005-0000-0000-000088190000}"/>
    <cellStyle name="Normal 5 3 3 2 2 2 5 3 2" xfId="14918" xr:uid="{6C925092-A5D7-4991-838A-048F71E73A56}"/>
    <cellStyle name="Normal 5 3 3 2 2 2 5 3 3" xfId="23352" xr:uid="{AE60A925-2AFF-4D78-9A87-B9264C8A4567}"/>
    <cellStyle name="Normal 5 3 3 2 2 2 5 4" xfId="10700" xr:uid="{9313C42F-86B6-4890-AD55-16F6FEE7729F}"/>
    <cellStyle name="Normal 5 3 3 2 2 2 5 5" xfId="19135" xr:uid="{7910D9A7-0588-45F0-BC0E-C86D0D2D4D2F}"/>
    <cellStyle name="Normal 5 3 3 2 2 2 6" xfId="2598" xr:uid="{00000000-0005-0000-0000-000089190000}"/>
    <cellStyle name="Normal 5 3 3 2 2 2 6 2" xfId="6881" xr:uid="{00000000-0005-0000-0000-00008A190000}"/>
    <cellStyle name="Normal 5 3 3 2 2 2 6 2 2" xfId="15331" xr:uid="{93484E1F-BECC-4EED-8A4B-7510C7FC2EE7}"/>
    <cellStyle name="Normal 5 3 3 2 2 2 6 2 3" xfId="23765" xr:uid="{EDA59E96-58DA-4FDD-9219-0706195FD49E}"/>
    <cellStyle name="Normal 5 3 3 2 2 2 6 3" xfId="11113" xr:uid="{16BA0F86-0A33-478C-B266-9942270B6DF2}"/>
    <cellStyle name="Normal 5 3 3 2 2 2 6 4" xfId="19548" xr:uid="{8AAAFC90-45E6-4106-8E64-5831349B4BCE}"/>
    <cellStyle name="Normal 5 3 3 2 2 2 7" xfId="4816" xr:uid="{00000000-0005-0000-0000-00008B190000}"/>
    <cellStyle name="Normal 5 3 3 2 2 2 7 2" xfId="13266" xr:uid="{987ECD99-76AD-4EAA-BCD5-B9088361FE48}"/>
    <cellStyle name="Normal 5 3 3 2 2 2 7 3" xfId="21700" xr:uid="{F1F92D83-7970-4B89-A7B4-48E4EBC7AD3A}"/>
    <cellStyle name="Normal 5 3 3 2 2 2 8" xfId="9048" xr:uid="{09B4785D-1025-4ECE-9EB1-A5EAAF46A7C8}"/>
    <cellStyle name="Normal 5 3 3 2 2 2 9" xfId="17483" xr:uid="{B5CEAE37-FC6B-4809-9960-4D93C2526CD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FE27FE5A-8E57-461B-8817-0FED2E92934F}"/>
    <cellStyle name="Normal 5 3 3 2 2 3 2 2 3" xfId="24257" xr:uid="{BBEB8E6F-0658-4EA4-8066-420E7620F1F3}"/>
    <cellStyle name="Normal 5 3 3 2 2 3 2 3" xfId="11605" xr:uid="{BE138C05-FA9C-4011-9FC0-841FBB75E7DD}"/>
    <cellStyle name="Normal 5 3 3 2 2 3 2 4" xfId="20040" xr:uid="{640BFA91-7210-4B95-A14A-6D1063D985AE}"/>
    <cellStyle name="Normal 5 3 3 2 2 3 3" xfId="5228" xr:uid="{00000000-0005-0000-0000-00008F190000}"/>
    <cellStyle name="Normal 5 3 3 2 2 3 3 2" xfId="13678" xr:uid="{B5A6EA7B-A9F9-41CC-B6E7-CA6E1DA3A910}"/>
    <cellStyle name="Normal 5 3 3 2 2 3 3 3" xfId="22112" xr:uid="{8A96F2BD-37BA-4BC7-95FF-123ADF5FCF5B}"/>
    <cellStyle name="Normal 5 3 3 2 2 3 4" xfId="9460" xr:uid="{D51D4A74-5619-4347-A5AB-28B682CBEE4F}"/>
    <cellStyle name="Normal 5 3 3 2 2 3 5" xfId="17895" xr:uid="{798F6DBE-BBD1-4BE1-B294-F9D6C364D314}"/>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C6E122BF-0CD9-4022-9045-C8C1C8F3B8AC}"/>
    <cellStyle name="Normal 5 3 3 2 2 4 2 2 3" xfId="24670" xr:uid="{26FB723A-F3EC-43C7-918D-D4BFD10C439C}"/>
    <cellStyle name="Normal 5 3 3 2 2 4 2 3" xfId="12018" xr:uid="{71966D61-E20D-4201-B22C-3E93F5242960}"/>
    <cellStyle name="Normal 5 3 3 2 2 4 2 4" xfId="20453" xr:uid="{E98A7246-7290-4C22-A997-A13FFCA6B3FA}"/>
    <cellStyle name="Normal 5 3 3 2 2 4 3" xfId="5641" xr:uid="{00000000-0005-0000-0000-000093190000}"/>
    <cellStyle name="Normal 5 3 3 2 2 4 3 2" xfId="14091" xr:uid="{F5366715-BFEE-4361-A72D-E5E498899589}"/>
    <cellStyle name="Normal 5 3 3 2 2 4 3 3" xfId="22525" xr:uid="{9E3723F7-D03B-411C-B50B-744D064568A6}"/>
    <cellStyle name="Normal 5 3 3 2 2 4 4" xfId="9873" xr:uid="{EF1D572D-ABB5-416C-802F-77C0A35DE2C9}"/>
    <cellStyle name="Normal 5 3 3 2 2 4 5" xfId="18308" xr:uid="{FB936291-A9A1-4938-838D-B38A5CDF69F2}"/>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184F9F03-4544-4DE3-8D91-0EF9C127497D}"/>
    <cellStyle name="Normal 5 3 3 2 2 5 2 2 3" xfId="25083" xr:uid="{9E0B49B3-B65D-43F4-A5BD-FCD696E7A9A1}"/>
    <cellStyle name="Normal 5 3 3 2 2 5 2 3" xfId="12431" xr:uid="{4102FCB3-28D6-4D6E-9995-E8945D8E436D}"/>
    <cellStyle name="Normal 5 3 3 2 2 5 2 4" xfId="20866" xr:uid="{45AE9C9F-CACD-4174-8530-07F953A3FA39}"/>
    <cellStyle name="Normal 5 3 3 2 2 5 3" xfId="6054" xr:uid="{00000000-0005-0000-0000-000097190000}"/>
    <cellStyle name="Normal 5 3 3 2 2 5 3 2" xfId="14504" xr:uid="{B62A5D2B-4A84-4E58-8C02-60C6327B82E1}"/>
    <cellStyle name="Normal 5 3 3 2 2 5 3 3" xfId="22938" xr:uid="{CC3B2A82-2499-489C-ABC8-41623917905B}"/>
    <cellStyle name="Normal 5 3 3 2 2 5 4" xfId="10286" xr:uid="{6779E82A-4A68-477F-B0A5-841B1D32725B}"/>
    <cellStyle name="Normal 5 3 3 2 2 5 5" xfId="18721" xr:uid="{12F18574-375F-4E60-9422-F59268EB4C6E}"/>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E8C5013F-9596-46F1-AA6B-7A040F127F63}"/>
    <cellStyle name="Normal 5 3 3 2 2 6 2 2 3" xfId="25496" xr:uid="{E1D806F1-2FF4-40F5-8C80-A9D83937C9F5}"/>
    <cellStyle name="Normal 5 3 3 2 2 6 2 3" xfId="12844" xr:uid="{3CC07B39-0459-4BEA-BE29-9E7F2B0DC308}"/>
    <cellStyle name="Normal 5 3 3 2 2 6 2 4" xfId="21279" xr:uid="{905A5021-C8FB-4462-A25B-99972880C8F8}"/>
    <cellStyle name="Normal 5 3 3 2 2 6 3" xfId="6467" xr:uid="{00000000-0005-0000-0000-00009B190000}"/>
    <cellStyle name="Normal 5 3 3 2 2 6 3 2" xfId="14917" xr:uid="{892A6862-E926-4CE7-9A5B-463A3AD3436B}"/>
    <cellStyle name="Normal 5 3 3 2 2 6 3 3" xfId="23351" xr:uid="{C234B4F7-5D90-4339-9B1F-E60DF204044C}"/>
    <cellStyle name="Normal 5 3 3 2 2 6 4" xfId="10699" xr:uid="{C00F055C-A4CD-47C2-9B3A-985C155F557C}"/>
    <cellStyle name="Normal 5 3 3 2 2 6 5" xfId="19134" xr:uid="{B8906A52-1D77-4E7A-A3B4-925D22EA3541}"/>
    <cellStyle name="Normal 5 3 3 2 2 7" xfId="2597" xr:uid="{00000000-0005-0000-0000-00009C190000}"/>
    <cellStyle name="Normal 5 3 3 2 2 7 2" xfId="6880" xr:uid="{00000000-0005-0000-0000-00009D190000}"/>
    <cellStyle name="Normal 5 3 3 2 2 7 2 2" xfId="15330" xr:uid="{4214DC9A-8290-4FD7-B089-5297583BCA25}"/>
    <cellStyle name="Normal 5 3 3 2 2 7 2 3" xfId="23764" xr:uid="{0AECB94F-67C5-4564-94A8-CE9CC7E5FBE2}"/>
    <cellStyle name="Normal 5 3 3 2 2 7 3" xfId="11112" xr:uid="{05D3E45E-E2BA-4FB8-8881-FA72CF56D64B}"/>
    <cellStyle name="Normal 5 3 3 2 2 7 4" xfId="19547" xr:uid="{D9C0908F-1E73-48E2-BE44-EE5B3152F9FB}"/>
    <cellStyle name="Normal 5 3 3 2 2 8" xfId="4815" xr:uid="{00000000-0005-0000-0000-00009E190000}"/>
    <cellStyle name="Normal 5 3 3 2 2 8 2" xfId="13265" xr:uid="{1B68C441-FA02-4D0E-9347-62DDAAA52CA1}"/>
    <cellStyle name="Normal 5 3 3 2 2 8 3" xfId="21699" xr:uid="{6B7BD404-13D5-4379-98AB-0E9B8BB24254}"/>
    <cellStyle name="Normal 5 3 3 2 2 9" xfId="9047" xr:uid="{996F60E9-AEC6-4BB3-A8C7-F7B5D85559B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125A7FC3-4EFC-4DAC-927B-C77CE1D3A88B}"/>
    <cellStyle name="Normal 5 3 3 2 3 2 2 2 3" xfId="24259" xr:uid="{C0C51460-25F0-4380-B132-3B25FCAE9723}"/>
    <cellStyle name="Normal 5 3 3 2 3 2 2 3" xfId="11607" xr:uid="{C734B3B7-6A8B-4F8B-AC80-B16FFF771C72}"/>
    <cellStyle name="Normal 5 3 3 2 3 2 2 4" xfId="20042" xr:uid="{AEABDC4D-D73A-4EB3-80F2-C7D2E222FD89}"/>
    <cellStyle name="Normal 5 3 3 2 3 2 3" xfId="5230" xr:uid="{00000000-0005-0000-0000-0000A3190000}"/>
    <cellStyle name="Normal 5 3 3 2 3 2 3 2" xfId="13680" xr:uid="{6C0FD8CE-BFF6-4C16-AE16-05067623B1DA}"/>
    <cellStyle name="Normal 5 3 3 2 3 2 3 3" xfId="22114" xr:uid="{3651A22B-9B57-4178-9DC4-7A9C3C066455}"/>
    <cellStyle name="Normal 5 3 3 2 3 2 4" xfId="9462" xr:uid="{13D1140F-A152-4AAE-9F4D-AB839BC1EAA3}"/>
    <cellStyle name="Normal 5 3 3 2 3 2 5" xfId="17897" xr:uid="{B7527382-CAAB-4A55-8D52-9A8A81FAE0A3}"/>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8AAC5DF5-4573-426F-A85F-B9D2A39967BD}"/>
    <cellStyle name="Normal 5 3 3 2 3 3 2 2 3" xfId="24672" xr:uid="{223A0F23-40B5-41AE-98FB-AD2F89E58D82}"/>
    <cellStyle name="Normal 5 3 3 2 3 3 2 3" xfId="12020" xr:uid="{3A29BF19-7DB7-46E3-9937-B74054EDF802}"/>
    <cellStyle name="Normal 5 3 3 2 3 3 2 4" xfId="20455" xr:uid="{BAECA1AC-3301-4261-A758-594C0443B812}"/>
    <cellStyle name="Normal 5 3 3 2 3 3 3" xfId="5643" xr:uid="{00000000-0005-0000-0000-0000A7190000}"/>
    <cellStyle name="Normal 5 3 3 2 3 3 3 2" xfId="14093" xr:uid="{4CC2DD4A-A14A-4B19-9E66-A31C613212BD}"/>
    <cellStyle name="Normal 5 3 3 2 3 3 3 3" xfId="22527" xr:uid="{72B80682-BE8C-49C0-BC0B-A8345D1648EB}"/>
    <cellStyle name="Normal 5 3 3 2 3 3 4" xfId="9875" xr:uid="{88231FA7-4EC9-4D1B-8958-5EE6FA1236DD}"/>
    <cellStyle name="Normal 5 3 3 2 3 3 5" xfId="18310" xr:uid="{7532842A-C3BE-4EE1-97EE-5468F49F859A}"/>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E570D0AB-AE12-4857-9B07-9DCF3D7F15FA}"/>
    <cellStyle name="Normal 5 3 3 2 3 4 2 2 3" xfId="25085" xr:uid="{F8C0ABF8-304A-4759-973B-86ED892E9CEF}"/>
    <cellStyle name="Normal 5 3 3 2 3 4 2 3" xfId="12433" xr:uid="{B85A2B75-75B8-497E-9199-E0A98518269E}"/>
    <cellStyle name="Normal 5 3 3 2 3 4 2 4" xfId="20868" xr:uid="{2E32BBA1-9020-4435-906C-A369FE252603}"/>
    <cellStyle name="Normal 5 3 3 2 3 4 3" xfId="6056" xr:uid="{00000000-0005-0000-0000-0000AB190000}"/>
    <cellStyle name="Normal 5 3 3 2 3 4 3 2" xfId="14506" xr:uid="{13E9765D-A276-4F10-B2CD-83E6DA09BFB3}"/>
    <cellStyle name="Normal 5 3 3 2 3 4 3 3" xfId="22940" xr:uid="{D93347A0-790E-4BC0-9F8B-1F17FD14B53E}"/>
    <cellStyle name="Normal 5 3 3 2 3 4 4" xfId="10288" xr:uid="{C67D093D-B0E9-41DC-892C-3B03BF2800BB}"/>
    <cellStyle name="Normal 5 3 3 2 3 4 5" xfId="18723" xr:uid="{14895639-F2C4-4670-8E6D-2D18AEB51AF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A1F2D390-BDDE-4F72-A0FE-41786864F845}"/>
    <cellStyle name="Normal 5 3 3 2 3 5 2 2 3" xfId="25498" xr:uid="{F0F448D5-8250-453E-8AD6-B713EFC6E045}"/>
    <cellStyle name="Normal 5 3 3 2 3 5 2 3" xfId="12846" xr:uid="{52E3C608-EAF8-489D-ABE5-CB81C50D4611}"/>
    <cellStyle name="Normal 5 3 3 2 3 5 2 4" xfId="21281" xr:uid="{069F755C-05F7-40F8-A20A-02129B1C6404}"/>
    <cellStyle name="Normal 5 3 3 2 3 5 3" xfId="6469" xr:uid="{00000000-0005-0000-0000-0000AF190000}"/>
    <cellStyle name="Normal 5 3 3 2 3 5 3 2" xfId="14919" xr:uid="{8DB8A1A8-8FAD-478A-8BDB-EC04E6C5EFBF}"/>
    <cellStyle name="Normal 5 3 3 2 3 5 3 3" xfId="23353" xr:uid="{28B554B9-CD5D-4578-9295-084523C230CA}"/>
    <cellStyle name="Normal 5 3 3 2 3 5 4" xfId="10701" xr:uid="{0308DA5F-08DD-4591-8A0E-F7E79E70407B}"/>
    <cellStyle name="Normal 5 3 3 2 3 5 5" xfId="19136" xr:uid="{FFCBAF8E-89D2-4F72-9DD9-87FFF6773506}"/>
    <cellStyle name="Normal 5 3 3 2 3 6" xfId="2599" xr:uid="{00000000-0005-0000-0000-0000B0190000}"/>
    <cellStyle name="Normal 5 3 3 2 3 6 2" xfId="6882" xr:uid="{00000000-0005-0000-0000-0000B1190000}"/>
    <cellStyle name="Normal 5 3 3 2 3 6 2 2" xfId="15332" xr:uid="{C8D9F59A-08FF-455E-8D24-EFEBFCD9FF1D}"/>
    <cellStyle name="Normal 5 3 3 2 3 6 2 3" xfId="23766" xr:uid="{527DE028-8AC4-4119-93A7-6F570BFE4D14}"/>
    <cellStyle name="Normal 5 3 3 2 3 6 3" xfId="11114" xr:uid="{815FFD46-30F7-41EE-B6C0-8C4BC16DEFCA}"/>
    <cellStyle name="Normal 5 3 3 2 3 6 4" xfId="19549" xr:uid="{4C6F5B31-C8E5-4384-B2AA-2B70B8222631}"/>
    <cellStyle name="Normal 5 3 3 2 3 7" xfId="4817" xr:uid="{00000000-0005-0000-0000-0000B2190000}"/>
    <cellStyle name="Normal 5 3 3 2 3 7 2" xfId="13267" xr:uid="{3765E26D-2F43-4C62-9ED8-7E64B666F04E}"/>
    <cellStyle name="Normal 5 3 3 2 3 7 3" xfId="21701" xr:uid="{1B2AF692-4EC8-4EFF-974A-CF8DEF59843B}"/>
    <cellStyle name="Normal 5 3 3 2 3 8" xfId="9049" xr:uid="{50986BC4-B08E-4EAC-89C7-2F04D370DB72}"/>
    <cellStyle name="Normal 5 3 3 2 3 9" xfId="17484" xr:uid="{7D7793B5-C399-40F5-A5D8-24B49571AFB9}"/>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58AC8803-50CF-4CD0-8AF1-A040B2AC9026}"/>
    <cellStyle name="Normal 5 3 3 2 4 2 2 3" xfId="24256" xr:uid="{082D7170-E749-4FAC-A3FC-12BE1BCC10F5}"/>
    <cellStyle name="Normal 5 3 3 2 4 2 3" xfId="11604" xr:uid="{67A8A97E-13C3-4223-9A75-45AA04A893C4}"/>
    <cellStyle name="Normal 5 3 3 2 4 2 4" xfId="20039" xr:uid="{169348C7-EE82-4F19-9138-43CC326E328C}"/>
    <cellStyle name="Normal 5 3 3 2 4 3" xfId="5227" xr:uid="{00000000-0005-0000-0000-0000B6190000}"/>
    <cellStyle name="Normal 5 3 3 2 4 3 2" xfId="13677" xr:uid="{34DE58EF-B128-44A4-8B2B-EF457771F87A}"/>
    <cellStyle name="Normal 5 3 3 2 4 3 3" xfId="22111" xr:uid="{34147C86-59C6-4C19-AB81-4BFE54684E38}"/>
    <cellStyle name="Normal 5 3 3 2 4 4" xfId="9459" xr:uid="{C7AFACE6-BB54-4F77-8105-68598BCEDE7B}"/>
    <cellStyle name="Normal 5 3 3 2 4 5" xfId="17894" xr:uid="{3E43C76C-1D46-41A3-95A1-BF3B72FA2A9D}"/>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24EFA0C5-9E77-403B-A235-8C10160FC53F}"/>
    <cellStyle name="Normal 5 3 3 2 5 2 2 3" xfId="24669" xr:uid="{B4856C3E-4A80-4A62-AEE3-CFD028D712B7}"/>
    <cellStyle name="Normal 5 3 3 2 5 2 3" xfId="12017" xr:uid="{A5EEFE31-F021-42B7-986C-D08C58D3750B}"/>
    <cellStyle name="Normal 5 3 3 2 5 2 4" xfId="20452" xr:uid="{7B90F44E-1179-4135-A6D8-152AC0697D31}"/>
    <cellStyle name="Normal 5 3 3 2 5 3" xfId="5640" xr:uid="{00000000-0005-0000-0000-0000BA190000}"/>
    <cellStyle name="Normal 5 3 3 2 5 3 2" xfId="14090" xr:uid="{23319A3B-B2F1-4C8A-97EC-F825716BE63A}"/>
    <cellStyle name="Normal 5 3 3 2 5 3 3" xfId="22524" xr:uid="{571AE855-3336-4E7E-A353-BAFD9C761E8C}"/>
    <cellStyle name="Normal 5 3 3 2 5 4" xfId="9872" xr:uid="{FA917677-8336-4F2C-8602-BBF4F55965EE}"/>
    <cellStyle name="Normal 5 3 3 2 5 5" xfId="18307" xr:uid="{5526732D-49AB-490C-AC84-6BC47C177DB5}"/>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CF0B9736-1059-4C7A-B815-7C6B67450D20}"/>
    <cellStyle name="Normal 5 3 3 2 6 2 2 3" xfId="25082" xr:uid="{ABD05F0B-F28D-4C43-B7AD-53450ED75390}"/>
    <cellStyle name="Normal 5 3 3 2 6 2 3" xfId="12430" xr:uid="{8C828FA3-8DE3-464E-BA57-0D0519CC6D59}"/>
    <cellStyle name="Normal 5 3 3 2 6 2 4" xfId="20865" xr:uid="{A65F1338-2497-4F21-845A-26C6A358B6EC}"/>
    <cellStyle name="Normal 5 3 3 2 6 3" xfId="6053" xr:uid="{00000000-0005-0000-0000-0000BE190000}"/>
    <cellStyle name="Normal 5 3 3 2 6 3 2" xfId="14503" xr:uid="{AEC6E43F-2966-42A8-9A8E-700D0ACF0E06}"/>
    <cellStyle name="Normal 5 3 3 2 6 3 3" xfId="22937" xr:uid="{8787ED46-1AB1-4FF1-B1E5-5D69741C55AA}"/>
    <cellStyle name="Normal 5 3 3 2 6 4" xfId="10285" xr:uid="{924A5A07-44BF-48EE-B3E3-D9F7C34A057B}"/>
    <cellStyle name="Normal 5 3 3 2 6 5" xfId="18720" xr:uid="{F32CD454-3077-424B-9C89-36487D480ECB}"/>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A6B6D266-7108-4134-9265-C441766B94FA}"/>
    <cellStyle name="Normal 5 3 3 2 7 2 2 3" xfId="25495" xr:uid="{82008CBA-D0B9-4086-A8A2-0C7109D8DD90}"/>
    <cellStyle name="Normal 5 3 3 2 7 2 3" xfId="12843" xr:uid="{EE1FFEF3-CF03-43F8-9BCB-C3DD9FCE5C6A}"/>
    <cellStyle name="Normal 5 3 3 2 7 2 4" xfId="21278" xr:uid="{9285931E-5B9C-4C75-BB66-5091467C4E9E}"/>
    <cellStyle name="Normal 5 3 3 2 7 3" xfId="6466" xr:uid="{00000000-0005-0000-0000-0000C2190000}"/>
    <cellStyle name="Normal 5 3 3 2 7 3 2" xfId="14916" xr:uid="{AAD5E81B-92B4-47ED-AA20-C26BB5F81C3B}"/>
    <cellStyle name="Normal 5 3 3 2 7 3 3" xfId="23350" xr:uid="{1301A2DC-805A-4B0E-9528-00A45B9214C6}"/>
    <cellStyle name="Normal 5 3 3 2 7 4" xfId="10698" xr:uid="{5F141BF0-4624-4031-B882-756D5219A77F}"/>
    <cellStyle name="Normal 5 3 3 2 7 5" xfId="19133" xr:uid="{BC1157F0-D36F-4B54-AA93-87848D40C04F}"/>
    <cellStyle name="Normal 5 3 3 2 8" xfId="2596" xr:uid="{00000000-0005-0000-0000-0000C3190000}"/>
    <cellStyle name="Normal 5 3 3 2 8 2" xfId="6879" xr:uid="{00000000-0005-0000-0000-0000C4190000}"/>
    <cellStyle name="Normal 5 3 3 2 8 2 2" xfId="15329" xr:uid="{6CBB6F1C-BA0A-492C-8D64-D34F06662CE9}"/>
    <cellStyle name="Normal 5 3 3 2 8 2 3" xfId="23763" xr:uid="{27982A7D-AABC-4CEF-9D07-BC244CACF835}"/>
    <cellStyle name="Normal 5 3 3 2 8 3" xfId="11111" xr:uid="{612922E2-6102-48D8-9EB0-4B5ECBF9302B}"/>
    <cellStyle name="Normal 5 3 3 2 8 4" xfId="19546" xr:uid="{8CEC380D-E0C1-4E6B-9C67-EE39BA860EDA}"/>
    <cellStyle name="Normal 5 3 3 2 9" xfId="4814" xr:uid="{00000000-0005-0000-0000-0000C5190000}"/>
    <cellStyle name="Normal 5 3 3 2 9 2" xfId="13264" xr:uid="{CBED9899-06D4-4B0C-9CE1-7574F862E023}"/>
    <cellStyle name="Normal 5 3 3 2 9 3" xfId="21698" xr:uid="{552025BF-023D-406C-B52C-C2091BA59AA8}"/>
    <cellStyle name="Normal 5 3 3 3" xfId="446" xr:uid="{00000000-0005-0000-0000-0000C6190000}"/>
    <cellStyle name="Normal 5 3 3 3 10" xfId="17485" xr:uid="{F1C8AB22-8538-4105-AAE0-2EEE163E2FE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7028906-2D84-4E01-AB2C-96FE0627649D}"/>
    <cellStyle name="Normal 5 3 3 3 2 2 2 2 3" xfId="24261" xr:uid="{90DD7608-4D24-40A8-8BBF-6F93119A8079}"/>
    <cellStyle name="Normal 5 3 3 3 2 2 2 3" xfId="11609" xr:uid="{FE85E7A3-6405-404D-B34B-B93AEB25D6A4}"/>
    <cellStyle name="Normal 5 3 3 3 2 2 2 4" xfId="20044" xr:uid="{BA396964-2ED0-405F-AE09-94DAAD4039AB}"/>
    <cellStyle name="Normal 5 3 3 3 2 2 3" xfId="5232" xr:uid="{00000000-0005-0000-0000-0000CB190000}"/>
    <cellStyle name="Normal 5 3 3 3 2 2 3 2" xfId="13682" xr:uid="{D50EA069-E92E-4044-8CA5-12A4060F7F4E}"/>
    <cellStyle name="Normal 5 3 3 3 2 2 3 3" xfId="22116" xr:uid="{25B4367C-3C4F-4494-971B-C4E4C9824C6E}"/>
    <cellStyle name="Normal 5 3 3 3 2 2 4" xfId="9464" xr:uid="{823D5C78-B212-442E-99D0-8FD876EA1B33}"/>
    <cellStyle name="Normal 5 3 3 3 2 2 5" xfId="17899" xr:uid="{58B6A69C-49B1-4680-98E8-3E9B8B18103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F3205033-104D-45A8-BFBB-30F0233FB49D}"/>
    <cellStyle name="Normal 5 3 3 3 2 3 2 2 3" xfId="24674" xr:uid="{C61C50CF-5F9B-438F-8309-B5D76EFC2EE1}"/>
    <cellStyle name="Normal 5 3 3 3 2 3 2 3" xfId="12022" xr:uid="{595528A3-D125-426A-9E37-3352012A320A}"/>
    <cellStyle name="Normal 5 3 3 3 2 3 2 4" xfId="20457" xr:uid="{A018F3EA-6280-4938-A221-1310E8FFAC7A}"/>
    <cellStyle name="Normal 5 3 3 3 2 3 3" xfId="5645" xr:uid="{00000000-0005-0000-0000-0000CF190000}"/>
    <cellStyle name="Normal 5 3 3 3 2 3 3 2" xfId="14095" xr:uid="{41F82902-7694-4F13-9097-735EEF2E80B3}"/>
    <cellStyle name="Normal 5 3 3 3 2 3 3 3" xfId="22529" xr:uid="{06C2A142-E237-4B21-86BE-451585ABF990}"/>
    <cellStyle name="Normal 5 3 3 3 2 3 4" xfId="9877" xr:uid="{AC62C704-7C5B-4ACD-AC91-CCB598ACB2DC}"/>
    <cellStyle name="Normal 5 3 3 3 2 3 5" xfId="18312" xr:uid="{D24EEBA8-27B5-4135-80C9-F8717E87937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5659A966-8E11-4337-AA2C-EABAF045B8AA}"/>
    <cellStyle name="Normal 5 3 3 3 2 4 2 2 3" xfId="25087" xr:uid="{91CC8362-A0C7-4F33-8F64-7CEA51F95FBF}"/>
    <cellStyle name="Normal 5 3 3 3 2 4 2 3" xfId="12435" xr:uid="{E2705080-86FE-4E7D-860B-066C2E9DF7E7}"/>
    <cellStyle name="Normal 5 3 3 3 2 4 2 4" xfId="20870" xr:uid="{C73C7958-1DA3-47DE-801B-84F2FE672DCF}"/>
    <cellStyle name="Normal 5 3 3 3 2 4 3" xfId="6058" xr:uid="{00000000-0005-0000-0000-0000D3190000}"/>
    <cellStyle name="Normal 5 3 3 3 2 4 3 2" xfId="14508" xr:uid="{3A579E37-4C55-4BA5-BA26-9367365BF0BB}"/>
    <cellStyle name="Normal 5 3 3 3 2 4 3 3" xfId="22942" xr:uid="{013BFDCF-9096-441C-81A8-A1FC0CB84A42}"/>
    <cellStyle name="Normal 5 3 3 3 2 4 4" xfId="10290" xr:uid="{AC223B92-7A38-4C6A-A936-0ACF8A8A9B90}"/>
    <cellStyle name="Normal 5 3 3 3 2 4 5" xfId="18725" xr:uid="{8F4E3BC3-C278-47BE-8F09-15E486CDD87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4BF2A079-F516-4178-8721-8882020A2F42}"/>
    <cellStyle name="Normal 5 3 3 3 2 5 2 2 3" xfId="25500" xr:uid="{0CDD2DE9-E15F-42B8-BF85-F5BF9B8DF21B}"/>
    <cellStyle name="Normal 5 3 3 3 2 5 2 3" xfId="12848" xr:uid="{2AE4E511-6A0C-4E0E-8313-7EBBF0161B2B}"/>
    <cellStyle name="Normal 5 3 3 3 2 5 2 4" xfId="21283" xr:uid="{9EE90824-98CB-4135-B76A-271503A90E84}"/>
    <cellStyle name="Normal 5 3 3 3 2 5 3" xfId="6471" xr:uid="{00000000-0005-0000-0000-0000D7190000}"/>
    <cellStyle name="Normal 5 3 3 3 2 5 3 2" xfId="14921" xr:uid="{9792C306-E14F-4756-8E69-951CF081D7AA}"/>
    <cellStyle name="Normal 5 3 3 3 2 5 3 3" xfId="23355" xr:uid="{4AB10FB6-F14D-4463-A92A-59E526552C71}"/>
    <cellStyle name="Normal 5 3 3 3 2 5 4" xfId="10703" xr:uid="{12F8DC01-4798-49E4-8A0D-BE939A57FA58}"/>
    <cellStyle name="Normal 5 3 3 3 2 5 5" xfId="19138" xr:uid="{6C4DB0B4-44EA-4718-B01F-241CCC8E4F87}"/>
    <cellStyle name="Normal 5 3 3 3 2 6" xfId="2601" xr:uid="{00000000-0005-0000-0000-0000D8190000}"/>
    <cellStyle name="Normal 5 3 3 3 2 6 2" xfId="6884" xr:uid="{00000000-0005-0000-0000-0000D9190000}"/>
    <cellStyle name="Normal 5 3 3 3 2 6 2 2" xfId="15334" xr:uid="{608AC3D0-C3EE-4372-8D3F-9F48CCA251D9}"/>
    <cellStyle name="Normal 5 3 3 3 2 6 2 3" xfId="23768" xr:uid="{80EF6CD9-2BE4-4132-8449-07A9764498F7}"/>
    <cellStyle name="Normal 5 3 3 3 2 6 3" xfId="11116" xr:uid="{33D6D77A-1ACC-4E77-BE54-5EA95343B069}"/>
    <cellStyle name="Normal 5 3 3 3 2 6 4" xfId="19551" xr:uid="{E09ABFC8-2A1E-4911-BDC4-30F8FCF96EA6}"/>
    <cellStyle name="Normal 5 3 3 3 2 7" xfId="4819" xr:uid="{00000000-0005-0000-0000-0000DA190000}"/>
    <cellStyle name="Normal 5 3 3 3 2 7 2" xfId="13269" xr:uid="{4F79B95C-8204-456F-B89B-C118BF86AE56}"/>
    <cellStyle name="Normal 5 3 3 3 2 7 3" xfId="21703" xr:uid="{E1C03B75-864D-49AD-83B5-1845635433C9}"/>
    <cellStyle name="Normal 5 3 3 3 2 8" xfId="9051" xr:uid="{D0743EF3-A284-443F-87E9-62AC3ECAE908}"/>
    <cellStyle name="Normal 5 3 3 3 2 9" xfId="17486" xr:uid="{D2C63EF8-B62D-4A97-A7C5-86208264286C}"/>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8390FD4B-F151-4A55-B0A9-FFCAFD50B95E}"/>
    <cellStyle name="Normal 5 3 3 3 3 2 2 3" xfId="24260" xr:uid="{9A3ACB87-7E29-438B-B6D6-F7FC4C99327E}"/>
    <cellStyle name="Normal 5 3 3 3 3 2 3" xfId="11608" xr:uid="{09E42D8F-978C-4415-A3F1-6F768139218F}"/>
    <cellStyle name="Normal 5 3 3 3 3 2 4" xfId="20043" xr:uid="{1595AD59-B73E-4DC7-BBD8-A74A001ADB8F}"/>
    <cellStyle name="Normal 5 3 3 3 3 3" xfId="5231" xr:uid="{00000000-0005-0000-0000-0000DE190000}"/>
    <cellStyle name="Normal 5 3 3 3 3 3 2" xfId="13681" xr:uid="{B6A69818-D03D-4A1A-84A9-AAD2CB912AF9}"/>
    <cellStyle name="Normal 5 3 3 3 3 3 3" xfId="22115" xr:uid="{3628719F-D899-4428-831D-D29C1051EA90}"/>
    <cellStyle name="Normal 5 3 3 3 3 4" xfId="9463" xr:uid="{A95E03FF-8406-4B82-9CF3-23098F737945}"/>
    <cellStyle name="Normal 5 3 3 3 3 5" xfId="17898" xr:uid="{24D3E128-36DD-4F7A-9A8A-EDB32D23DE6D}"/>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0A50AD3B-ED57-4C69-8EDD-4BDE4FCB1809}"/>
    <cellStyle name="Normal 5 3 3 3 4 2 2 3" xfId="24673" xr:uid="{39AC7867-DE36-4184-A127-12E741FF7B29}"/>
    <cellStyle name="Normal 5 3 3 3 4 2 3" xfId="12021" xr:uid="{EDE09C57-15E8-47C2-B05B-729B816F0D4F}"/>
    <cellStyle name="Normal 5 3 3 3 4 2 4" xfId="20456" xr:uid="{8AA3F1AF-2985-412A-8694-C8C149F19912}"/>
    <cellStyle name="Normal 5 3 3 3 4 3" xfId="5644" xr:uid="{00000000-0005-0000-0000-0000E2190000}"/>
    <cellStyle name="Normal 5 3 3 3 4 3 2" xfId="14094" xr:uid="{CFD83D8D-3710-40D1-8DEB-42A23CCB375C}"/>
    <cellStyle name="Normal 5 3 3 3 4 3 3" xfId="22528" xr:uid="{C9E1E1AF-163D-4980-9808-96231062206B}"/>
    <cellStyle name="Normal 5 3 3 3 4 4" xfId="9876" xr:uid="{E53AE5AC-ABD4-4605-A009-FFB393AC21A2}"/>
    <cellStyle name="Normal 5 3 3 3 4 5" xfId="18311" xr:uid="{F906EEC3-4DD5-4424-B0BD-9660E14D50DC}"/>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3CF56D69-11C5-4E12-AAB5-2F3CB5A2899F}"/>
    <cellStyle name="Normal 5 3 3 3 5 2 2 3" xfId="25086" xr:uid="{0D6AFE1B-37CC-45EB-804B-0F1CF03E8C74}"/>
    <cellStyle name="Normal 5 3 3 3 5 2 3" xfId="12434" xr:uid="{5FFF0D23-D782-4173-BBAF-D023C5212FF4}"/>
    <cellStyle name="Normal 5 3 3 3 5 2 4" xfId="20869" xr:uid="{520EAEE8-8A9D-460D-B724-19D0EEB25DFF}"/>
    <cellStyle name="Normal 5 3 3 3 5 3" xfId="6057" xr:uid="{00000000-0005-0000-0000-0000E6190000}"/>
    <cellStyle name="Normal 5 3 3 3 5 3 2" xfId="14507" xr:uid="{29FF2E8D-B818-4155-84FB-BD25A56CB5BF}"/>
    <cellStyle name="Normal 5 3 3 3 5 3 3" xfId="22941" xr:uid="{60AD7F38-E143-4213-A0A8-1CB9690A65A2}"/>
    <cellStyle name="Normal 5 3 3 3 5 4" xfId="10289" xr:uid="{92EC2ADC-6986-434D-8009-30A6770C922B}"/>
    <cellStyle name="Normal 5 3 3 3 5 5" xfId="18724" xr:uid="{C9209777-BA7B-4412-AF87-3D2C9D0548A5}"/>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CF7AD139-35E9-4B27-A242-395E25DAABC7}"/>
    <cellStyle name="Normal 5 3 3 3 6 2 2 3" xfId="25499" xr:uid="{C374AD15-6BB2-4881-8E12-C86C92355C8B}"/>
    <cellStyle name="Normal 5 3 3 3 6 2 3" xfId="12847" xr:uid="{BDB87322-568F-4DC9-8AD5-CB66A1B77551}"/>
    <cellStyle name="Normal 5 3 3 3 6 2 4" xfId="21282" xr:uid="{2544A3BC-86B9-4CD5-8E16-C03BB9368BE6}"/>
    <cellStyle name="Normal 5 3 3 3 6 3" xfId="6470" xr:uid="{00000000-0005-0000-0000-0000EA190000}"/>
    <cellStyle name="Normal 5 3 3 3 6 3 2" xfId="14920" xr:uid="{25813A43-C046-4C28-82B3-B234452A87D0}"/>
    <cellStyle name="Normal 5 3 3 3 6 3 3" xfId="23354" xr:uid="{39B26E2A-477C-408D-BE68-08E2B8CBE699}"/>
    <cellStyle name="Normal 5 3 3 3 6 4" xfId="10702" xr:uid="{E522A6A2-0AAB-4BB8-81F0-1A7B93ADD393}"/>
    <cellStyle name="Normal 5 3 3 3 6 5" xfId="19137" xr:uid="{6961BCBA-5DE9-4847-8A46-8E95A36E0232}"/>
    <cellStyle name="Normal 5 3 3 3 7" xfId="2600" xr:uid="{00000000-0005-0000-0000-0000EB190000}"/>
    <cellStyle name="Normal 5 3 3 3 7 2" xfId="6883" xr:uid="{00000000-0005-0000-0000-0000EC190000}"/>
    <cellStyle name="Normal 5 3 3 3 7 2 2" xfId="15333" xr:uid="{5F935F8D-8E12-4A1D-BA35-A087B26DAF07}"/>
    <cellStyle name="Normal 5 3 3 3 7 2 3" xfId="23767" xr:uid="{73C8F6A2-D2F3-48E6-A84D-AC863632A21E}"/>
    <cellStyle name="Normal 5 3 3 3 7 3" xfId="11115" xr:uid="{8ABCE284-F238-4149-9BBB-C5229649F8EA}"/>
    <cellStyle name="Normal 5 3 3 3 7 4" xfId="19550" xr:uid="{A9F5D5BA-C1C8-4E20-B37B-68EA5A36023D}"/>
    <cellStyle name="Normal 5 3 3 3 8" xfId="4818" xr:uid="{00000000-0005-0000-0000-0000ED190000}"/>
    <cellStyle name="Normal 5 3 3 3 8 2" xfId="13268" xr:uid="{41CD6F0D-D836-472C-A6BC-B6C43F56CAF8}"/>
    <cellStyle name="Normal 5 3 3 3 8 3" xfId="21702" xr:uid="{82EEBC2D-5344-447B-8714-F8AE67441401}"/>
    <cellStyle name="Normal 5 3 3 3 9" xfId="9050" xr:uid="{62C9CA88-1134-494E-A988-ECC4C7329EBD}"/>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D1880578-8930-49B5-9177-15024D096684}"/>
    <cellStyle name="Normal 5 3 3 4 2 2 2 3" xfId="24262" xr:uid="{E959360F-61CC-4053-9CF1-EE484CC10BBD}"/>
    <cellStyle name="Normal 5 3 3 4 2 2 3" xfId="11610" xr:uid="{B94CF52B-E3F1-4D2A-99E8-D195F53E81A6}"/>
    <cellStyle name="Normal 5 3 3 4 2 2 4" xfId="20045" xr:uid="{F0197ED4-BE73-4221-A135-069195EB8D91}"/>
    <cellStyle name="Normal 5 3 3 4 2 3" xfId="5233" xr:uid="{00000000-0005-0000-0000-0000F2190000}"/>
    <cellStyle name="Normal 5 3 3 4 2 3 2" xfId="13683" xr:uid="{88828AF6-B761-4F54-A123-1C8490400B9F}"/>
    <cellStyle name="Normal 5 3 3 4 2 3 3" xfId="22117" xr:uid="{8AFDCAE8-23DA-4B22-985A-90B3C5349405}"/>
    <cellStyle name="Normal 5 3 3 4 2 4" xfId="9465" xr:uid="{4BB07522-4D85-414D-A727-601C15AE72D3}"/>
    <cellStyle name="Normal 5 3 3 4 2 5" xfId="17900" xr:uid="{B7E0C334-17F2-453B-929E-97C23F1F0A0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36EFB1D2-03C7-4E5C-8EDB-A8B614AE53EC}"/>
    <cellStyle name="Normal 5 3 3 4 3 2 2 3" xfId="24675" xr:uid="{AD4D0183-6D6A-46B3-AB03-23467846E8D6}"/>
    <cellStyle name="Normal 5 3 3 4 3 2 3" xfId="12023" xr:uid="{96AB6C1E-5017-4FA1-AE4E-C121F3E387AF}"/>
    <cellStyle name="Normal 5 3 3 4 3 2 4" xfId="20458" xr:uid="{B4D99834-28B1-448E-8B39-2F143500984B}"/>
    <cellStyle name="Normal 5 3 3 4 3 3" xfId="5646" xr:uid="{00000000-0005-0000-0000-0000F6190000}"/>
    <cellStyle name="Normal 5 3 3 4 3 3 2" xfId="14096" xr:uid="{8AE684FB-AE75-4D88-9388-6AB5F4321689}"/>
    <cellStyle name="Normal 5 3 3 4 3 3 3" xfId="22530" xr:uid="{59EF0B71-8B51-4DBC-9BAB-254210FF23CC}"/>
    <cellStyle name="Normal 5 3 3 4 3 4" xfId="9878" xr:uid="{429539F9-EACF-4798-B56D-B21366A7EABD}"/>
    <cellStyle name="Normal 5 3 3 4 3 5" xfId="18313" xr:uid="{990E5FBA-3271-4233-BC67-C838B5068ED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106B6819-88E1-4BA4-93E7-A2189763AAF3}"/>
    <cellStyle name="Normal 5 3 3 4 4 2 2 3" xfId="25088" xr:uid="{51FEB0A4-1BA1-416A-9C56-BF8131642FBE}"/>
    <cellStyle name="Normal 5 3 3 4 4 2 3" xfId="12436" xr:uid="{2C95024D-01BD-4F3F-AD1E-1B2DC14812AA}"/>
    <cellStyle name="Normal 5 3 3 4 4 2 4" xfId="20871" xr:uid="{860BC71B-0E81-4DBA-968F-CEC93F45BD53}"/>
    <cellStyle name="Normal 5 3 3 4 4 3" xfId="6059" xr:uid="{00000000-0005-0000-0000-0000FA190000}"/>
    <cellStyle name="Normal 5 3 3 4 4 3 2" xfId="14509" xr:uid="{23DC2006-FB67-4CB1-B4B8-C48D9F44B2B4}"/>
    <cellStyle name="Normal 5 3 3 4 4 3 3" xfId="22943" xr:uid="{53988DCD-F527-4AC0-B26D-A35E795519DB}"/>
    <cellStyle name="Normal 5 3 3 4 4 4" xfId="10291" xr:uid="{9A80C25E-5206-46A8-A8C3-57812DAF3039}"/>
    <cellStyle name="Normal 5 3 3 4 4 5" xfId="18726" xr:uid="{DB5240F4-2F68-4B14-AF0D-46CE7AE6489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9C5826F-3432-4816-937E-DB3BBCC34E91}"/>
    <cellStyle name="Normal 5 3 3 4 5 2 2 3" xfId="25501" xr:uid="{AC599296-EAB6-476D-8133-D4DE0EF82077}"/>
    <cellStyle name="Normal 5 3 3 4 5 2 3" xfId="12849" xr:uid="{F65F04C6-799B-4C02-8101-4A06E7F4F676}"/>
    <cellStyle name="Normal 5 3 3 4 5 2 4" xfId="21284" xr:uid="{16E83255-9A48-4737-8088-D0454820DD89}"/>
    <cellStyle name="Normal 5 3 3 4 5 3" xfId="6472" xr:uid="{00000000-0005-0000-0000-0000FE190000}"/>
    <cellStyle name="Normal 5 3 3 4 5 3 2" xfId="14922" xr:uid="{4D57AD26-D6CA-47D1-B851-4CA6AC377B01}"/>
    <cellStyle name="Normal 5 3 3 4 5 3 3" xfId="23356" xr:uid="{F2EC7A46-5143-4843-B5E9-A9AE5EA87304}"/>
    <cellStyle name="Normal 5 3 3 4 5 4" xfId="10704" xr:uid="{9AB24C85-5223-48E2-A9FE-3A8654BA777A}"/>
    <cellStyle name="Normal 5 3 3 4 5 5" xfId="19139" xr:uid="{AC8F3085-9882-4A3D-900F-B61781977132}"/>
    <cellStyle name="Normal 5 3 3 4 6" xfId="2602" xr:uid="{00000000-0005-0000-0000-0000FF190000}"/>
    <cellStyle name="Normal 5 3 3 4 6 2" xfId="6885" xr:uid="{00000000-0005-0000-0000-0000001A0000}"/>
    <cellStyle name="Normal 5 3 3 4 6 2 2" xfId="15335" xr:uid="{B55A69A0-BD28-487F-B3B7-4EBD8169FFB0}"/>
    <cellStyle name="Normal 5 3 3 4 6 2 3" xfId="23769" xr:uid="{7C3A9704-A4CC-4C61-8ADD-160E770A55DD}"/>
    <cellStyle name="Normal 5 3 3 4 6 3" xfId="11117" xr:uid="{C9360BCF-4998-4FB2-9527-F20AD3BB6F44}"/>
    <cellStyle name="Normal 5 3 3 4 6 4" xfId="19552" xr:uid="{92069778-60A2-485E-A30E-C7C1705B394E}"/>
    <cellStyle name="Normal 5 3 3 4 7" xfId="4820" xr:uid="{00000000-0005-0000-0000-0000011A0000}"/>
    <cellStyle name="Normal 5 3 3 4 7 2" xfId="13270" xr:uid="{C09418A4-29E4-4087-9DE4-99BAFBFAF6EF}"/>
    <cellStyle name="Normal 5 3 3 4 7 3" xfId="21704" xr:uid="{CB820093-FC73-4452-8F87-CD6585F7232C}"/>
    <cellStyle name="Normal 5 3 3 4 8" xfId="9052" xr:uid="{63DF0A4B-5750-4636-8CB4-A3697C73557A}"/>
    <cellStyle name="Normal 5 3 3 4 9" xfId="17487" xr:uid="{6EB68752-41B3-4308-951B-163E5D4AD0CE}"/>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4E4D1BCA-77C2-4E73-A908-D1C391D7B846}"/>
    <cellStyle name="Normal 5 3 3 5 2 2 3" xfId="24255" xr:uid="{6CDC7E9A-2F67-41C6-A52B-637382D898BF}"/>
    <cellStyle name="Normal 5 3 3 5 2 3" xfId="11603" xr:uid="{8262780C-260D-4C8E-89E6-6D8CAA8D89AB}"/>
    <cellStyle name="Normal 5 3 3 5 2 4" xfId="20038" xr:uid="{2D7A9DAD-9E5F-4DD1-91B6-21BEE58A8B3A}"/>
    <cellStyle name="Normal 5 3 3 5 3" xfId="5226" xr:uid="{00000000-0005-0000-0000-0000051A0000}"/>
    <cellStyle name="Normal 5 3 3 5 3 2" xfId="13676" xr:uid="{F769D65E-B24C-47F5-9CB2-19C399B8EBBA}"/>
    <cellStyle name="Normal 5 3 3 5 3 3" xfId="22110" xr:uid="{39E9A6F0-0B47-4E6C-BE57-527BE6609E22}"/>
    <cellStyle name="Normal 5 3 3 5 4" xfId="9458" xr:uid="{BD246F64-208B-455B-8537-E905646A6860}"/>
    <cellStyle name="Normal 5 3 3 5 5" xfId="17893" xr:uid="{18346584-FE10-49D8-AA45-EF61955D116A}"/>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A02591A3-D0A8-4500-9DFF-A872F2295548}"/>
    <cellStyle name="Normal 5 3 3 6 2 2 3" xfId="24668" xr:uid="{EC5C6B64-409D-4590-9AC2-7A9333C66209}"/>
    <cellStyle name="Normal 5 3 3 6 2 3" xfId="12016" xr:uid="{14D69809-0259-47EA-A866-4C22207EED09}"/>
    <cellStyle name="Normal 5 3 3 6 2 4" xfId="20451" xr:uid="{3BC5BC0B-C144-40CF-85E2-2FE13A284247}"/>
    <cellStyle name="Normal 5 3 3 6 3" xfId="5639" xr:uid="{00000000-0005-0000-0000-0000091A0000}"/>
    <cellStyle name="Normal 5 3 3 6 3 2" xfId="14089" xr:uid="{2003E99E-3EF2-46C4-8F69-E515CE79C084}"/>
    <cellStyle name="Normal 5 3 3 6 3 3" xfId="22523" xr:uid="{5C3EE99B-A3C2-47DA-844B-38368FAFB23D}"/>
    <cellStyle name="Normal 5 3 3 6 4" xfId="9871" xr:uid="{FEF933B1-486A-4371-B0C3-3EE9241B3260}"/>
    <cellStyle name="Normal 5 3 3 6 5" xfId="18306" xr:uid="{22234BC4-77DE-40B9-9637-92FA4CD02179}"/>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4EEF9A81-769E-445C-8AF4-836333E2D9BB}"/>
    <cellStyle name="Normal 5 3 3 7 2 2 3" xfId="25081" xr:uid="{48F57C65-D2B7-48B7-B651-3D15BB1F487C}"/>
    <cellStyle name="Normal 5 3 3 7 2 3" xfId="12429" xr:uid="{93F92E7E-64B8-439A-8A44-9D4302BAFB5B}"/>
    <cellStyle name="Normal 5 3 3 7 2 4" xfId="20864" xr:uid="{D5780031-62B4-415E-8F0B-08CAEEC8DD9D}"/>
    <cellStyle name="Normal 5 3 3 7 3" xfId="6052" xr:uid="{00000000-0005-0000-0000-00000D1A0000}"/>
    <cellStyle name="Normal 5 3 3 7 3 2" xfId="14502" xr:uid="{43756131-D502-42B1-A466-F911F0A1CD32}"/>
    <cellStyle name="Normal 5 3 3 7 3 3" xfId="22936" xr:uid="{4DE223BF-EFBB-4401-B5B4-804D65F39011}"/>
    <cellStyle name="Normal 5 3 3 7 4" xfId="10284" xr:uid="{E3814426-0F88-4657-A0C2-D9F6EBE675A1}"/>
    <cellStyle name="Normal 5 3 3 7 5" xfId="18719" xr:uid="{B60E646D-CF60-4F95-8434-4284E1B0599E}"/>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D2793FF3-882C-4C21-98AF-1991C8595FFF}"/>
    <cellStyle name="Normal 5 3 3 8 2 2 3" xfId="25494" xr:uid="{FE4A7520-2C1F-479D-A426-5A5B6462DCC9}"/>
    <cellStyle name="Normal 5 3 3 8 2 3" xfId="12842" xr:uid="{15C0E689-B395-451E-84F3-FB9F2A4CC13B}"/>
    <cellStyle name="Normal 5 3 3 8 2 4" xfId="21277" xr:uid="{31BEBCF8-02D7-4DE2-8D96-D6926DF4BB8A}"/>
    <cellStyle name="Normal 5 3 3 8 3" xfId="6465" xr:uid="{00000000-0005-0000-0000-0000111A0000}"/>
    <cellStyle name="Normal 5 3 3 8 3 2" xfId="14915" xr:uid="{35BA9F40-BDE1-422D-98D5-7E924BE93088}"/>
    <cellStyle name="Normal 5 3 3 8 3 3" xfId="23349" xr:uid="{F19D9C36-66A9-4C3D-83C3-6364279ADC13}"/>
    <cellStyle name="Normal 5 3 3 8 4" xfId="10697" xr:uid="{DFAE59F0-4D8B-4CFF-832A-DC11F5F3D4FF}"/>
    <cellStyle name="Normal 5 3 3 8 5" xfId="19132" xr:uid="{43E18304-922D-41D0-B366-32DE5BA440C3}"/>
    <cellStyle name="Normal 5 3 3 9" xfId="2595" xr:uid="{00000000-0005-0000-0000-0000121A0000}"/>
    <cellStyle name="Normal 5 3 3 9 2" xfId="6878" xr:uid="{00000000-0005-0000-0000-0000131A0000}"/>
    <cellStyle name="Normal 5 3 3 9 2 2" xfId="15328" xr:uid="{3779D671-C1DF-4F37-AD45-57E0A9C54748}"/>
    <cellStyle name="Normal 5 3 3 9 2 3" xfId="23762" xr:uid="{372863CF-E564-4BD5-9B44-9A63D6D6675D}"/>
    <cellStyle name="Normal 5 3 3 9 3" xfId="11110" xr:uid="{EA3343FF-B3F0-4957-91AF-6796B35D49C2}"/>
    <cellStyle name="Normal 5 3 3 9 4" xfId="19545" xr:uid="{EECC7E48-ACA4-4E48-A0AC-3768C7A97F15}"/>
    <cellStyle name="Normal 5 3 4" xfId="449" xr:uid="{00000000-0005-0000-0000-0000141A0000}"/>
    <cellStyle name="Normal 5 3 4 10" xfId="9053" xr:uid="{DB221B6C-09C9-4380-BDD7-3AEF84A52E68}"/>
    <cellStyle name="Normal 5 3 4 11" xfId="17488" xr:uid="{52199110-43AD-463A-83CD-56E9B4D4559B}"/>
    <cellStyle name="Normal 5 3 4 2" xfId="450" xr:uid="{00000000-0005-0000-0000-0000151A0000}"/>
    <cellStyle name="Normal 5 3 4 2 10" xfId="17489" xr:uid="{735BA9C8-491A-456E-BEB3-B2017135532C}"/>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4C61E00A-F0E9-4E73-9702-BBDFB0B0AE91}"/>
    <cellStyle name="Normal 5 3 4 2 2 2 2 2 3" xfId="24265" xr:uid="{2414957D-E223-4AE4-8004-19676664BF06}"/>
    <cellStyle name="Normal 5 3 4 2 2 2 2 3" xfId="11613" xr:uid="{DCA7D3D7-C15D-40BC-B23E-961E3B5E2E0D}"/>
    <cellStyle name="Normal 5 3 4 2 2 2 2 4" xfId="20048" xr:uid="{5317CAF4-86A8-474D-BC45-A0556DEDCA26}"/>
    <cellStyle name="Normal 5 3 4 2 2 2 3" xfId="5236" xr:uid="{00000000-0005-0000-0000-00001A1A0000}"/>
    <cellStyle name="Normal 5 3 4 2 2 2 3 2" xfId="13686" xr:uid="{1351636A-A720-48B9-BF27-4FA29F92DC8A}"/>
    <cellStyle name="Normal 5 3 4 2 2 2 3 3" xfId="22120" xr:uid="{2F091550-2837-4CF6-BF1D-6AD41C5743D6}"/>
    <cellStyle name="Normal 5 3 4 2 2 2 4" xfId="9468" xr:uid="{A34C9024-C5D5-4D1A-AE2D-298A67D9933F}"/>
    <cellStyle name="Normal 5 3 4 2 2 2 5" xfId="17903" xr:uid="{D7774B34-3A44-4389-A355-6598816D5A3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67C07A8E-98FB-406A-88EF-D272953CFBCD}"/>
    <cellStyle name="Normal 5 3 4 2 2 3 2 2 3" xfId="24678" xr:uid="{B078462A-50E0-4C3C-A648-ECE9D17CDAB5}"/>
    <cellStyle name="Normal 5 3 4 2 2 3 2 3" xfId="12026" xr:uid="{FDA88C89-C92A-429B-A90C-306034D531AF}"/>
    <cellStyle name="Normal 5 3 4 2 2 3 2 4" xfId="20461" xr:uid="{3F5E5D38-D62A-4AB7-8D8D-E9C561A3A49D}"/>
    <cellStyle name="Normal 5 3 4 2 2 3 3" xfId="5649" xr:uid="{00000000-0005-0000-0000-00001E1A0000}"/>
    <cellStyle name="Normal 5 3 4 2 2 3 3 2" xfId="14099" xr:uid="{BBE1514D-0021-4181-B58B-A5F56AEEF13B}"/>
    <cellStyle name="Normal 5 3 4 2 2 3 3 3" xfId="22533" xr:uid="{BB346CA4-BDF6-4B03-8481-5C0988B04D29}"/>
    <cellStyle name="Normal 5 3 4 2 2 3 4" xfId="9881" xr:uid="{BC29B648-994B-457A-B3D7-B01138C11D42}"/>
    <cellStyle name="Normal 5 3 4 2 2 3 5" xfId="18316" xr:uid="{556F10F6-FE21-4E35-9AAF-4BB6D19C7A66}"/>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A8B6CA93-2003-489A-A5B6-1552C8C8B621}"/>
    <cellStyle name="Normal 5 3 4 2 2 4 2 2 3" xfId="25091" xr:uid="{F07C8CD1-5AEF-494E-A47E-C93EA05DC30C}"/>
    <cellStyle name="Normal 5 3 4 2 2 4 2 3" xfId="12439" xr:uid="{33169BAA-8C1A-4904-863B-A05C829EA6A3}"/>
    <cellStyle name="Normal 5 3 4 2 2 4 2 4" xfId="20874" xr:uid="{8966EDAD-ED47-4FAA-A650-1E48D54B9AB8}"/>
    <cellStyle name="Normal 5 3 4 2 2 4 3" xfId="6062" xr:uid="{00000000-0005-0000-0000-0000221A0000}"/>
    <cellStyle name="Normal 5 3 4 2 2 4 3 2" xfId="14512" xr:uid="{07280077-0744-411F-B058-6B952E6285B5}"/>
    <cellStyle name="Normal 5 3 4 2 2 4 3 3" xfId="22946" xr:uid="{696CCB37-2DA4-41C9-A4E8-A23D24FFCE62}"/>
    <cellStyle name="Normal 5 3 4 2 2 4 4" xfId="10294" xr:uid="{5EF763B9-9A60-467C-B248-1D0C6803B16A}"/>
    <cellStyle name="Normal 5 3 4 2 2 4 5" xfId="18729" xr:uid="{F55B6374-F891-4BB3-B8B2-20D5C65A22F2}"/>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56D88FAB-E560-498A-8052-362150FD8FE9}"/>
    <cellStyle name="Normal 5 3 4 2 2 5 2 2 3" xfId="25504" xr:uid="{D057A683-F5D7-41A9-A1B2-C13317884BAC}"/>
    <cellStyle name="Normal 5 3 4 2 2 5 2 3" xfId="12852" xr:uid="{F5A7B0BF-F0C6-4D95-B86A-C0322A51F4F8}"/>
    <cellStyle name="Normal 5 3 4 2 2 5 2 4" xfId="21287" xr:uid="{63C4E6CA-BA9D-4F57-B68B-B5E38505FBBF}"/>
    <cellStyle name="Normal 5 3 4 2 2 5 3" xfId="6475" xr:uid="{00000000-0005-0000-0000-0000261A0000}"/>
    <cellStyle name="Normal 5 3 4 2 2 5 3 2" xfId="14925" xr:uid="{FBB634A3-1B30-4636-828D-22DA3F55631C}"/>
    <cellStyle name="Normal 5 3 4 2 2 5 3 3" xfId="23359" xr:uid="{3C3FEDAE-0528-4637-833F-720E9CFC7CED}"/>
    <cellStyle name="Normal 5 3 4 2 2 5 4" xfId="10707" xr:uid="{87AF98FF-7E08-4EA3-8735-4B7CF023492C}"/>
    <cellStyle name="Normal 5 3 4 2 2 5 5" xfId="19142" xr:uid="{4E378B69-CC20-44CF-9D23-5FCD84AFA2FD}"/>
    <cellStyle name="Normal 5 3 4 2 2 6" xfId="2605" xr:uid="{00000000-0005-0000-0000-0000271A0000}"/>
    <cellStyle name="Normal 5 3 4 2 2 6 2" xfId="6888" xr:uid="{00000000-0005-0000-0000-0000281A0000}"/>
    <cellStyle name="Normal 5 3 4 2 2 6 2 2" xfId="15338" xr:uid="{788A763E-D918-4F9B-977C-21B457AA1F71}"/>
    <cellStyle name="Normal 5 3 4 2 2 6 2 3" xfId="23772" xr:uid="{CFCE6E36-C8E8-4C4B-BE5C-5F4C5B7DFE4A}"/>
    <cellStyle name="Normal 5 3 4 2 2 6 3" xfId="11120" xr:uid="{A3E10C8B-DEF2-4581-9841-99C578C0F22C}"/>
    <cellStyle name="Normal 5 3 4 2 2 6 4" xfId="19555" xr:uid="{CC101830-84E0-4119-B307-A68F39A7B045}"/>
    <cellStyle name="Normal 5 3 4 2 2 7" xfId="4823" xr:uid="{00000000-0005-0000-0000-0000291A0000}"/>
    <cellStyle name="Normal 5 3 4 2 2 7 2" xfId="13273" xr:uid="{08352342-C0E9-4747-8ADF-C26B2EDEC7B5}"/>
    <cellStyle name="Normal 5 3 4 2 2 7 3" xfId="21707" xr:uid="{5FF0B010-2D9F-4497-B510-DBAFB7423840}"/>
    <cellStyle name="Normal 5 3 4 2 2 8" xfId="9055" xr:uid="{6CCED3EB-97C8-4BD0-80D5-A880EDD9CFD2}"/>
    <cellStyle name="Normal 5 3 4 2 2 9" xfId="17490" xr:uid="{2E2152EC-1887-42A5-8993-CE1D83BFC86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0B7BBD10-C3AC-4F69-8466-68C74B74A644}"/>
    <cellStyle name="Normal 5 3 4 2 3 2 2 3" xfId="24264" xr:uid="{AAF1485C-2555-4703-80A7-B1BD346DF053}"/>
    <cellStyle name="Normal 5 3 4 2 3 2 3" xfId="11612" xr:uid="{56FBB04A-B59E-43EB-976B-8DC69C2CA810}"/>
    <cellStyle name="Normal 5 3 4 2 3 2 4" xfId="20047" xr:uid="{C8D7BCF2-36D1-4BC9-96C6-12B22C33E0FF}"/>
    <cellStyle name="Normal 5 3 4 2 3 3" xfId="5235" xr:uid="{00000000-0005-0000-0000-00002D1A0000}"/>
    <cellStyle name="Normal 5 3 4 2 3 3 2" xfId="13685" xr:uid="{944A17CB-3D45-47C0-8680-98E2D752A142}"/>
    <cellStyle name="Normal 5 3 4 2 3 3 3" xfId="22119" xr:uid="{D283BB78-D2A8-4DC4-979C-E1AC39D44798}"/>
    <cellStyle name="Normal 5 3 4 2 3 4" xfId="9467" xr:uid="{51E5A5DD-E670-42B9-98D2-9D2B42090FF0}"/>
    <cellStyle name="Normal 5 3 4 2 3 5" xfId="17902" xr:uid="{83A62606-04F3-4B82-B145-B5DCFE920B0A}"/>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F676B1DF-2FAD-40A6-955B-D2CCA7C95F65}"/>
    <cellStyle name="Normal 5 3 4 2 4 2 2 3" xfId="24677" xr:uid="{6E0B4E9E-6708-4A2A-B505-1D104A10ED0F}"/>
    <cellStyle name="Normal 5 3 4 2 4 2 3" xfId="12025" xr:uid="{4DEE3394-4AB4-427E-BD3A-6E0911A37C9C}"/>
    <cellStyle name="Normal 5 3 4 2 4 2 4" xfId="20460" xr:uid="{A026A6EB-5D03-4763-A3BC-AFB5974C3D4F}"/>
    <cellStyle name="Normal 5 3 4 2 4 3" xfId="5648" xr:uid="{00000000-0005-0000-0000-0000311A0000}"/>
    <cellStyle name="Normal 5 3 4 2 4 3 2" xfId="14098" xr:uid="{588F768D-029E-4960-8B90-25F5C659F763}"/>
    <cellStyle name="Normal 5 3 4 2 4 3 3" xfId="22532" xr:uid="{FE47223E-C315-44BF-A253-535A048A5607}"/>
    <cellStyle name="Normal 5 3 4 2 4 4" xfId="9880" xr:uid="{9B8D6A8B-90D3-49B2-9261-3E2C2830FB63}"/>
    <cellStyle name="Normal 5 3 4 2 4 5" xfId="18315" xr:uid="{49975CED-BD73-434B-9820-EF922D2851C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844F033D-4F6C-46CD-905A-8AB365701A52}"/>
    <cellStyle name="Normal 5 3 4 2 5 2 2 3" xfId="25090" xr:uid="{660EEEC2-5496-4B5C-90C0-7F9262165361}"/>
    <cellStyle name="Normal 5 3 4 2 5 2 3" xfId="12438" xr:uid="{FE80E523-E69E-459F-B96E-2DEB75DA853C}"/>
    <cellStyle name="Normal 5 3 4 2 5 2 4" xfId="20873" xr:uid="{CF182B3C-D540-46E5-BA46-4428C71E60A6}"/>
    <cellStyle name="Normal 5 3 4 2 5 3" xfId="6061" xr:uid="{00000000-0005-0000-0000-0000351A0000}"/>
    <cellStyle name="Normal 5 3 4 2 5 3 2" xfId="14511" xr:uid="{06242243-0617-479F-A3DB-AA9F307A2344}"/>
    <cellStyle name="Normal 5 3 4 2 5 3 3" xfId="22945" xr:uid="{8AC3007C-5509-48C6-9530-2F1B493EBE14}"/>
    <cellStyle name="Normal 5 3 4 2 5 4" xfId="10293" xr:uid="{A991FC12-FBFB-4777-ACF3-FDB69AE4F0DA}"/>
    <cellStyle name="Normal 5 3 4 2 5 5" xfId="18728" xr:uid="{7D0A5002-1D68-4349-93A4-DCBE11A0ABD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43749EA-0A36-40A0-BFF9-E5CEAB52E4BE}"/>
    <cellStyle name="Normal 5 3 4 2 6 2 2 3" xfId="25503" xr:uid="{1B288D85-EF0E-49B6-B76B-EE05F4D6AB3F}"/>
    <cellStyle name="Normal 5 3 4 2 6 2 3" xfId="12851" xr:uid="{7309681B-CE93-483D-8763-BB78A947B7B4}"/>
    <cellStyle name="Normal 5 3 4 2 6 2 4" xfId="21286" xr:uid="{444447F0-A71E-47D2-B9F0-C3477885A3DA}"/>
    <cellStyle name="Normal 5 3 4 2 6 3" xfId="6474" xr:uid="{00000000-0005-0000-0000-0000391A0000}"/>
    <cellStyle name="Normal 5 3 4 2 6 3 2" xfId="14924" xr:uid="{E98BCF9C-41E9-4929-8FE3-A6A239B8E573}"/>
    <cellStyle name="Normal 5 3 4 2 6 3 3" xfId="23358" xr:uid="{2FBEB83E-6750-463F-A77F-824931266BD2}"/>
    <cellStyle name="Normal 5 3 4 2 6 4" xfId="10706" xr:uid="{95ECB0E7-6E5F-443E-8F73-FF65AE8340FC}"/>
    <cellStyle name="Normal 5 3 4 2 6 5" xfId="19141" xr:uid="{E44D73E9-F53A-4200-A533-9A9AE632C122}"/>
    <cellStyle name="Normal 5 3 4 2 7" xfId="2604" xr:uid="{00000000-0005-0000-0000-00003A1A0000}"/>
    <cellStyle name="Normal 5 3 4 2 7 2" xfId="6887" xr:uid="{00000000-0005-0000-0000-00003B1A0000}"/>
    <cellStyle name="Normal 5 3 4 2 7 2 2" xfId="15337" xr:uid="{7200663C-86A7-4A4B-8651-6124133A4C20}"/>
    <cellStyle name="Normal 5 3 4 2 7 2 3" xfId="23771" xr:uid="{D2C19BF6-5505-4BAF-BDCE-AFC10399ADF5}"/>
    <cellStyle name="Normal 5 3 4 2 7 3" xfId="11119" xr:uid="{0AFBE43A-B3EF-46ED-8BC6-8E2E5CFE48BB}"/>
    <cellStyle name="Normal 5 3 4 2 7 4" xfId="19554" xr:uid="{EC493DDF-8A46-4D04-A927-623EC6D278EC}"/>
    <cellStyle name="Normal 5 3 4 2 8" xfId="4822" xr:uid="{00000000-0005-0000-0000-00003C1A0000}"/>
    <cellStyle name="Normal 5 3 4 2 8 2" xfId="13272" xr:uid="{A6A70104-058E-4D9E-85E6-53D12C2B8E6C}"/>
    <cellStyle name="Normal 5 3 4 2 8 3" xfId="21706" xr:uid="{037FEFC1-32DB-4219-B312-BE3D05DD1273}"/>
    <cellStyle name="Normal 5 3 4 2 9" xfId="9054" xr:uid="{74A5C358-42D0-4A9C-8E41-E07F9D4B90AA}"/>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1AB631DA-9279-40E3-9A6C-5CFEC24B535F}"/>
    <cellStyle name="Normal 5 3 4 3 2 2 2 3" xfId="24266" xr:uid="{13C1AFBE-5DFF-400F-8713-88DFFEC8EDC8}"/>
    <cellStyle name="Normal 5 3 4 3 2 2 3" xfId="11614" xr:uid="{3499C702-4436-45AD-81DA-FDDDE11483CC}"/>
    <cellStyle name="Normal 5 3 4 3 2 2 4" xfId="20049" xr:uid="{CC48190F-170B-45AC-A86E-432524FDF2B5}"/>
    <cellStyle name="Normal 5 3 4 3 2 3" xfId="5237" xr:uid="{00000000-0005-0000-0000-0000411A0000}"/>
    <cellStyle name="Normal 5 3 4 3 2 3 2" xfId="13687" xr:uid="{3300CE8B-C7CF-4914-8358-5BAF0013E077}"/>
    <cellStyle name="Normal 5 3 4 3 2 3 3" xfId="22121" xr:uid="{FD2FAC70-6893-4D9F-95F7-14EAA732B634}"/>
    <cellStyle name="Normal 5 3 4 3 2 4" xfId="9469" xr:uid="{B051B440-B77E-46BE-9B9A-777DD714BDE1}"/>
    <cellStyle name="Normal 5 3 4 3 2 5" xfId="17904" xr:uid="{B514BA9E-211A-48FF-B953-3309AFD868D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7BED3FEC-4AA3-48D6-B79D-3BBBF40D6B97}"/>
    <cellStyle name="Normal 5 3 4 3 3 2 2 3" xfId="24679" xr:uid="{2B3AEEA8-9648-4B3B-8DFB-F52E9BC08659}"/>
    <cellStyle name="Normal 5 3 4 3 3 2 3" xfId="12027" xr:uid="{C5D1E17B-664D-497F-A63F-5252D28FF523}"/>
    <cellStyle name="Normal 5 3 4 3 3 2 4" xfId="20462" xr:uid="{765FF991-395A-4460-814D-F868849C2D19}"/>
    <cellStyle name="Normal 5 3 4 3 3 3" xfId="5650" xr:uid="{00000000-0005-0000-0000-0000451A0000}"/>
    <cellStyle name="Normal 5 3 4 3 3 3 2" xfId="14100" xr:uid="{1F905DE1-EA16-4BB8-A486-CDF437AF7BA3}"/>
    <cellStyle name="Normal 5 3 4 3 3 3 3" xfId="22534" xr:uid="{1936CF2F-D6A9-4CC8-9B41-C16AA7D176BF}"/>
    <cellStyle name="Normal 5 3 4 3 3 4" xfId="9882" xr:uid="{5138D617-D01F-4106-9880-AE6F1DFFFA31}"/>
    <cellStyle name="Normal 5 3 4 3 3 5" xfId="18317" xr:uid="{0E47BA18-BC62-4D42-A1A4-F3A2E6D4D31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E941A6B5-0DE6-45C3-9445-28ECA9F737A4}"/>
    <cellStyle name="Normal 5 3 4 3 4 2 2 3" xfId="25092" xr:uid="{34FD3E25-AD7D-4890-8C0C-21F41572C900}"/>
    <cellStyle name="Normal 5 3 4 3 4 2 3" xfId="12440" xr:uid="{98647B64-9279-4CE4-B5B2-2A732A2832AB}"/>
    <cellStyle name="Normal 5 3 4 3 4 2 4" xfId="20875" xr:uid="{B8B355F2-B768-4FFE-B81D-1A8B445051F4}"/>
    <cellStyle name="Normal 5 3 4 3 4 3" xfId="6063" xr:uid="{00000000-0005-0000-0000-0000491A0000}"/>
    <cellStyle name="Normal 5 3 4 3 4 3 2" xfId="14513" xr:uid="{C4417C42-7512-4C76-AED7-3FA891A3C644}"/>
    <cellStyle name="Normal 5 3 4 3 4 3 3" xfId="22947" xr:uid="{C1A5AABC-5941-4D65-AEAD-9B6867E0E0B9}"/>
    <cellStyle name="Normal 5 3 4 3 4 4" xfId="10295" xr:uid="{CD5BCAAF-5EEA-48A8-B92F-FB499323CC95}"/>
    <cellStyle name="Normal 5 3 4 3 4 5" xfId="18730" xr:uid="{51F84DEF-FE12-4D08-8F91-590C10B83AF3}"/>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46A8F966-53DD-4D7B-A45C-5AAFE5B98808}"/>
    <cellStyle name="Normal 5 3 4 3 5 2 2 3" xfId="25505" xr:uid="{709F8B3F-A45C-418A-93A2-70EDA472C99F}"/>
    <cellStyle name="Normal 5 3 4 3 5 2 3" xfId="12853" xr:uid="{A6FB02BA-F431-4EE8-913B-D50B6504A924}"/>
    <cellStyle name="Normal 5 3 4 3 5 2 4" xfId="21288" xr:uid="{C7CE8AC2-794F-4F5C-829C-F56CE0F0FC6D}"/>
    <cellStyle name="Normal 5 3 4 3 5 3" xfId="6476" xr:uid="{00000000-0005-0000-0000-00004D1A0000}"/>
    <cellStyle name="Normal 5 3 4 3 5 3 2" xfId="14926" xr:uid="{E7E6690E-FE7E-4213-842C-ACF3DED6F1B1}"/>
    <cellStyle name="Normal 5 3 4 3 5 3 3" xfId="23360" xr:uid="{A8E79B55-3E9B-4B27-9A84-230E6CBBA7E4}"/>
    <cellStyle name="Normal 5 3 4 3 5 4" xfId="10708" xr:uid="{FC9AEC4C-1337-4376-9B8E-F1C356B6165A}"/>
    <cellStyle name="Normal 5 3 4 3 5 5" xfId="19143" xr:uid="{951072E5-4ECE-4BC7-AAA3-05AC1CC76EEA}"/>
    <cellStyle name="Normal 5 3 4 3 6" xfId="2606" xr:uid="{00000000-0005-0000-0000-00004E1A0000}"/>
    <cellStyle name="Normal 5 3 4 3 6 2" xfId="6889" xr:uid="{00000000-0005-0000-0000-00004F1A0000}"/>
    <cellStyle name="Normal 5 3 4 3 6 2 2" xfId="15339" xr:uid="{CD2C2E37-E212-4C9D-BA2A-E00B29FBFF78}"/>
    <cellStyle name="Normal 5 3 4 3 6 2 3" xfId="23773" xr:uid="{DE17D579-3215-4789-895A-C65D563D441B}"/>
    <cellStyle name="Normal 5 3 4 3 6 3" xfId="11121" xr:uid="{F56E81E2-DFE3-4D01-BEB5-5324DACA3564}"/>
    <cellStyle name="Normal 5 3 4 3 6 4" xfId="19556" xr:uid="{2A60DA4C-803D-4A6A-BE38-DD89DD08A9D1}"/>
    <cellStyle name="Normal 5 3 4 3 7" xfId="4824" xr:uid="{00000000-0005-0000-0000-0000501A0000}"/>
    <cellStyle name="Normal 5 3 4 3 7 2" xfId="13274" xr:uid="{AAD1A6EB-34BB-4A07-9905-E21134BDB2A4}"/>
    <cellStyle name="Normal 5 3 4 3 7 3" xfId="21708" xr:uid="{7A511E3E-DEB0-4E71-BDB1-326BE0DD6F40}"/>
    <cellStyle name="Normal 5 3 4 3 8" xfId="9056" xr:uid="{72DA3D69-1C4A-4581-99D2-81954D442E8B}"/>
    <cellStyle name="Normal 5 3 4 3 9" xfId="17491" xr:uid="{7C7A5B5F-0284-4771-B1ED-B65A4352B760}"/>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9F05FBED-F950-4B17-85D4-66D8217438BB}"/>
    <cellStyle name="Normal 5 3 4 4 2 2 3" xfId="24263" xr:uid="{E16C1752-0339-419F-B817-F73098B3B797}"/>
    <cellStyle name="Normal 5 3 4 4 2 3" xfId="11611" xr:uid="{6D07F9F8-EB9C-44F8-A735-E826DA3B032C}"/>
    <cellStyle name="Normal 5 3 4 4 2 4" xfId="20046" xr:uid="{1F0B2C20-EA5D-42AB-9EB4-DE03F86C6E4D}"/>
    <cellStyle name="Normal 5 3 4 4 3" xfId="5234" xr:uid="{00000000-0005-0000-0000-0000541A0000}"/>
    <cellStyle name="Normal 5 3 4 4 3 2" xfId="13684" xr:uid="{DD7001CC-8439-48B7-AC06-D441258B13A1}"/>
    <cellStyle name="Normal 5 3 4 4 3 3" xfId="22118" xr:uid="{07E7DF0B-433B-45D7-89F4-493D4CC3EFFA}"/>
    <cellStyle name="Normal 5 3 4 4 4" xfId="9466" xr:uid="{3B503F11-0EC2-4F3C-A41D-67A1A9688C66}"/>
    <cellStyle name="Normal 5 3 4 4 5" xfId="17901" xr:uid="{AA07F31B-8090-4B1B-AF8C-C59265A7F85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1FE83275-4F5A-41D0-8B80-BED3990BD8C4}"/>
    <cellStyle name="Normal 5 3 4 5 2 2 3" xfId="24676" xr:uid="{87B2A1A4-7890-4F26-90E7-EE4CD12D61B3}"/>
    <cellStyle name="Normal 5 3 4 5 2 3" xfId="12024" xr:uid="{701CFAB3-1AA4-4312-8E8C-EB9A88C57214}"/>
    <cellStyle name="Normal 5 3 4 5 2 4" xfId="20459" xr:uid="{36CCBDDD-1938-4021-AF0D-68821AD1EFDD}"/>
    <cellStyle name="Normal 5 3 4 5 3" xfId="5647" xr:uid="{00000000-0005-0000-0000-0000581A0000}"/>
    <cellStyle name="Normal 5 3 4 5 3 2" xfId="14097" xr:uid="{78F7A9D4-9161-4F35-AA6A-8B6C2EF5FB17}"/>
    <cellStyle name="Normal 5 3 4 5 3 3" xfId="22531" xr:uid="{0E154C34-DE68-4B23-B02E-25D2AC0199C8}"/>
    <cellStyle name="Normal 5 3 4 5 4" xfId="9879" xr:uid="{4EEE3998-2A21-4AFA-9934-1BE88046698F}"/>
    <cellStyle name="Normal 5 3 4 5 5" xfId="18314" xr:uid="{6B3D85FF-4774-4FE5-AA05-8B9566672440}"/>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D437FC38-6E8F-4957-94D9-199A7AEA3A01}"/>
    <cellStyle name="Normal 5 3 4 6 2 2 3" xfId="25089" xr:uid="{A3CFA179-3070-4610-816E-E5204E165C60}"/>
    <cellStyle name="Normal 5 3 4 6 2 3" xfId="12437" xr:uid="{B3844F2D-3F7F-4B44-B8AD-BDBFA0D5140E}"/>
    <cellStyle name="Normal 5 3 4 6 2 4" xfId="20872" xr:uid="{759D2F4E-DC5C-4909-89E0-F5DEFC2F55BB}"/>
    <cellStyle name="Normal 5 3 4 6 3" xfId="6060" xr:uid="{00000000-0005-0000-0000-00005C1A0000}"/>
    <cellStyle name="Normal 5 3 4 6 3 2" xfId="14510" xr:uid="{1FE03CCA-C1A5-42A8-BFED-B011AB45F787}"/>
    <cellStyle name="Normal 5 3 4 6 3 3" xfId="22944" xr:uid="{D2BED8D3-FE9B-45E7-B04A-4CC181CA3236}"/>
    <cellStyle name="Normal 5 3 4 6 4" xfId="10292" xr:uid="{7B715303-33B8-4260-B1CA-D4F1534ABF0E}"/>
    <cellStyle name="Normal 5 3 4 6 5" xfId="18727" xr:uid="{EC83CF4E-EA9A-4DC6-B77E-ACDC21B318BC}"/>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8E87CA4B-4A71-488B-91E9-2BB87E2FECCB}"/>
    <cellStyle name="Normal 5 3 4 7 2 2 3" xfId="25502" xr:uid="{234A82B4-79DD-4AAC-A26C-665A3CA6CD30}"/>
    <cellStyle name="Normal 5 3 4 7 2 3" xfId="12850" xr:uid="{43F8AACC-7EB1-41D6-9721-F256DFC7B57C}"/>
    <cellStyle name="Normal 5 3 4 7 2 4" xfId="21285" xr:uid="{2106FB64-E6D5-4A50-935B-8AE9CF88BE03}"/>
    <cellStyle name="Normal 5 3 4 7 3" xfId="6473" xr:uid="{00000000-0005-0000-0000-0000601A0000}"/>
    <cellStyle name="Normal 5 3 4 7 3 2" xfId="14923" xr:uid="{9AA4B557-816C-4CFE-8513-E8F4681A9835}"/>
    <cellStyle name="Normal 5 3 4 7 3 3" xfId="23357" xr:uid="{A0736CD3-AE62-4679-BBFD-CD3FB4B0AF3E}"/>
    <cellStyle name="Normal 5 3 4 7 4" xfId="10705" xr:uid="{D9C706E7-4344-4AF7-B0C3-412E0825427C}"/>
    <cellStyle name="Normal 5 3 4 7 5" xfId="19140" xr:uid="{3C05571A-DFFA-42D3-BD8E-FB0A8E6BC66D}"/>
    <cellStyle name="Normal 5 3 4 8" xfId="2603" xr:uid="{00000000-0005-0000-0000-0000611A0000}"/>
    <cellStyle name="Normal 5 3 4 8 2" xfId="6886" xr:uid="{00000000-0005-0000-0000-0000621A0000}"/>
    <cellStyle name="Normal 5 3 4 8 2 2" xfId="15336" xr:uid="{D710C7F3-C252-4C95-A464-E9025B246D25}"/>
    <cellStyle name="Normal 5 3 4 8 2 3" xfId="23770" xr:uid="{5B289ADC-A1C1-4F94-970C-5680027F4E97}"/>
    <cellStyle name="Normal 5 3 4 8 3" xfId="11118" xr:uid="{45784F76-323D-455D-87AA-3349C772F37D}"/>
    <cellStyle name="Normal 5 3 4 8 4" xfId="19553" xr:uid="{0911655A-FFD8-44EF-A766-FB35D742B5DB}"/>
    <cellStyle name="Normal 5 3 4 9" xfId="4821" xr:uid="{00000000-0005-0000-0000-0000631A0000}"/>
    <cellStyle name="Normal 5 3 4 9 2" xfId="13271" xr:uid="{AE6F244B-39E3-41C7-873C-6A36422BC9E5}"/>
    <cellStyle name="Normal 5 3 4 9 3" xfId="21705" xr:uid="{B140F03D-FB0F-4521-8BAC-EC6AC49F401F}"/>
    <cellStyle name="Normal 5 3 5" xfId="453" xr:uid="{00000000-0005-0000-0000-0000641A0000}"/>
    <cellStyle name="Normal 5 3 5 10" xfId="17492" xr:uid="{5B2E86ED-A933-4F80-A11E-ED1BEB794667}"/>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9C62D9B6-54A7-41D6-B345-A8C9ECDB0E5D}"/>
    <cellStyle name="Normal 5 3 5 2 2 2 2 3" xfId="24268" xr:uid="{37E393DC-3CAC-41E6-B3C1-61C2DB86F09B}"/>
    <cellStyle name="Normal 5 3 5 2 2 2 3" xfId="11616" xr:uid="{653C65F2-E2D8-418F-AC7A-EA9BC04A47DC}"/>
    <cellStyle name="Normal 5 3 5 2 2 2 4" xfId="20051" xr:uid="{90987B1F-6FAB-45A8-A86E-B29DFE61FF11}"/>
    <cellStyle name="Normal 5 3 5 2 2 3" xfId="5239" xr:uid="{00000000-0005-0000-0000-0000691A0000}"/>
    <cellStyle name="Normal 5 3 5 2 2 3 2" xfId="13689" xr:uid="{F06AB5AE-C82B-4142-A777-5884AA660EE4}"/>
    <cellStyle name="Normal 5 3 5 2 2 3 3" xfId="22123" xr:uid="{7477C6A2-DE5D-4DE7-B029-B37707B0227C}"/>
    <cellStyle name="Normal 5 3 5 2 2 4" xfId="9471" xr:uid="{6221B2D1-3E0E-4280-8238-29EBDCC9BD07}"/>
    <cellStyle name="Normal 5 3 5 2 2 5" xfId="17906" xr:uid="{968E892C-5BC6-4496-89FF-124CCFB8C452}"/>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E555923B-D396-4635-AC37-58F8D927B2A0}"/>
    <cellStyle name="Normal 5 3 5 2 3 2 2 3" xfId="24681" xr:uid="{50566F5C-0B16-4B1F-BC02-BE3B29C22A90}"/>
    <cellStyle name="Normal 5 3 5 2 3 2 3" xfId="12029" xr:uid="{273C125B-BA7F-418D-B9A4-53464BEA7E4F}"/>
    <cellStyle name="Normal 5 3 5 2 3 2 4" xfId="20464" xr:uid="{1F52B05C-F723-42E6-AD90-81BE09C85F4C}"/>
    <cellStyle name="Normal 5 3 5 2 3 3" xfId="5652" xr:uid="{00000000-0005-0000-0000-00006D1A0000}"/>
    <cellStyle name="Normal 5 3 5 2 3 3 2" xfId="14102" xr:uid="{0B173AB5-3283-43AC-AAC7-9D1938033E4B}"/>
    <cellStyle name="Normal 5 3 5 2 3 3 3" xfId="22536" xr:uid="{832E9B25-EB91-43A4-8AD6-B5DC0B08A9A7}"/>
    <cellStyle name="Normal 5 3 5 2 3 4" xfId="9884" xr:uid="{389CB263-D153-48CB-8BC5-D6C0A8F250BA}"/>
    <cellStyle name="Normal 5 3 5 2 3 5" xfId="18319" xr:uid="{36A454B4-2432-4500-AE96-3B5E0FC565B1}"/>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1AC7C5E8-987D-4C1D-B89C-C857AE2119DF}"/>
    <cellStyle name="Normal 5 3 5 2 4 2 2 3" xfId="25094" xr:uid="{DAB0E814-CBD9-49D1-AA5B-458ED21E24DE}"/>
    <cellStyle name="Normal 5 3 5 2 4 2 3" xfId="12442" xr:uid="{C933165C-D492-4DA1-A0DD-928B746D50A6}"/>
    <cellStyle name="Normal 5 3 5 2 4 2 4" xfId="20877" xr:uid="{BB499535-B3A8-4079-B7CF-91853CC3E607}"/>
    <cellStyle name="Normal 5 3 5 2 4 3" xfId="6065" xr:uid="{00000000-0005-0000-0000-0000711A0000}"/>
    <cellStyle name="Normal 5 3 5 2 4 3 2" xfId="14515" xr:uid="{9B040566-056C-4432-BB52-53CBE93679C0}"/>
    <cellStyle name="Normal 5 3 5 2 4 3 3" xfId="22949" xr:uid="{B6503AE3-B6F8-4C4E-B6F0-D52629A54E0E}"/>
    <cellStyle name="Normal 5 3 5 2 4 4" xfId="10297" xr:uid="{3821533B-68CD-405A-8E94-9F853CBD50A3}"/>
    <cellStyle name="Normal 5 3 5 2 4 5" xfId="18732" xr:uid="{1DCD30CC-B00E-4B0A-9BE0-C4143C59F3C9}"/>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1C28BCBA-D791-4FFD-9F89-BDAC289D9E41}"/>
    <cellStyle name="Normal 5 3 5 2 5 2 2 3" xfId="25507" xr:uid="{D9C8F2FD-48B7-4C5A-9306-D1B33DE57B51}"/>
    <cellStyle name="Normal 5 3 5 2 5 2 3" xfId="12855" xr:uid="{B33F9450-0F3B-4330-AAFE-28FA40F256E3}"/>
    <cellStyle name="Normal 5 3 5 2 5 2 4" xfId="21290" xr:uid="{36A5EAEE-F6A8-4344-AA3A-2ACFFA878603}"/>
    <cellStyle name="Normal 5 3 5 2 5 3" xfId="6478" xr:uid="{00000000-0005-0000-0000-0000751A0000}"/>
    <cellStyle name="Normal 5 3 5 2 5 3 2" xfId="14928" xr:uid="{F334A92C-9777-4C75-85A0-6FAA3810578B}"/>
    <cellStyle name="Normal 5 3 5 2 5 3 3" xfId="23362" xr:uid="{58E0AC3F-A895-436B-8B97-CE7A2AE42E95}"/>
    <cellStyle name="Normal 5 3 5 2 5 4" xfId="10710" xr:uid="{F9A224FE-7B8C-409E-85D6-6AC0A809603C}"/>
    <cellStyle name="Normal 5 3 5 2 5 5" xfId="19145" xr:uid="{F1D7EA8F-68E1-4316-BD30-37C9AE4CE8D4}"/>
    <cellStyle name="Normal 5 3 5 2 6" xfId="2608" xr:uid="{00000000-0005-0000-0000-0000761A0000}"/>
    <cellStyle name="Normal 5 3 5 2 6 2" xfId="6891" xr:uid="{00000000-0005-0000-0000-0000771A0000}"/>
    <cellStyle name="Normal 5 3 5 2 6 2 2" xfId="15341" xr:uid="{DF80A1D2-C482-4B72-8CFE-232016D17365}"/>
    <cellStyle name="Normal 5 3 5 2 6 2 3" xfId="23775" xr:uid="{C01BDD75-D1E2-4A49-9BBB-7A0C4F36C9EA}"/>
    <cellStyle name="Normal 5 3 5 2 6 3" xfId="11123" xr:uid="{BE5F6D51-F93C-4FF4-ACFB-7B1B924A5418}"/>
    <cellStyle name="Normal 5 3 5 2 6 4" xfId="19558" xr:uid="{D73EAA48-797F-4874-B004-8E88CC67921A}"/>
    <cellStyle name="Normal 5 3 5 2 7" xfId="4826" xr:uid="{00000000-0005-0000-0000-0000781A0000}"/>
    <cellStyle name="Normal 5 3 5 2 7 2" xfId="13276" xr:uid="{53BC7895-6FCD-4A51-A250-CEB561DB00DE}"/>
    <cellStyle name="Normal 5 3 5 2 7 3" xfId="21710" xr:uid="{4AB13212-F7CA-400F-9087-BE5F851560E7}"/>
    <cellStyle name="Normal 5 3 5 2 8" xfId="9058" xr:uid="{905C3C4B-80C6-4B93-9E6D-8B526E2BD713}"/>
    <cellStyle name="Normal 5 3 5 2 9" xfId="17493" xr:uid="{FDDE92B2-566A-4B6E-A42B-A646F1F00BDE}"/>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514A8073-BA0E-43FC-ACFE-1397086159AA}"/>
    <cellStyle name="Normal 5 3 5 3 2 2 3" xfId="24267" xr:uid="{B7594182-DD92-4371-94BE-3C575CD017F3}"/>
    <cellStyle name="Normal 5 3 5 3 2 3" xfId="11615" xr:uid="{A742E9C4-CE3C-45D7-B84F-371B39F0F00B}"/>
    <cellStyle name="Normal 5 3 5 3 2 4" xfId="20050" xr:uid="{FA6A14DC-237B-42E5-BBB5-5CDB0557FEBC}"/>
    <cellStyle name="Normal 5 3 5 3 3" xfId="5238" xr:uid="{00000000-0005-0000-0000-00007C1A0000}"/>
    <cellStyle name="Normal 5 3 5 3 3 2" xfId="13688" xr:uid="{9466A33F-6D1A-4765-8B9F-C238F36499E9}"/>
    <cellStyle name="Normal 5 3 5 3 3 3" xfId="22122" xr:uid="{99812035-D3A1-4A98-ADF5-0A21434BD27B}"/>
    <cellStyle name="Normal 5 3 5 3 4" xfId="9470" xr:uid="{6AFA3F7F-13D6-42E7-8A20-A5A75382DB9C}"/>
    <cellStyle name="Normal 5 3 5 3 5" xfId="17905" xr:uid="{FE53F5FE-EC5E-4CB2-8638-DF747BD04739}"/>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8C2B4097-7CDC-4CDF-80B6-9ACAB0F94E9F}"/>
    <cellStyle name="Normal 5 3 5 4 2 2 3" xfId="24680" xr:uid="{A6238015-5FA1-4880-A0B1-6B920B711990}"/>
    <cellStyle name="Normal 5 3 5 4 2 3" xfId="12028" xr:uid="{A5B18ADE-3A4B-4DE2-8B1C-AB9E2145A730}"/>
    <cellStyle name="Normal 5 3 5 4 2 4" xfId="20463" xr:uid="{F6D4EBBD-B4AF-49E6-BFD4-671CAB04DC5B}"/>
    <cellStyle name="Normal 5 3 5 4 3" xfId="5651" xr:uid="{00000000-0005-0000-0000-0000801A0000}"/>
    <cellStyle name="Normal 5 3 5 4 3 2" xfId="14101" xr:uid="{9A5C0F00-CA45-414E-ACE5-AF365504D429}"/>
    <cellStyle name="Normal 5 3 5 4 3 3" xfId="22535" xr:uid="{4FE6A9D6-C6F7-4BE6-A9BA-745342327C85}"/>
    <cellStyle name="Normal 5 3 5 4 4" xfId="9883" xr:uid="{F98B09C7-0275-455E-89DE-2876C84ADC75}"/>
    <cellStyle name="Normal 5 3 5 4 5" xfId="18318" xr:uid="{F657AD52-7C32-45C6-ADEC-9D8153FDB298}"/>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5855946B-FB52-4288-BB57-235A6D15C1AB}"/>
    <cellStyle name="Normal 5 3 5 5 2 2 3" xfId="25093" xr:uid="{1C7E4470-17DE-42A6-A55E-DA0E187F286E}"/>
    <cellStyle name="Normal 5 3 5 5 2 3" xfId="12441" xr:uid="{68AFB350-EE2B-475A-8365-DE504592B414}"/>
    <cellStyle name="Normal 5 3 5 5 2 4" xfId="20876" xr:uid="{D6274017-1DA6-42E9-9F0F-FFCC0D6CD437}"/>
    <cellStyle name="Normal 5 3 5 5 3" xfId="6064" xr:uid="{00000000-0005-0000-0000-0000841A0000}"/>
    <cellStyle name="Normal 5 3 5 5 3 2" xfId="14514" xr:uid="{157B6CA2-350E-43E1-9B6D-DE49DAEF0308}"/>
    <cellStyle name="Normal 5 3 5 5 3 3" xfId="22948" xr:uid="{2B409B04-8F3A-431D-9B14-1D1397047BC9}"/>
    <cellStyle name="Normal 5 3 5 5 4" xfId="10296" xr:uid="{9A214E21-4B60-4BB2-B51F-0FE12F15E538}"/>
    <cellStyle name="Normal 5 3 5 5 5" xfId="18731" xr:uid="{E3BC35D8-3E2F-47D6-89D7-91A68F9E7D3E}"/>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54EDDF1B-BDC9-4A82-B11C-6C9C4D873A6A}"/>
    <cellStyle name="Normal 5 3 5 6 2 2 3" xfId="25506" xr:uid="{3DEFC72C-A1B4-4028-8865-136215AB5337}"/>
    <cellStyle name="Normal 5 3 5 6 2 3" xfId="12854" xr:uid="{6F405882-F7AC-4840-A85F-4413C9E3D30E}"/>
    <cellStyle name="Normal 5 3 5 6 2 4" xfId="21289" xr:uid="{01A38C06-2E2E-4DCB-BB82-974FADE34AA2}"/>
    <cellStyle name="Normal 5 3 5 6 3" xfId="6477" xr:uid="{00000000-0005-0000-0000-0000881A0000}"/>
    <cellStyle name="Normal 5 3 5 6 3 2" xfId="14927" xr:uid="{DFE0D74E-A66F-4024-93B3-ABE5AE6CBB2E}"/>
    <cellStyle name="Normal 5 3 5 6 3 3" xfId="23361" xr:uid="{FEBB9679-6FE8-4FC0-90E5-329D68135572}"/>
    <cellStyle name="Normal 5 3 5 6 4" xfId="10709" xr:uid="{887EFA00-88A5-4CE1-8ECC-C9A2E87A1B5A}"/>
    <cellStyle name="Normal 5 3 5 6 5" xfId="19144" xr:uid="{91937552-6838-44ED-9E05-42174F0F47B4}"/>
    <cellStyle name="Normal 5 3 5 7" xfId="2607" xr:uid="{00000000-0005-0000-0000-0000891A0000}"/>
    <cellStyle name="Normal 5 3 5 7 2" xfId="6890" xr:uid="{00000000-0005-0000-0000-00008A1A0000}"/>
    <cellStyle name="Normal 5 3 5 7 2 2" xfId="15340" xr:uid="{0C743101-3F6F-4355-824E-334A65B7E47E}"/>
    <cellStyle name="Normal 5 3 5 7 2 3" xfId="23774" xr:uid="{C650C1E1-551E-4EAF-8DBA-CFF0B0896DC7}"/>
    <cellStyle name="Normal 5 3 5 7 3" xfId="11122" xr:uid="{2E15E57D-F601-4056-AAB5-6539E4DFE41B}"/>
    <cellStyle name="Normal 5 3 5 7 4" xfId="19557" xr:uid="{6681F25C-ED77-4C9B-BC72-939AFB4075F6}"/>
    <cellStyle name="Normal 5 3 5 8" xfId="4825" xr:uid="{00000000-0005-0000-0000-00008B1A0000}"/>
    <cellStyle name="Normal 5 3 5 8 2" xfId="13275" xr:uid="{2EDA95AC-5086-4B1F-A851-B5D0CE0BA042}"/>
    <cellStyle name="Normal 5 3 5 8 3" xfId="21709" xr:uid="{62266C6F-0A35-481D-A3A4-3CD8FEAE8BEF}"/>
    <cellStyle name="Normal 5 3 5 9" xfId="9057" xr:uid="{C9500D05-7961-4596-85D0-29E754DC6704}"/>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B5768A9D-3356-4658-AA02-1F8ACBA62D2B}"/>
    <cellStyle name="Normal 5 3 6 2 2 2 3" xfId="24269" xr:uid="{C931AA97-113B-4305-A123-FC8E32D0AA38}"/>
    <cellStyle name="Normal 5 3 6 2 2 3" xfId="11617" xr:uid="{FCE35E32-F514-44E5-A592-DFFEC0F97A86}"/>
    <cellStyle name="Normal 5 3 6 2 2 4" xfId="20052" xr:uid="{18D9CD6D-7EC4-4776-BA88-DC92AB103F14}"/>
    <cellStyle name="Normal 5 3 6 2 3" xfId="5240" xr:uid="{00000000-0005-0000-0000-0000901A0000}"/>
    <cellStyle name="Normal 5 3 6 2 3 2" xfId="13690" xr:uid="{3EC25F12-9FD9-4CE5-8938-C7225D3F737D}"/>
    <cellStyle name="Normal 5 3 6 2 3 3" xfId="22124" xr:uid="{146E0E3A-05E6-4312-94F1-AD00CFDA1FD1}"/>
    <cellStyle name="Normal 5 3 6 2 4" xfId="9472" xr:uid="{C95626FF-2476-487F-B5CB-ED5B6353DB26}"/>
    <cellStyle name="Normal 5 3 6 2 5" xfId="17907" xr:uid="{D81D1796-AFD3-495B-BA81-3CEE8768B11D}"/>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E4AC5662-3BE1-4B9D-B8C7-9F22164D6587}"/>
    <cellStyle name="Normal 5 3 6 3 2 2 3" xfId="24682" xr:uid="{16A27FF3-0D9D-4894-B40D-66976CA30ED3}"/>
    <cellStyle name="Normal 5 3 6 3 2 3" xfId="12030" xr:uid="{BB05B1AD-6265-47E1-B224-906EBFCF4C35}"/>
    <cellStyle name="Normal 5 3 6 3 2 4" xfId="20465" xr:uid="{EDF4C55E-0112-49EE-A4C0-D88ED0DB2849}"/>
    <cellStyle name="Normal 5 3 6 3 3" xfId="5653" xr:uid="{00000000-0005-0000-0000-0000941A0000}"/>
    <cellStyle name="Normal 5 3 6 3 3 2" xfId="14103" xr:uid="{069AFF1B-A36C-4AB6-B814-CA59A4A582FA}"/>
    <cellStyle name="Normal 5 3 6 3 3 3" xfId="22537" xr:uid="{D846E2D5-4499-4E5B-88F7-2F21F2A886F7}"/>
    <cellStyle name="Normal 5 3 6 3 4" xfId="9885" xr:uid="{3529D3AE-0EC3-4CF1-8BF1-42CD82F1A93C}"/>
    <cellStyle name="Normal 5 3 6 3 5" xfId="18320" xr:uid="{DD5650AE-AEEA-4CC3-8D4B-20A182866C2F}"/>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F47F5357-5DFE-4DC9-8B7F-38C52D231F0B}"/>
    <cellStyle name="Normal 5 3 6 4 2 2 3" xfId="25095" xr:uid="{BE28D49D-8CA4-440E-95F2-E3D16B847B73}"/>
    <cellStyle name="Normal 5 3 6 4 2 3" xfId="12443" xr:uid="{C372C019-B3B8-4C12-8BAC-CAFD006CADCB}"/>
    <cellStyle name="Normal 5 3 6 4 2 4" xfId="20878" xr:uid="{A07A5D51-3184-4FF3-B95F-FACD30924933}"/>
    <cellStyle name="Normal 5 3 6 4 3" xfId="6066" xr:uid="{00000000-0005-0000-0000-0000981A0000}"/>
    <cellStyle name="Normal 5 3 6 4 3 2" xfId="14516" xr:uid="{6FC62EFC-239E-4D1C-AA86-0F90C65C66F1}"/>
    <cellStyle name="Normal 5 3 6 4 3 3" xfId="22950" xr:uid="{FB271065-665F-4C84-98E5-84827939773C}"/>
    <cellStyle name="Normal 5 3 6 4 4" xfId="10298" xr:uid="{F5DE7C83-3C24-405E-BBAA-9CCD16C54894}"/>
    <cellStyle name="Normal 5 3 6 4 5" xfId="18733" xr:uid="{8C7E5BEA-51C5-459A-89B1-C7DEE5F4ADF8}"/>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EA76C44D-0B24-40D8-B807-7F7444A61F0D}"/>
    <cellStyle name="Normal 5 3 6 5 2 2 3" xfId="25508" xr:uid="{32F310A3-CCFF-4774-85B1-16084100D863}"/>
    <cellStyle name="Normal 5 3 6 5 2 3" xfId="12856" xr:uid="{AF94F468-C399-420F-A571-1CD67AF308BB}"/>
    <cellStyle name="Normal 5 3 6 5 2 4" xfId="21291" xr:uid="{6C80F359-F10C-472F-8335-4CA8B981C44A}"/>
    <cellStyle name="Normal 5 3 6 5 3" xfId="6479" xr:uid="{00000000-0005-0000-0000-00009C1A0000}"/>
    <cellStyle name="Normal 5 3 6 5 3 2" xfId="14929" xr:uid="{53867DE4-9B75-460B-A5FA-E83D449EB901}"/>
    <cellStyle name="Normal 5 3 6 5 3 3" xfId="23363" xr:uid="{AD6FD189-82E2-4A06-90A6-4E2BE98ECD51}"/>
    <cellStyle name="Normal 5 3 6 5 4" xfId="10711" xr:uid="{91F70E56-DF9D-440C-8473-D49B13A7A688}"/>
    <cellStyle name="Normal 5 3 6 5 5" xfId="19146" xr:uid="{0A82F283-D9CB-4E8A-BBAA-1AF2A100D660}"/>
    <cellStyle name="Normal 5 3 6 6" xfId="2609" xr:uid="{00000000-0005-0000-0000-00009D1A0000}"/>
    <cellStyle name="Normal 5 3 6 6 2" xfId="6892" xr:uid="{00000000-0005-0000-0000-00009E1A0000}"/>
    <cellStyle name="Normal 5 3 6 6 2 2" xfId="15342" xr:uid="{E3B019D8-84F5-40C6-979B-7E3B97E4BD06}"/>
    <cellStyle name="Normal 5 3 6 6 2 3" xfId="23776" xr:uid="{9ED4AD26-153E-4A98-95D4-8E7009FD7866}"/>
    <cellStyle name="Normal 5 3 6 6 3" xfId="11124" xr:uid="{59691778-20A6-444E-BDA7-29D191699072}"/>
    <cellStyle name="Normal 5 3 6 6 4" xfId="19559" xr:uid="{5D6EB17C-F0FF-446A-B9D3-8F7C4C4C58D3}"/>
    <cellStyle name="Normal 5 3 6 7" xfId="4827" xr:uid="{00000000-0005-0000-0000-00009F1A0000}"/>
    <cellStyle name="Normal 5 3 6 7 2" xfId="13277" xr:uid="{D1C3A3A5-2AE9-428A-BC2D-D05BFB86CDFD}"/>
    <cellStyle name="Normal 5 3 6 7 3" xfId="21711" xr:uid="{430F7191-86F0-4D74-BAD6-23A2952F988A}"/>
    <cellStyle name="Normal 5 3 6 8" xfId="9059" xr:uid="{28DBA9DD-71EB-45E0-A783-8F3CFC2E5F9D}"/>
    <cellStyle name="Normal 5 3 6 9" xfId="17494" xr:uid="{99851F43-32FE-4A90-8201-1BABD5C68297}"/>
    <cellStyle name="Normal 5 3 7" xfId="913" xr:uid="{00000000-0005-0000-0000-0000A01A0000}"/>
    <cellStyle name="Normal 5 3 7 2" xfId="3148" xr:uid="{00000000-0005-0000-0000-0000A11A0000}"/>
    <cellStyle name="Normal 5 3 7 2 2" xfId="7370" xr:uid="{00000000-0005-0000-0000-0000A21A0000}"/>
    <cellStyle name="Normal 5 3 7 2 2 2" xfId="15820" xr:uid="{783E2A2F-A99C-49FC-A420-F3810109767C}"/>
    <cellStyle name="Normal 5 3 7 2 2 3" xfId="24254" xr:uid="{5AB6DC69-E01B-4B58-AB8C-E7B525F301BD}"/>
    <cellStyle name="Normal 5 3 7 2 3" xfId="11602" xr:uid="{115E4AAE-ED17-4E2B-8617-83BE2CD1C0F2}"/>
    <cellStyle name="Normal 5 3 7 2 4" xfId="20037" xr:uid="{BB94F7D5-B0FC-4042-BD42-22587ACA567E}"/>
    <cellStyle name="Normal 5 3 7 3" xfId="5225" xr:uid="{00000000-0005-0000-0000-0000A31A0000}"/>
    <cellStyle name="Normal 5 3 7 3 2" xfId="13675" xr:uid="{23157E1F-1C22-46D5-B59C-791E3A585635}"/>
    <cellStyle name="Normal 5 3 7 3 3" xfId="22109" xr:uid="{0BAE5FF0-F7E3-48A2-94AD-30F8AC7394C2}"/>
    <cellStyle name="Normal 5 3 7 4" xfId="9457" xr:uid="{4072F4F7-1386-49E5-BD70-3D277C23C946}"/>
    <cellStyle name="Normal 5 3 7 5" xfId="17892" xr:uid="{B9F66979-D549-4C46-A474-1ACA8A1E622A}"/>
    <cellStyle name="Normal 5 3 8" xfId="1331" xr:uid="{00000000-0005-0000-0000-0000A41A0000}"/>
    <cellStyle name="Normal 5 3 8 2" xfId="3561" xr:uid="{00000000-0005-0000-0000-0000A51A0000}"/>
    <cellStyle name="Normal 5 3 8 2 2" xfId="7783" xr:uid="{00000000-0005-0000-0000-0000A61A0000}"/>
    <cellStyle name="Normal 5 3 8 2 2 2" xfId="16233" xr:uid="{A67920D3-AFC6-4A24-9701-8179740FF489}"/>
    <cellStyle name="Normal 5 3 8 2 2 3" xfId="24667" xr:uid="{83F95EDE-5C0B-43F8-B4FB-8C3C85BA0071}"/>
    <cellStyle name="Normal 5 3 8 2 3" xfId="12015" xr:uid="{5681EE7D-714B-4677-BF46-045D12E52F20}"/>
    <cellStyle name="Normal 5 3 8 2 4" xfId="20450" xr:uid="{F8FC8AB1-61E5-490A-9053-CDCAEA49D941}"/>
    <cellStyle name="Normal 5 3 8 3" xfId="5638" xr:uid="{00000000-0005-0000-0000-0000A71A0000}"/>
    <cellStyle name="Normal 5 3 8 3 2" xfId="14088" xr:uid="{8D606433-558F-4986-BE55-3C763ED82071}"/>
    <cellStyle name="Normal 5 3 8 3 3" xfId="22522" xr:uid="{9DCA3244-4395-4463-8C59-8329E4A1D110}"/>
    <cellStyle name="Normal 5 3 8 4" xfId="9870" xr:uid="{2F376A8C-74D6-4CED-83CD-ACEE57BC9850}"/>
    <cellStyle name="Normal 5 3 8 5" xfId="18305" xr:uid="{AE9A2BDD-E6D5-494F-BCC3-BC24A9576D2B}"/>
    <cellStyle name="Normal 5 3 9" xfId="1744" xr:uid="{00000000-0005-0000-0000-0000A81A0000}"/>
    <cellStyle name="Normal 5 3 9 2" xfId="3974" xr:uid="{00000000-0005-0000-0000-0000A91A0000}"/>
    <cellStyle name="Normal 5 3 9 2 2" xfId="8196" xr:uid="{00000000-0005-0000-0000-0000AA1A0000}"/>
    <cellStyle name="Normal 5 3 9 2 2 2" xfId="16646" xr:uid="{A28AD958-0BB4-427B-8797-FE6806FCAFD3}"/>
    <cellStyle name="Normal 5 3 9 2 2 3" xfId="25080" xr:uid="{864F73E1-5A3E-4DB8-8AC1-89CE264E5228}"/>
    <cellStyle name="Normal 5 3 9 2 3" xfId="12428" xr:uid="{0FB5FED1-DC62-44AE-B0D0-7D7B9A39318F}"/>
    <cellStyle name="Normal 5 3 9 2 4" xfId="20863" xr:uid="{3F9973B2-9568-4D41-AF61-9BF40FC694AE}"/>
    <cellStyle name="Normal 5 3 9 3" xfId="6051" xr:uid="{00000000-0005-0000-0000-0000AB1A0000}"/>
    <cellStyle name="Normal 5 3 9 3 2" xfId="14501" xr:uid="{F5452217-7E17-4C9E-9BFF-B34FF78FE673}"/>
    <cellStyle name="Normal 5 3 9 3 3" xfId="22935" xr:uid="{0AEE2D7F-4908-4A19-B3B9-BA752C150026}"/>
    <cellStyle name="Normal 5 3 9 4" xfId="10283" xr:uid="{197E2C3B-40A3-4F72-B527-EF69B7A6AACA}"/>
    <cellStyle name="Normal 5 3 9 5" xfId="18718" xr:uid="{FD437F5D-50CE-4389-A686-E8D414EE245F}"/>
    <cellStyle name="Normal 5 4" xfId="456" xr:uid="{00000000-0005-0000-0000-0000AC1A0000}"/>
    <cellStyle name="Normal 5 4 10" xfId="4828" xr:uid="{00000000-0005-0000-0000-0000AD1A0000}"/>
    <cellStyle name="Normal 5 4 10 2" xfId="13278" xr:uid="{5C24BE53-6C37-4FD3-AF2E-9E95292C9CC0}"/>
    <cellStyle name="Normal 5 4 10 3" xfId="21712" xr:uid="{89A018A5-ADFD-4332-9E20-BDAB454ABF18}"/>
    <cellStyle name="Normal 5 4 11" xfId="9060" xr:uid="{9810E7D1-D9E2-405E-BA25-A78727C69B6D}"/>
    <cellStyle name="Normal 5 4 12" xfId="17495" xr:uid="{E0FA09AF-2B06-47EC-9F94-7DD279D4A309}"/>
    <cellStyle name="Normal 5 4 2" xfId="457" xr:uid="{00000000-0005-0000-0000-0000AE1A0000}"/>
    <cellStyle name="Normal 5 4 2 10" xfId="9061" xr:uid="{FD4CFFA9-6989-418D-A543-EAB2B54B0069}"/>
    <cellStyle name="Normal 5 4 2 11" xfId="17496" xr:uid="{C9C2664A-47AD-4FDB-BD36-2FE49ED371B3}"/>
    <cellStyle name="Normal 5 4 2 2" xfId="458" xr:uid="{00000000-0005-0000-0000-0000AF1A0000}"/>
    <cellStyle name="Normal 5 4 2 2 10" xfId="17497" xr:uid="{49F79DE9-0C2B-438E-8BA2-9BC0C827E22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3DFE369E-1AA3-4B69-BFE2-F0F9592FAE34}"/>
    <cellStyle name="Normal 5 4 2 2 2 2 2 2 3" xfId="24273" xr:uid="{E92EC5EA-ED3E-4727-96E7-ED2B20206D78}"/>
    <cellStyle name="Normal 5 4 2 2 2 2 2 3" xfId="11621" xr:uid="{5825A1CD-8D7F-4ABA-8A10-4D9D14CFF1B8}"/>
    <cellStyle name="Normal 5 4 2 2 2 2 2 4" xfId="20056" xr:uid="{F4BE8020-6DC2-42A8-828A-F04705CFB622}"/>
    <cellStyle name="Normal 5 4 2 2 2 2 3" xfId="5244" xr:uid="{00000000-0005-0000-0000-0000B41A0000}"/>
    <cellStyle name="Normal 5 4 2 2 2 2 3 2" xfId="13694" xr:uid="{BFA29E8F-7269-4DFB-BD98-230D4E65494D}"/>
    <cellStyle name="Normal 5 4 2 2 2 2 3 3" xfId="22128" xr:uid="{B7A1B6C7-9D37-47B1-83DF-422C454005B6}"/>
    <cellStyle name="Normal 5 4 2 2 2 2 4" xfId="9476" xr:uid="{62ADCB94-8A21-4D47-9FDA-EC4DEF021278}"/>
    <cellStyle name="Normal 5 4 2 2 2 2 5" xfId="17911" xr:uid="{53BA9024-C09F-4848-918D-F03E3DC5CEF2}"/>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38E2340B-A97D-4692-A35D-ABD9A585A302}"/>
    <cellStyle name="Normal 5 4 2 2 2 3 2 2 3" xfId="24686" xr:uid="{B6077583-A29B-4BB3-8C61-5C4206071858}"/>
    <cellStyle name="Normal 5 4 2 2 2 3 2 3" xfId="12034" xr:uid="{FAED1ACD-DE30-49C0-B437-2B018D3C4B76}"/>
    <cellStyle name="Normal 5 4 2 2 2 3 2 4" xfId="20469" xr:uid="{D42E5C72-A1DC-4188-9C9D-6F01C3DE1FD2}"/>
    <cellStyle name="Normal 5 4 2 2 2 3 3" xfId="5657" xr:uid="{00000000-0005-0000-0000-0000B81A0000}"/>
    <cellStyle name="Normal 5 4 2 2 2 3 3 2" xfId="14107" xr:uid="{DDC26225-053C-4325-8C0A-EE7D19F2F1A8}"/>
    <cellStyle name="Normal 5 4 2 2 2 3 3 3" xfId="22541" xr:uid="{23D40944-FC5D-4FD4-8FC7-2D0BD49E0ED3}"/>
    <cellStyle name="Normal 5 4 2 2 2 3 4" xfId="9889" xr:uid="{541796BC-9649-482E-B348-C67D24BF52B8}"/>
    <cellStyle name="Normal 5 4 2 2 2 3 5" xfId="18324" xr:uid="{496D6754-2780-4B59-BAD1-7C5DFB0E27AF}"/>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9ED24C08-C4E3-4123-BF68-DDA5F112E30F}"/>
    <cellStyle name="Normal 5 4 2 2 2 4 2 2 3" xfId="25099" xr:uid="{E4C83912-67F8-45D4-88AA-96F20BE089CF}"/>
    <cellStyle name="Normal 5 4 2 2 2 4 2 3" xfId="12447" xr:uid="{981CA2CD-1848-427E-B205-AEDB3D6305A6}"/>
    <cellStyle name="Normal 5 4 2 2 2 4 2 4" xfId="20882" xr:uid="{7F2B03B3-F42C-4B7A-9920-078B8DC03E30}"/>
    <cellStyle name="Normal 5 4 2 2 2 4 3" xfId="6070" xr:uid="{00000000-0005-0000-0000-0000BC1A0000}"/>
    <cellStyle name="Normal 5 4 2 2 2 4 3 2" xfId="14520" xr:uid="{C8B2AFF6-4F8C-4F15-82DD-CF507115349F}"/>
    <cellStyle name="Normal 5 4 2 2 2 4 3 3" xfId="22954" xr:uid="{7A394201-C981-4F42-8E54-77E6B7DE404F}"/>
    <cellStyle name="Normal 5 4 2 2 2 4 4" xfId="10302" xr:uid="{612D8D76-9AB9-4BB9-ABCE-1E28BD43A2E2}"/>
    <cellStyle name="Normal 5 4 2 2 2 4 5" xfId="18737" xr:uid="{809C674C-F631-4F67-85D7-9D98DC70AC2C}"/>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C7FAF06F-836F-4FC9-8A79-7067BF9640D0}"/>
    <cellStyle name="Normal 5 4 2 2 2 5 2 2 3" xfId="25512" xr:uid="{0F14BC63-17FF-4D03-8ED7-B9909BD2D017}"/>
    <cellStyle name="Normal 5 4 2 2 2 5 2 3" xfId="12860" xr:uid="{015EA2C4-4D79-4403-9CC5-82E39E40D21E}"/>
    <cellStyle name="Normal 5 4 2 2 2 5 2 4" xfId="21295" xr:uid="{9CF7D107-EACC-41B3-809A-03B84F0AE15A}"/>
    <cellStyle name="Normal 5 4 2 2 2 5 3" xfId="6483" xr:uid="{00000000-0005-0000-0000-0000C01A0000}"/>
    <cellStyle name="Normal 5 4 2 2 2 5 3 2" xfId="14933" xr:uid="{C3AA4997-87D3-47FD-B238-89E04EF478FE}"/>
    <cellStyle name="Normal 5 4 2 2 2 5 3 3" xfId="23367" xr:uid="{49273286-69D0-497D-9EA0-B603BA56BFFC}"/>
    <cellStyle name="Normal 5 4 2 2 2 5 4" xfId="10715" xr:uid="{117D7382-2C4A-4513-BEC4-8F8357498E69}"/>
    <cellStyle name="Normal 5 4 2 2 2 5 5" xfId="19150" xr:uid="{33BA64F9-2A6F-471E-9CFB-0F15C8E34715}"/>
    <cellStyle name="Normal 5 4 2 2 2 6" xfId="2613" xr:uid="{00000000-0005-0000-0000-0000C11A0000}"/>
    <cellStyle name="Normal 5 4 2 2 2 6 2" xfId="6896" xr:uid="{00000000-0005-0000-0000-0000C21A0000}"/>
    <cellStyle name="Normal 5 4 2 2 2 6 2 2" xfId="15346" xr:uid="{78711D38-35E2-4DEA-9334-D114B7AE15EA}"/>
    <cellStyle name="Normal 5 4 2 2 2 6 2 3" xfId="23780" xr:uid="{E6F084FA-A5CB-4B31-9608-88DC536BC98F}"/>
    <cellStyle name="Normal 5 4 2 2 2 6 3" xfId="11128" xr:uid="{E95FF5A1-4FE9-48CA-A9F4-435A89856480}"/>
    <cellStyle name="Normal 5 4 2 2 2 6 4" xfId="19563" xr:uid="{F578E635-1C49-4DCE-BCF1-6FE05CED2103}"/>
    <cellStyle name="Normal 5 4 2 2 2 7" xfId="4831" xr:uid="{00000000-0005-0000-0000-0000C31A0000}"/>
    <cellStyle name="Normal 5 4 2 2 2 7 2" xfId="13281" xr:uid="{539D2F72-C143-467A-A8CD-DF8593A1725A}"/>
    <cellStyle name="Normal 5 4 2 2 2 7 3" xfId="21715" xr:uid="{17E1B35A-8D3B-4FFD-BF21-38ECB579DA32}"/>
    <cellStyle name="Normal 5 4 2 2 2 8" xfId="9063" xr:uid="{45957304-BCE7-4F31-98BD-1AA737D6F977}"/>
    <cellStyle name="Normal 5 4 2 2 2 9" xfId="17498" xr:uid="{7D527814-467E-4064-AB7B-32072164B782}"/>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B11EC6EA-19AB-4C3F-B20D-1F09386C9E6A}"/>
    <cellStyle name="Normal 5 4 2 2 3 2 2 3" xfId="24272" xr:uid="{66888A03-3308-44B1-9D5C-A8277E9EB8B9}"/>
    <cellStyle name="Normal 5 4 2 2 3 2 3" xfId="11620" xr:uid="{38C8A145-FAA2-4DAC-858E-DE686B796A7F}"/>
    <cellStyle name="Normal 5 4 2 2 3 2 4" xfId="20055" xr:uid="{D92B0ABE-1241-4402-8F33-8F5610E3E9E5}"/>
    <cellStyle name="Normal 5 4 2 2 3 3" xfId="5243" xr:uid="{00000000-0005-0000-0000-0000C71A0000}"/>
    <cellStyle name="Normal 5 4 2 2 3 3 2" xfId="13693" xr:uid="{1D1C7F4D-3B62-44A8-9DFB-29B9970BD9E8}"/>
    <cellStyle name="Normal 5 4 2 2 3 3 3" xfId="22127" xr:uid="{FBC04AA0-16A9-4191-9E8F-F17881F3802C}"/>
    <cellStyle name="Normal 5 4 2 2 3 4" xfId="9475" xr:uid="{03DBA3D6-8F23-441A-BF03-9581A3C4AC90}"/>
    <cellStyle name="Normal 5 4 2 2 3 5" xfId="17910" xr:uid="{94C7FB66-647A-4477-9ECD-58D0CB5F0197}"/>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1CCDF616-3AEA-4B44-B44C-E645C2F44F66}"/>
    <cellStyle name="Normal 5 4 2 2 4 2 2 3" xfId="24685" xr:uid="{C34DC2F6-F5F7-401B-B87C-F9BB7731BCA5}"/>
    <cellStyle name="Normal 5 4 2 2 4 2 3" xfId="12033" xr:uid="{64699BE6-86FF-416E-80A6-D36A42597D59}"/>
    <cellStyle name="Normal 5 4 2 2 4 2 4" xfId="20468" xr:uid="{D10FCA99-4945-4E99-9A4E-32704244C22C}"/>
    <cellStyle name="Normal 5 4 2 2 4 3" xfId="5656" xr:uid="{00000000-0005-0000-0000-0000CB1A0000}"/>
    <cellStyle name="Normal 5 4 2 2 4 3 2" xfId="14106" xr:uid="{04077DE2-996B-45E6-99B5-30A71CABBFF0}"/>
    <cellStyle name="Normal 5 4 2 2 4 3 3" xfId="22540" xr:uid="{A34B321D-434D-4DB6-B63B-B87CD7DC2F84}"/>
    <cellStyle name="Normal 5 4 2 2 4 4" xfId="9888" xr:uid="{C198414F-CFA5-45FE-B8F0-7B8AC0DDB62B}"/>
    <cellStyle name="Normal 5 4 2 2 4 5" xfId="18323" xr:uid="{86BDFFA3-A5B9-421A-AAA3-7BDEEFD8139A}"/>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D9D2A79D-0ABD-449F-855A-908693BAC1CD}"/>
    <cellStyle name="Normal 5 4 2 2 5 2 2 3" xfId="25098" xr:uid="{DA74772C-84D0-44F8-83ED-A0FE3B4AA86C}"/>
    <cellStyle name="Normal 5 4 2 2 5 2 3" xfId="12446" xr:uid="{2557C37D-035F-4F5B-A287-537A2BAB3529}"/>
    <cellStyle name="Normal 5 4 2 2 5 2 4" xfId="20881" xr:uid="{7F97568F-188A-4AD2-8327-F5E139E9CCC2}"/>
    <cellStyle name="Normal 5 4 2 2 5 3" xfId="6069" xr:uid="{00000000-0005-0000-0000-0000CF1A0000}"/>
    <cellStyle name="Normal 5 4 2 2 5 3 2" xfId="14519" xr:uid="{F2D7D728-BCD8-49F2-9D2D-B11FC5AEB735}"/>
    <cellStyle name="Normal 5 4 2 2 5 3 3" xfId="22953" xr:uid="{462BE550-9780-40CF-B138-4B66A2E06915}"/>
    <cellStyle name="Normal 5 4 2 2 5 4" xfId="10301" xr:uid="{ED1ABE89-B6B5-48BA-8C89-15C179A1877B}"/>
    <cellStyle name="Normal 5 4 2 2 5 5" xfId="18736" xr:uid="{45D6BCB7-349A-40B1-9E5B-110612D103FC}"/>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501A50A2-F69D-4A4B-A152-E9FC9079888D}"/>
    <cellStyle name="Normal 5 4 2 2 6 2 2 3" xfId="25511" xr:uid="{674C3151-B5E8-4484-AFF4-3DF6383221A5}"/>
    <cellStyle name="Normal 5 4 2 2 6 2 3" xfId="12859" xr:uid="{BE98D458-2F63-4402-8F4C-516CBF5CACA4}"/>
    <cellStyle name="Normal 5 4 2 2 6 2 4" xfId="21294" xr:uid="{CF72429F-4CE8-4580-A9E6-03D6BEAA11B7}"/>
    <cellStyle name="Normal 5 4 2 2 6 3" xfId="6482" xr:uid="{00000000-0005-0000-0000-0000D31A0000}"/>
    <cellStyle name="Normal 5 4 2 2 6 3 2" xfId="14932" xr:uid="{2F41CC01-1C95-4CC9-A8F2-A4FF2D614D41}"/>
    <cellStyle name="Normal 5 4 2 2 6 3 3" xfId="23366" xr:uid="{394963E3-C34D-4D49-BC6A-DE2288CBE0D8}"/>
    <cellStyle name="Normal 5 4 2 2 6 4" xfId="10714" xr:uid="{FAA26165-73D1-4636-949D-5D53E00E713B}"/>
    <cellStyle name="Normal 5 4 2 2 6 5" xfId="19149" xr:uid="{83E42CDA-533D-4E99-98B5-4FBF0768A5B9}"/>
    <cellStyle name="Normal 5 4 2 2 7" xfId="2612" xr:uid="{00000000-0005-0000-0000-0000D41A0000}"/>
    <cellStyle name="Normal 5 4 2 2 7 2" xfId="6895" xr:uid="{00000000-0005-0000-0000-0000D51A0000}"/>
    <cellStyle name="Normal 5 4 2 2 7 2 2" xfId="15345" xr:uid="{0FA48221-AA5B-4D0A-82F1-E293AB6FDC5C}"/>
    <cellStyle name="Normal 5 4 2 2 7 2 3" xfId="23779" xr:uid="{70DFA30A-57DF-408A-995B-982A26E85762}"/>
    <cellStyle name="Normal 5 4 2 2 7 3" xfId="11127" xr:uid="{E95E9C61-9B6E-4BAC-BC7A-D1DBEB7FB9CB}"/>
    <cellStyle name="Normal 5 4 2 2 7 4" xfId="19562" xr:uid="{4F36EB96-01DD-4865-863B-DA60C9F1E13B}"/>
    <cellStyle name="Normal 5 4 2 2 8" xfId="4830" xr:uid="{00000000-0005-0000-0000-0000D61A0000}"/>
    <cellStyle name="Normal 5 4 2 2 8 2" xfId="13280" xr:uid="{C76F82DF-589C-48A2-B5E6-F7719ADD9560}"/>
    <cellStyle name="Normal 5 4 2 2 8 3" xfId="21714" xr:uid="{61594C52-7C6D-4516-AF62-9F18106D7DA9}"/>
    <cellStyle name="Normal 5 4 2 2 9" xfId="9062" xr:uid="{12C0076C-B91F-459D-906F-9EC68C92DABE}"/>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8C023168-656D-498A-8B5C-375FEA5DC920}"/>
    <cellStyle name="Normal 5 4 2 3 2 2 2 3" xfId="24274" xr:uid="{9B0DE18A-E8CC-4314-A7C1-2A6DCE96D896}"/>
    <cellStyle name="Normal 5 4 2 3 2 2 3" xfId="11622" xr:uid="{E32679B8-4901-48F3-AED3-B7E76EB0956F}"/>
    <cellStyle name="Normal 5 4 2 3 2 2 4" xfId="20057" xr:uid="{827D9414-2E03-4E8C-8B50-F6AF5BEF8EF6}"/>
    <cellStyle name="Normal 5 4 2 3 2 3" xfId="5245" xr:uid="{00000000-0005-0000-0000-0000DB1A0000}"/>
    <cellStyle name="Normal 5 4 2 3 2 3 2" xfId="13695" xr:uid="{99B2EAC2-9700-44BD-A71A-49305EF248F3}"/>
    <cellStyle name="Normal 5 4 2 3 2 3 3" xfId="22129" xr:uid="{18C6DA40-4C03-4787-9DB4-64165D9A48E8}"/>
    <cellStyle name="Normal 5 4 2 3 2 4" xfId="9477" xr:uid="{8E47C1D5-8CE8-430D-8A08-7C59A7A5CFEB}"/>
    <cellStyle name="Normal 5 4 2 3 2 5" xfId="17912" xr:uid="{BAC5398C-3F15-4F35-8367-C63FCA50EB7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2A75B4FB-26EB-44C0-A8DD-9BC5D502F133}"/>
    <cellStyle name="Normal 5 4 2 3 3 2 2 3" xfId="24687" xr:uid="{F65411C4-27CB-4FAA-BCCB-A2A808466D5B}"/>
    <cellStyle name="Normal 5 4 2 3 3 2 3" xfId="12035" xr:uid="{EAD34DE7-3A90-439E-9FBD-DFD55BB4CCD9}"/>
    <cellStyle name="Normal 5 4 2 3 3 2 4" xfId="20470" xr:uid="{1509B71D-36B6-4BFC-B8AC-BC582A0BC3BB}"/>
    <cellStyle name="Normal 5 4 2 3 3 3" xfId="5658" xr:uid="{00000000-0005-0000-0000-0000DF1A0000}"/>
    <cellStyle name="Normal 5 4 2 3 3 3 2" xfId="14108" xr:uid="{82F080D9-B78F-4646-8697-4BD5657164DA}"/>
    <cellStyle name="Normal 5 4 2 3 3 3 3" xfId="22542" xr:uid="{1018D117-5F44-4D9C-AB3B-1E7ED5A5B162}"/>
    <cellStyle name="Normal 5 4 2 3 3 4" xfId="9890" xr:uid="{B10EBD6A-A33E-4D75-BB4D-743EECB2C2E3}"/>
    <cellStyle name="Normal 5 4 2 3 3 5" xfId="18325" xr:uid="{45CB1136-9163-4682-A570-8C76E65E24B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E5486811-2340-4AB4-8B19-9EB1AF6927E8}"/>
    <cellStyle name="Normal 5 4 2 3 4 2 2 3" xfId="25100" xr:uid="{7005FB09-E991-43B8-9DBC-F3C05C932503}"/>
    <cellStyle name="Normal 5 4 2 3 4 2 3" xfId="12448" xr:uid="{39BB61CF-F7CB-438F-B384-078212759AE0}"/>
    <cellStyle name="Normal 5 4 2 3 4 2 4" xfId="20883" xr:uid="{54CA97C3-FF84-4897-92F9-4A8C9DD61239}"/>
    <cellStyle name="Normal 5 4 2 3 4 3" xfId="6071" xr:uid="{00000000-0005-0000-0000-0000E31A0000}"/>
    <cellStyle name="Normal 5 4 2 3 4 3 2" xfId="14521" xr:uid="{44275BDB-8FA3-414F-9D94-78C2E478DE1E}"/>
    <cellStyle name="Normal 5 4 2 3 4 3 3" xfId="22955" xr:uid="{DBBEE18D-D8A8-46A2-9214-43CF45F0E640}"/>
    <cellStyle name="Normal 5 4 2 3 4 4" xfId="10303" xr:uid="{6B99308E-ABB7-467A-8754-1141D0CD5C8C}"/>
    <cellStyle name="Normal 5 4 2 3 4 5" xfId="18738" xr:uid="{275486F8-B3E4-4EAB-8CED-83EC8DF1E2A8}"/>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28A48384-C200-484C-962E-39AF9641649C}"/>
    <cellStyle name="Normal 5 4 2 3 5 2 2 3" xfId="25513" xr:uid="{075F5004-A4F6-4CCC-94EE-FF646B116360}"/>
    <cellStyle name="Normal 5 4 2 3 5 2 3" xfId="12861" xr:uid="{53AB34D2-2FC4-4F06-87DA-5274ED4D3E99}"/>
    <cellStyle name="Normal 5 4 2 3 5 2 4" xfId="21296" xr:uid="{1ED6F088-7AAE-4A96-A2FF-79BD6506C9F5}"/>
    <cellStyle name="Normal 5 4 2 3 5 3" xfId="6484" xr:uid="{00000000-0005-0000-0000-0000E71A0000}"/>
    <cellStyle name="Normal 5 4 2 3 5 3 2" xfId="14934" xr:uid="{3DB1276B-8583-4BFD-965D-9323FD125088}"/>
    <cellStyle name="Normal 5 4 2 3 5 3 3" xfId="23368" xr:uid="{5C6D5109-7275-4B78-86A8-1DBC49A8FDA6}"/>
    <cellStyle name="Normal 5 4 2 3 5 4" xfId="10716" xr:uid="{FCECFB77-94D0-47D0-888D-CB873E595BEB}"/>
    <cellStyle name="Normal 5 4 2 3 5 5" xfId="19151" xr:uid="{9EDA0744-F8E7-42C7-AF84-94BA92498E2E}"/>
    <cellStyle name="Normal 5 4 2 3 6" xfId="2614" xr:uid="{00000000-0005-0000-0000-0000E81A0000}"/>
    <cellStyle name="Normal 5 4 2 3 6 2" xfId="6897" xr:uid="{00000000-0005-0000-0000-0000E91A0000}"/>
    <cellStyle name="Normal 5 4 2 3 6 2 2" xfId="15347" xr:uid="{7BA54DD2-3D12-43FB-AC75-0B5DFB0D250D}"/>
    <cellStyle name="Normal 5 4 2 3 6 2 3" xfId="23781" xr:uid="{28C4C1EA-26EB-4512-AEF8-54D074C0AFC1}"/>
    <cellStyle name="Normal 5 4 2 3 6 3" xfId="11129" xr:uid="{ABE5061C-2F99-475A-9BAD-0210E2A8BCDE}"/>
    <cellStyle name="Normal 5 4 2 3 6 4" xfId="19564" xr:uid="{F0A3C323-D923-40C7-8E01-26FC218C00EB}"/>
    <cellStyle name="Normal 5 4 2 3 7" xfId="4832" xr:uid="{00000000-0005-0000-0000-0000EA1A0000}"/>
    <cellStyle name="Normal 5 4 2 3 7 2" xfId="13282" xr:uid="{3C6EDD6C-F3D5-49C5-9428-35DF56B5A77F}"/>
    <cellStyle name="Normal 5 4 2 3 7 3" xfId="21716" xr:uid="{274B3634-8723-4676-98E5-6BA578AE9129}"/>
    <cellStyle name="Normal 5 4 2 3 8" xfId="9064" xr:uid="{03D0F635-FCBB-4043-B145-9D3BA83348DD}"/>
    <cellStyle name="Normal 5 4 2 3 9" xfId="17499" xr:uid="{F8E03B11-3849-4218-9143-B5F25B093A05}"/>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08B6A1FD-AB65-428D-BC0B-A895528E5885}"/>
    <cellStyle name="Normal 5 4 2 4 2 2 3" xfId="24271" xr:uid="{707799DA-D4F8-42C5-B60D-6138CED66A07}"/>
    <cellStyle name="Normal 5 4 2 4 2 3" xfId="11619" xr:uid="{01FB15A8-E607-4420-AEFB-08691363BE22}"/>
    <cellStyle name="Normal 5 4 2 4 2 4" xfId="20054" xr:uid="{F4433CDE-B465-4A52-9DEA-C73A545B5BAF}"/>
    <cellStyle name="Normal 5 4 2 4 3" xfId="5242" xr:uid="{00000000-0005-0000-0000-0000EE1A0000}"/>
    <cellStyle name="Normal 5 4 2 4 3 2" xfId="13692" xr:uid="{F4F57BE2-411A-4B09-B1DC-7B236C60A683}"/>
    <cellStyle name="Normal 5 4 2 4 3 3" xfId="22126" xr:uid="{362821BE-A495-4E73-B267-C9B85C742A7E}"/>
    <cellStyle name="Normal 5 4 2 4 4" xfId="9474" xr:uid="{53130D6C-36D1-4B81-823C-590A058C1217}"/>
    <cellStyle name="Normal 5 4 2 4 5" xfId="17909" xr:uid="{64C5654C-7EF4-4872-81A0-37EEA48F9790}"/>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2EA20611-E4CC-42B0-8E6C-9FDE89F2C202}"/>
    <cellStyle name="Normal 5 4 2 5 2 2 3" xfId="24684" xr:uid="{5AE643D9-43DC-461C-9216-B58B4813FE49}"/>
    <cellStyle name="Normal 5 4 2 5 2 3" xfId="12032" xr:uid="{B40614D0-2E06-4A57-8F12-38ADAC47B81D}"/>
    <cellStyle name="Normal 5 4 2 5 2 4" xfId="20467" xr:uid="{F68776A0-D56B-41DA-9F64-E0C2A2D9908C}"/>
    <cellStyle name="Normal 5 4 2 5 3" xfId="5655" xr:uid="{00000000-0005-0000-0000-0000F21A0000}"/>
    <cellStyle name="Normal 5 4 2 5 3 2" xfId="14105" xr:uid="{47CA3F51-F624-42EB-A9FD-332468F99E60}"/>
    <cellStyle name="Normal 5 4 2 5 3 3" xfId="22539" xr:uid="{961735BC-45E6-491C-9641-27CEDB3563D5}"/>
    <cellStyle name="Normal 5 4 2 5 4" xfId="9887" xr:uid="{7503A11E-CA24-401D-A214-842E64289CEC}"/>
    <cellStyle name="Normal 5 4 2 5 5" xfId="18322" xr:uid="{F09847DE-7021-4ADD-BF89-1B5C77FDF0D7}"/>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B2C4CAEF-A978-4F57-A36B-571BD6FA88CF}"/>
    <cellStyle name="Normal 5 4 2 6 2 2 3" xfId="25097" xr:uid="{1653EF31-6FB0-4C48-BA22-26B1BFA415E8}"/>
    <cellStyle name="Normal 5 4 2 6 2 3" xfId="12445" xr:uid="{8CB26EAB-B187-40FF-8267-A0EF1A62B977}"/>
    <cellStyle name="Normal 5 4 2 6 2 4" xfId="20880" xr:uid="{2D09F184-9D4F-473E-AFF8-A440A9F66FEA}"/>
    <cellStyle name="Normal 5 4 2 6 3" xfId="6068" xr:uid="{00000000-0005-0000-0000-0000F61A0000}"/>
    <cellStyle name="Normal 5 4 2 6 3 2" xfId="14518" xr:uid="{0A7B6577-42FE-40E3-8439-1A4DB9895FFB}"/>
    <cellStyle name="Normal 5 4 2 6 3 3" xfId="22952" xr:uid="{5646FCDA-C17F-4F53-A1E1-AB8D513C1BE7}"/>
    <cellStyle name="Normal 5 4 2 6 4" xfId="10300" xr:uid="{BA88CE9D-CA9C-4420-B4BD-A58AE8CF258A}"/>
    <cellStyle name="Normal 5 4 2 6 5" xfId="18735" xr:uid="{E75A36DE-73B9-445A-A84A-8DE38EA3F4CD}"/>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3CE18830-4341-4914-BA7A-997BAD4E17BD}"/>
    <cellStyle name="Normal 5 4 2 7 2 2 3" xfId="25510" xr:uid="{156EAF8A-7BC6-45A2-836D-9BDE33F6152C}"/>
    <cellStyle name="Normal 5 4 2 7 2 3" xfId="12858" xr:uid="{939F2F8E-2485-48A9-BD46-4D083A1F968B}"/>
    <cellStyle name="Normal 5 4 2 7 2 4" xfId="21293" xr:uid="{4A440826-FB50-40F8-9F87-18E6E0F8DCF4}"/>
    <cellStyle name="Normal 5 4 2 7 3" xfId="6481" xr:uid="{00000000-0005-0000-0000-0000FA1A0000}"/>
    <cellStyle name="Normal 5 4 2 7 3 2" xfId="14931" xr:uid="{27B39228-004F-4C29-8156-1B4C2D7AD478}"/>
    <cellStyle name="Normal 5 4 2 7 3 3" xfId="23365" xr:uid="{CF2CF49E-6A7A-41CF-AEDE-6582379AFEE4}"/>
    <cellStyle name="Normal 5 4 2 7 4" xfId="10713" xr:uid="{1EF6D8A2-2FEC-413B-BCEF-778D89B8716C}"/>
    <cellStyle name="Normal 5 4 2 7 5" xfId="19148" xr:uid="{BBF3BDAE-38FA-4B5C-94DC-A63C394763FC}"/>
    <cellStyle name="Normal 5 4 2 8" xfId="2611" xr:uid="{00000000-0005-0000-0000-0000FB1A0000}"/>
    <cellStyle name="Normal 5 4 2 8 2" xfId="6894" xr:uid="{00000000-0005-0000-0000-0000FC1A0000}"/>
    <cellStyle name="Normal 5 4 2 8 2 2" xfId="15344" xr:uid="{0D79B79F-5F06-4B61-8A99-4DD954CADBA4}"/>
    <cellStyle name="Normal 5 4 2 8 2 3" xfId="23778" xr:uid="{DBF0BAC5-D7BF-445D-B2E7-EB027D1E08E3}"/>
    <cellStyle name="Normal 5 4 2 8 3" xfId="11126" xr:uid="{37CF2C26-7A1C-4734-91E8-5A30B601D60F}"/>
    <cellStyle name="Normal 5 4 2 8 4" xfId="19561" xr:uid="{C4C29662-C61B-4C8F-9C37-69BBC441CD22}"/>
    <cellStyle name="Normal 5 4 2 9" xfId="4829" xr:uid="{00000000-0005-0000-0000-0000FD1A0000}"/>
    <cellStyle name="Normal 5 4 2 9 2" xfId="13279" xr:uid="{3689AFF3-8019-4799-A49D-87420DF588C5}"/>
    <cellStyle name="Normal 5 4 2 9 3" xfId="21713" xr:uid="{BA83F0CF-2779-4CE9-B4E8-6CDF52673A6E}"/>
    <cellStyle name="Normal 5 4 3" xfId="461" xr:uid="{00000000-0005-0000-0000-0000FE1A0000}"/>
    <cellStyle name="Normal 5 4 3 10" xfId="17500" xr:uid="{1BE36EF1-4947-4F72-A3BF-5C76597983DA}"/>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78CD4433-3C7A-4C25-B2D2-875D90B531C3}"/>
    <cellStyle name="Normal 5 4 3 2 2 2 2 3" xfId="24276" xr:uid="{37D06939-6FAC-4D1A-A0F0-4A1004A86E22}"/>
    <cellStyle name="Normal 5 4 3 2 2 2 3" xfId="11624" xr:uid="{D0350ED6-8430-4004-85FD-577D28EDAB01}"/>
    <cellStyle name="Normal 5 4 3 2 2 2 4" xfId="20059" xr:uid="{E39E623F-B994-4722-879F-1075FA463CDF}"/>
    <cellStyle name="Normal 5 4 3 2 2 3" xfId="5247" xr:uid="{00000000-0005-0000-0000-0000031B0000}"/>
    <cellStyle name="Normal 5 4 3 2 2 3 2" xfId="13697" xr:uid="{38B987D0-C3F4-4A12-BEAD-6B7DD75BEFFD}"/>
    <cellStyle name="Normal 5 4 3 2 2 3 3" xfId="22131" xr:uid="{C67E9E50-61DB-4A80-9C56-7901F983730C}"/>
    <cellStyle name="Normal 5 4 3 2 2 4" xfId="9479" xr:uid="{DFBAE3DC-0EEE-4AC3-B960-C9577E24707C}"/>
    <cellStyle name="Normal 5 4 3 2 2 5" xfId="17914" xr:uid="{5252C42B-1C70-4842-A566-D6B93CB565F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F1E7C90B-DF7E-4AEA-952C-39498C835A81}"/>
    <cellStyle name="Normal 5 4 3 2 3 2 2 3" xfId="24689" xr:uid="{3CCB099F-C9B7-4B86-8850-707CEFEC781E}"/>
    <cellStyle name="Normal 5 4 3 2 3 2 3" xfId="12037" xr:uid="{2752A913-3842-47EC-89F9-4D8464B6F297}"/>
    <cellStyle name="Normal 5 4 3 2 3 2 4" xfId="20472" xr:uid="{1C4ECAFB-9B12-4FAF-B322-CD8EB3F19BE5}"/>
    <cellStyle name="Normal 5 4 3 2 3 3" xfId="5660" xr:uid="{00000000-0005-0000-0000-0000071B0000}"/>
    <cellStyle name="Normal 5 4 3 2 3 3 2" xfId="14110" xr:uid="{BDBBFDC4-5C18-487E-ABB1-B372752D00AD}"/>
    <cellStyle name="Normal 5 4 3 2 3 3 3" xfId="22544" xr:uid="{9AE1364D-78EB-4563-AC0D-9B8301505147}"/>
    <cellStyle name="Normal 5 4 3 2 3 4" xfId="9892" xr:uid="{3539E16C-4535-4968-9994-CC657B2E91F3}"/>
    <cellStyle name="Normal 5 4 3 2 3 5" xfId="18327" xr:uid="{C7A5C82A-8FCE-4D90-9CFE-01ADC4A63E55}"/>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0FF0C1B8-7D5D-43EC-8245-CB1A07B8B192}"/>
    <cellStyle name="Normal 5 4 3 2 4 2 2 3" xfId="25102" xr:uid="{E1F14419-AAA9-4F3A-84EA-65FEFE2727B8}"/>
    <cellStyle name="Normal 5 4 3 2 4 2 3" xfId="12450" xr:uid="{6EF0943F-3C02-4F7C-AC61-340C723543D4}"/>
    <cellStyle name="Normal 5 4 3 2 4 2 4" xfId="20885" xr:uid="{40126BA9-0FEC-4F7B-AB26-333C64EB0BE1}"/>
    <cellStyle name="Normal 5 4 3 2 4 3" xfId="6073" xr:uid="{00000000-0005-0000-0000-00000B1B0000}"/>
    <cellStyle name="Normal 5 4 3 2 4 3 2" xfId="14523" xr:uid="{76F190EE-6986-4A10-8210-8528081A5E9F}"/>
    <cellStyle name="Normal 5 4 3 2 4 3 3" xfId="22957" xr:uid="{F781C20C-B7CC-4B18-AB38-6E99D3DB9768}"/>
    <cellStyle name="Normal 5 4 3 2 4 4" xfId="10305" xr:uid="{A5EEDF6C-4F72-40AF-AD96-2DE1FBCA23D5}"/>
    <cellStyle name="Normal 5 4 3 2 4 5" xfId="18740" xr:uid="{44AAA67F-F405-41DD-997C-BEEC5C0D0A0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8B32A2E4-DB2A-4768-AAF4-EF9F5D057701}"/>
    <cellStyle name="Normal 5 4 3 2 5 2 2 3" xfId="25515" xr:uid="{A44CADCD-1CD3-4B34-ADAD-CAFB3371C831}"/>
    <cellStyle name="Normal 5 4 3 2 5 2 3" xfId="12863" xr:uid="{AEDDFA2B-0872-40FA-9D68-C33D41320F38}"/>
    <cellStyle name="Normal 5 4 3 2 5 2 4" xfId="21298" xr:uid="{4947D85C-93FC-4C12-9B93-87F93FAB4A93}"/>
    <cellStyle name="Normal 5 4 3 2 5 3" xfId="6486" xr:uid="{00000000-0005-0000-0000-00000F1B0000}"/>
    <cellStyle name="Normal 5 4 3 2 5 3 2" xfId="14936" xr:uid="{3EA21C88-7C41-4653-B63F-4F071501A3A6}"/>
    <cellStyle name="Normal 5 4 3 2 5 3 3" xfId="23370" xr:uid="{00E9321D-3FD1-450C-8CF5-B95D7F460A34}"/>
    <cellStyle name="Normal 5 4 3 2 5 4" xfId="10718" xr:uid="{96BB1512-18F8-44B9-AE50-F2D5D7AF5EC1}"/>
    <cellStyle name="Normal 5 4 3 2 5 5" xfId="19153" xr:uid="{F1B9C172-9A7B-4CBD-9D84-5DCE2AC476F5}"/>
    <cellStyle name="Normal 5 4 3 2 6" xfId="2616" xr:uid="{00000000-0005-0000-0000-0000101B0000}"/>
    <cellStyle name="Normal 5 4 3 2 6 2" xfId="6899" xr:uid="{00000000-0005-0000-0000-0000111B0000}"/>
    <cellStyle name="Normal 5 4 3 2 6 2 2" xfId="15349" xr:uid="{83B60BD2-ECDB-4629-A225-B2B2B4D4C60C}"/>
    <cellStyle name="Normal 5 4 3 2 6 2 3" xfId="23783" xr:uid="{B5AF087D-6C21-4D52-B2BE-C50E7A44620C}"/>
    <cellStyle name="Normal 5 4 3 2 6 3" xfId="11131" xr:uid="{E63E11DB-7236-4298-A133-EA6ADAD6B9AE}"/>
    <cellStyle name="Normal 5 4 3 2 6 4" xfId="19566" xr:uid="{3CD69DEF-5720-449A-A9C9-B12F655D3C07}"/>
    <cellStyle name="Normal 5 4 3 2 7" xfId="4834" xr:uid="{00000000-0005-0000-0000-0000121B0000}"/>
    <cellStyle name="Normal 5 4 3 2 7 2" xfId="13284" xr:uid="{8443EBA8-7E5C-432F-85DB-150C6E9050A3}"/>
    <cellStyle name="Normal 5 4 3 2 7 3" xfId="21718" xr:uid="{C4208893-293B-4BA6-923C-D67AB0C647B9}"/>
    <cellStyle name="Normal 5 4 3 2 8" xfId="9066" xr:uid="{C3048242-AE45-4493-8C6A-A6E3DC0A68D8}"/>
    <cellStyle name="Normal 5 4 3 2 9" xfId="17501" xr:uid="{5BF4B469-A53E-4ECC-A8F7-A875D0C94B1B}"/>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AA0C0AC6-70B2-449A-A074-8C27AA64749F}"/>
    <cellStyle name="Normal 5 4 3 3 2 2 3" xfId="24275" xr:uid="{8747D936-0963-4845-8E85-58FC1471A6EE}"/>
    <cellStyle name="Normal 5 4 3 3 2 3" xfId="11623" xr:uid="{82DD6DC5-5513-4964-BA96-58FCFDCF9BB5}"/>
    <cellStyle name="Normal 5 4 3 3 2 4" xfId="20058" xr:uid="{CC7A48AF-B542-4907-B559-8A640D47A283}"/>
    <cellStyle name="Normal 5 4 3 3 3" xfId="5246" xr:uid="{00000000-0005-0000-0000-0000161B0000}"/>
    <cellStyle name="Normal 5 4 3 3 3 2" xfId="13696" xr:uid="{D121AF6F-8837-471D-8D8D-DE119A02C882}"/>
    <cellStyle name="Normal 5 4 3 3 3 3" xfId="22130" xr:uid="{964FF5C9-C1BC-4DBD-84BF-E1636B34A758}"/>
    <cellStyle name="Normal 5 4 3 3 4" xfId="9478" xr:uid="{D187B620-1C55-4A55-A3A8-82CA9FCED5B7}"/>
    <cellStyle name="Normal 5 4 3 3 5" xfId="17913" xr:uid="{6AE3B805-C2DF-429D-B1F2-B56EF20F010C}"/>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EB83F0B5-0FD3-4D7E-8F10-E81C4252CA94}"/>
    <cellStyle name="Normal 5 4 3 4 2 2 3" xfId="24688" xr:uid="{21563C0D-97DA-4980-9FF6-E56D695CF4D3}"/>
    <cellStyle name="Normal 5 4 3 4 2 3" xfId="12036" xr:uid="{3AFA2938-C339-47AB-B072-111EA92A1CD9}"/>
    <cellStyle name="Normal 5 4 3 4 2 4" xfId="20471" xr:uid="{1E4751E4-99CB-48E9-98A7-6BA16908740C}"/>
    <cellStyle name="Normal 5 4 3 4 3" xfId="5659" xr:uid="{00000000-0005-0000-0000-00001A1B0000}"/>
    <cellStyle name="Normal 5 4 3 4 3 2" xfId="14109" xr:uid="{496BDE1D-F055-46F6-B31F-6765C288B066}"/>
    <cellStyle name="Normal 5 4 3 4 3 3" xfId="22543" xr:uid="{950D6618-9629-48A7-8F9F-7A79E9465E2C}"/>
    <cellStyle name="Normal 5 4 3 4 4" xfId="9891" xr:uid="{56E908E9-3CBF-4389-9BF3-DB1B5D15343A}"/>
    <cellStyle name="Normal 5 4 3 4 5" xfId="18326" xr:uid="{94ED23F2-F3AB-4819-99AB-F3D53477740B}"/>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873138F8-671B-4DBF-B0A8-BAC87B9CC275}"/>
    <cellStyle name="Normal 5 4 3 5 2 2 3" xfId="25101" xr:uid="{F16E5FE9-17D3-434D-9767-59B65CF459CC}"/>
    <cellStyle name="Normal 5 4 3 5 2 3" xfId="12449" xr:uid="{3950F72B-6565-4BF4-97E1-9A405E351C1F}"/>
    <cellStyle name="Normal 5 4 3 5 2 4" xfId="20884" xr:uid="{56B1DD91-601D-4900-BACD-2DFA24559AFB}"/>
    <cellStyle name="Normal 5 4 3 5 3" xfId="6072" xr:uid="{00000000-0005-0000-0000-00001E1B0000}"/>
    <cellStyle name="Normal 5 4 3 5 3 2" xfId="14522" xr:uid="{F7934AA5-08AF-48DB-946D-F4A0D30916F3}"/>
    <cellStyle name="Normal 5 4 3 5 3 3" xfId="22956" xr:uid="{79098AFA-9145-4D31-96E7-DFD23F6944C2}"/>
    <cellStyle name="Normal 5 4 3 5 4" xfId="10304" xr:uid="{9FA390D7-2739-462A-9AC7-845E860D419B}"/>
    <cellStyle name="Normal 5 4 3 5 5" xfId="18739" xr:uid="{E0D2594B-16A6-41A5-89AC-D845B51265E4}"/>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D97B92AA-89AE-4B03-ACB5-A7ECB5FC5B47}"/>
    <cellStyle name="Normal 5 4 3 6 2 2 3" xfId="25514" xr:uid="{6A7536D4-02AD-4744-B309-2845D0405C83}"/>
    <cellStyle name="Normal 5 4 3 6 2 3" xfId="12862" xr:uid="{F4ABAD1D-6ECF-4359-A542-2451A9C64D4F}"/>
    <cellStyle name="Normal 5 4 3 6 2 4" xfId="21297" xr:uid="{A31B9E33-A67E-4F48-AAAE-2E29411D1968}"/>
    <cellStyle name="Normal 5 4 3 6 3" xfId="6485" xr:uid="{00000000-0005-0000-0000-0000221B0000}"/>
    <cellStyle name="Normal 5 4 3 6 3 2" xfId="14935" xr:uid="{05F6EB14-1C75-43FE-8EFC-E3E244475CEC}"/>
    <cellStyle name="Normal 5 4 3 6 3 3" xfId="23369" xr:uid="{637E7816-AC6F-44DC-ACB9-2B0A4694828B}"/>
    <cellStyle name="Normal 5 4 3 6 4" xfId="10717" xr:uid="{A4B72126-9746-48E1-8A2C-367DABA719AB}"/>
    <cellStyle name="Normal 5 4 3 6 5" xfId="19152" xr:uid="{668D0B1F-7331-4FDB-A274-2EFC8B1EF1BF}"/>
    <cellStyle name="Normal 5 4 3 7" xfId="2615" xr:uid="{00000000-0005-0000-0000-0000231B0000}"/>
    <cellStyle name="Normal 5 4 3 7 2" xfId="6898" xr:uid="{00000000-0005-0000-0000-0000241B0000}"/>
    <cellStyle name="Normal 5 4 3 7 2 2" xfId="15348" xr:uid="{7DBAAFCC-BF48-4733-BB24-47C2244EDD0C}"/>
    <cellStyle name="Normal 5 4 3 7 2 3" xfId="23782" xr:uid="{1CA27FAB-7079-46F8-A68E-E893213B089D}"/>
    <cellStyle name="Normal 5 4 3 7 3" xfId="11130" xr:uid="{D400044E-9301-401C-85CB-7B353B04F0D9}"/>
    <cellStyle name="Normal 5 4 3 7 4" xfId="19565" xr:uid="{45423923-B45B-4E02-A1B3-89FA50F44251}"/>
    <cellStyle name="Normal 5 4 3 8" xfId="4833" xr:uid="{00000000-0005-0000-0000-0000251B0000}"/>
    <cellStyle name="Normal 5 4 3 8 2" xfId="13283" xr:uid="{2A461E14-B6BA-464B-8B69-C438FE727DA6}"/>
    <cellStyle name="Normal 5 4 3 8 3" xfId="21717" xr:uid="{4BC33641-27E4-4D4A-90D9-D65216D2FEE9}"/>
    <cellStyle name="Normal 5 4 3 9" xfId="9065" xr:uid="{3EA772B7-9CCF-4224-8DDE-9F00AAB560B1}"/>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1454DAEB-C18D-4E08-A664-352AB9C18635}"/>
    <cellStyle name="Normal 5 4 4 2 2 2 3" xfId="24277" xr:uid="{23B9C3F9-6430-4C90-8568-49E926050D9F}"/>
    <cellStyle name="Normal 5 4 4 2 2 3" xfId="11625" xr:uid="{F9898E1B-0478-41B3-9BC7-EDB6B6D76B04}"/>
    <cellStyle name="Normal 5 4 4 2 2 4" xfId="20060" xr:uid="{EE0A99FD-B957-4491-973E-1A4BE7B2F039}"/>
    <cellStyle name="Normal 5 4 4 2 3" xfId="5248" xr:uid="{00000000-0005-0000-0000-00002A1B0000}"/>
    <cellStyle name="Normal 5 4 4 2 3 2" xfId="13698" xr:uid="{AA716077-BBB5-438F-ADE8-C5188E9D682D}"/>
    <cellStyle name="Normal 5 4 4 2 3 3" xfId="22132" xr:uid="{1F66A9D4-B858-488C-BE79-931C8B6A7038}"/>
    <cellStyle name="Normal 5 4 4 2 4" xfId="9480" xr:uid="{5684A6AE-5C69-4959-A5AE-8ACC83EEF2C4}"/>
    <cellStyle name="Normal 5 4 4 2 5" xfId="17915" xr:uid="{3783CDDF-B741-4CCE-9D30-E465FC25886C}"/>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709AB7CE-4308-4149-A589-60E9DC65995B}"/>
    <cellStyle name="Normal 5 4 4 3 2 2 3" xfId="24690" xr:uid="{8BD14BBC-EE84-4789-84CF-62D09C904BC5}"/>
    <cellStyle name="Normal 5 4 4 3 2 3" xfId="12038" xr:uid="{AAF40DDB-5914-41A7-8E04-644EDDF65EFD}"/>
    <cellStyle name="Normal 5 4 4 3 2 4" xfId="20473" xr:uid="{054AA8EA-AEB3-43F6-8ACD-A30564540F22}"/>
    <cellStyle name="Normal 5 4 4 3 3" xfId="5661" xr:uid="{00000000-0005-0000-0000-00002E1B0000}"/>
    <cellStyle name="Normal 5 4 4 3 3 2" xfId="14111" xr:uid="{2188BD1C-EFC2-4E50-90C4-2F9BB19E5DA4}"/>
    <cellStyle name="Normal 5 4 4 3 3 3" xfId="22545" xr:uid="{2D2066B9-0220-4126-A273-E5D5C25A5982}"/>
    <cellStyle name="Normal 5 4 4 3 4" xfId="9893" xr:uid="{10607B47-9151-4551-948C-0713A6125632}"/>
    <cellStyle name="Normal 5 4 4 3 5" xfId="18328" xr:uid="{52FF863C-AB71-499A-8C98-093D66B42040}"/>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18BA1A69-9B41-4763-A526-988DA9054C4B}"/>
    <cellStyle name="Normal 5 4 4 4 2 2 3" xfId="25103" xr:uid="{46D73031-5708-40E5-AEDF-335F67051A9A}"/>
    <cellStyle name="Normal 5 4 4 4 2 3" xfId="12451" xr:uid="{C5C7063E-EB8F-4FE7-8C6E-40763E5662D9}"/>
    <cellStyle name="Normal 5 4 4 4 2 4" xfId="20886" xr:uid="{CAC08418-4780-4DFB-9740-8B20DC4E5411}"/>
    <cellStyle name="Normal 5 4 4 4 3" xfId="6074" xr:uid="{00000000-0005-0000-0000-0000321B0000}"/>
    <cellStyle name="Normal 5 4 4 4 3 2" xfId="14524" xr:uid="{DE1451EE-B4F6-4E9B-BA31-DC03E3372D9B}"/>
    <cellStyle name="Normal 5 4 4 4 3 3" xfId="22958" xr:uid="{FAF87121-379D-4120-BA7E-22D5156ACE57}"/>
    <cellStyle name="Normal 5 4 4 4 4" xfId="10306" xr:uid="{CC695BFF-14EF-4B88-87CC-9C24B40C0266}"/>
    <cellStyle name="Normal 5 4 4 4 5" xfId="18741" xr:uid="{123EBDC8-ADA7-48D1-9C9B-878A15A90293}"/>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68399340-3432-44E6-B0DD-8E41C65D28AC}"/>
    <cellStyle name="Normal 5 4 4 5 2 2 3" xfId="25516" xr:uid="{0401E873-72F7-4986-A37F-7303C00D6400}"/>
    <cellStyle name="Normal 5 4 4 5 2 3" xfId="12864" xr:uid="{C044B927-BDF5-482B-9EA1-5CC3140B3AA9}"/>
    <cellStyle name="Normal 5 4 4 5 2 4" xfId="21299" xr:uid="{681A2196-FC4A-44C4-87DF-FAA538170C38}"/>
    <cellStyle name="Normal 5 4 4 5 3" xfId="6487" xr:uid="{00000000-0005-0000-0000-0000361B0000}"/>
    <cellStyle name="Normal 5 4 4 5 3 2" xfId="14937" xr:uid="{D6C3498A-6456-4FC6-BE2A-2C349C0D1580}"/>
    <cellStyle name="Normal 5 4 4 5 3 3" xfId="23371" xr:uid="{2FEB178D-3160-4019-AA35-B3C742BE4A42}"/>
    <cellStyle name="Normal 5 4 4 5 4" xfId="10719" xr:uid="{3D8323BB-F26F-4BCE-A2E7-7ECE6D5DCFFF}"/>
    <cellStyle name="Normal 5 4 4 5 5" xfId="19154" xr:uid="{52E306A7-453D-47A7-B4B8-FCC1354DF2CB}"/>
    <cellStyle name="Normal 5 4 4 6" xfId="2617" xr:uid="{00000000-0005-0000-0000-0000371B0000}"/>
    <cellStyle name="Normal 5 4 4 6 2" xfId="6900" xr:uid="{00000000-0005-0000-0000-0000381B0000}"/>
    <cellStyle name="Normal 5 4 4 6 2 2" xfId="15350" xr:uid="{2A13EBB5-91CD-4825-83B6-25036ADAD841}"/>
    <cellStyle name="Normal 5 4 4 6 2 3" xfId="23784" xr:uid="{FC9A0E6D-FFCF-4DE1-8397-06156ECC1728}"/>
    <cellStyle name="Normal 5 4 4 6 3" xfId="11132" xr:uid="{A0ADB4A7-DF47-4A10-8815-19A6C7E223F9}"/>
    <cellStyle name="Normal 5 4 4 6 4" xfId="19567" xr:uid="{349F1283-636F-4AFC-8367-9B33BDD88EA1}"/>
    <cellStyle name="Normal 5 4 4 7" xfId="4835" xr:uid="{00000000-0005-0000-0000-0000391B0000}"/>
    <cellStyle name="Normal 5 4 4 7 2" xfId="13285" xr:uid="{57A5F7E5-8D74-4D02-A535-A782E0E809E4}"/>
    <cellStyle name="Normal 5 4 4 7 3" xfId="21719" xr:uid="{32403EFD-CB54-495B-8285-3327B8A70DBE}"/>
    <cellStyle name="Normal 5 4 4 8" xfId="9067" xr:uid="{3218DD1E-F211-4548-98CC-6CD7606361E6}"/>
    <cellStyle name="Normal 5 4 4 9" xfId="17502" xr:uid="{C08FD985-57A9-4D67-AE26-6B4A0C376AA1}"/>
    <cellStyle name="Normal 5 4 5" xfId="930" xr:uid="{00000000-0005-0000-0000-00003A1B0000}"/>
    <cellStyle name="Normal 5 4 5 2" xfId="3164" xr:uid="{00000000-0005-0000-0000-00003B1B0000}"/>
    <cellStyle name="Normal 5 4 5 2 2" xfId="7386" xr:uid="{00000000-0005-0000-0000-00003C1B0000}"/>
    <cellStyle name="Normal 5 4 5 2 2 2" xfId="15836" xr:uid="{4B4DC324-C23D-437D-9187-EC7832D57093}"/>
    <cellStyle name="Normal 5 4 5 2 2 3" xfId="24270" xr:uid="{EB2603E5-9C30-41A0-978E-844582BFECA0}"/>
    <cellStyle name="Normal 5 4 5 2 3" xfId="11618" xr:uid="{410EE39C-4520-43A7-99AD-D36FF43D8CE4}"/>
    <cellStyle name="Normal 5 4 5 2 4" xfId="20053" xr:uid="{4A0E89A5-FDAF-4E01-BCC1-E95A0AD2E686}"/>
    <cellStyle name="Normal 5 4 5 3" xfId="5241" xr:uid="{00000000-0005-0000-0000-00003D1B0000}"/>
    <cellStyle name="Normal 5 4 5 3 2" xfId="13691" xr:uid="{FAB0489E-7730-48FD-994D-093CC7DA0C3D}"/>
    <cellStyle name="Normal 5 4 5 3 3" xfId="22125" xr:uid="{3B1DB691-51D7-4752-A59D-C0A2990C5A0F}"/>
    <cellStyle name="Normal 5 4 5 4" xfId="9473" xr:uid="{76828643-3F7D-4DA2-961D-4B11D5267CBB}"/>
    <cellStyle name="Normal 5 4 5 5" xfId="17908" xr:uid="{C2DC50CC-88ED-4062-9752-D29742AD5E00}"/>
    <cellStyle name="Normal 5 4 6" xfId="1347" xr:uid="{00000000-0005-0000-0000-00003E1B0000}"/>
    <cellStyle name="Normal 5 4 6 2" xfId="3577" xr:uid="{00000000-0005-0000-0000-00003F1B0000}"/>
    <cellStyle name="Normal 5 4 6 2 2" xfId="7799" xr:uid="{00000000-0005-0000-0000-0000401B0000}"/>
    <cellStyle name="Normal 5 4 6 2 2 2" xfId="16249" xr:uid="{E8E26525-4906-42AF-B9FA-9183C0BB302C}"/>
    <cellStyle name="Normal 5 4 6 2 2 3" xfId="24683" xr:uid="{F526081E-8E0B-488E-A2B6-206903C916C0}"/>
    <cellStyle name="Normal 5 4 6 2 3" xfId="12031" xr:uid="{FBE84D38-F4AD-4132-89E8-4DAC56538358}"/>
    <cellStyle name="Normal 5 4 6 2 4" xfId="20466" xr:uid="{7E319880-536E-4A6E-B9B4-4F1080891FE5}"/>
    <cellStyle name="Normal 5 4 6 3" xfId="5654" xr:uid="{00000000-0005-0000-0000-0000411B0000}"/>
    <cellStyle name="Normal 5 4 6 3 2" xfId="14104" xr:uid="{8B58453D-2BA0-4E68-A066-793FE3048580}"/>
    <cellStyle name="Normal 5 4 6 3 3" xfId="22538" xr:uid="{403E3C2F-1BCD-44DF-B19A-EA883D611D66}"/>
    <cellStyle name="Normal 5 4 6 4" xfId="9886" xr:uid="{8481DE75-93AE-4AF3-80C9-174E07F585BF}"/>
    <cellStyle name="Normal 5 4 6 5" xfId="18321" xr:uid="{AE57ED1E-60B6-488A-8DD1-A524857A9CDB}"/>
    <cellStyle name="Normal 5 4 7" xfId="1760" xr:uid="{00000000-0005-0000-0000-0000421B0000}"/>
    <cellStyle name="Normal 5 4 7 2" xfId="3990" xr:uid="{00000000-0005-0000-0000-0000431B0000}"/>
    <cellStyle name="Normal 5 4 7 2 2" xfId="8212" xr:uid="{00000000-0005-0000-0000-0000441B0000}"/>
    <cellStyle name="Normal 5 4 7 2 2 2" xfId="16662" xr:uid="{90F902F4-587F-4444-957F-418FD5D661C8}"/>
    <cellStyle name="Normal 5 4 7 2 2 3" xfId="25096" xr:uid="{A26772CC-AB28-4742-A51B-82F8D0CF3BF1}"/>
    <cellStyle name="Normal 5 4 7 2 3" xfId="12444" xr:uid="{2DEBC9AB-5148-4A23-B1FE-97E98B288C63}"/>
    <cellStyle name="Normal 5 4 7 2 4" xfId="20879" xr:uid="{B5AEA342-ACAF-450D-8AB0-A6C2BAED4356}"/>
    <cellStyle name="Normal 5 4 7 3" xfId="6067" xr:uid="{00000000-0005-0000-0000-0000451B0000}"/>
    <cellStyle name="Normal 5 4 7 3 2" xfId="14517" xr:uid="{50C03DCC-F4B5-489F-9037-DC2E6CB4563F}"/>
    <cellStyle name="Normal 5 4 7 3 3" xfId="22951" xr:uid="{7854BDBC-C7E1-4606-BD99-97007E40FD1B}"/>
    <cellStyle name="Normal 5 4 7 4" xfId="10299" xr:uid="{2F9E2313-6BB3-480A-A233-86A07267EB25}"/>
    <cellStyle name="Normal 5 4 7 5" xfId="18734" xr:uid="{B5F78FE8-0671-4C3B-A928-1A9B36CEDD88}"/>
    <cellStyle name="Normal 5 4 8" xfId="2174" xr:uid="{00000000-0005-0000-0000-0000461B0000}"/>
    <cellStyle name="Normal 5 4 8 2" xfId="4403" xr:uid="{00000000-0005-0000-0000-0000471B0000}"/>
    <cellStyle name="Normal 5 4 8 2 2" xfId="8625" xr:uid="{00000000-0005-0000-0000-0000481B0000}"/>
    <cellStyle name="Normal 5 4 8 2 2 2" xfId="17075" xr:uid="{ACE566EB-0FE7-4161-A1EB-95647033290C}"/>
    <cellStyle name="Normal 5 4 8 2 2 3" xfId="25509" xr:uid="{54583CA4-5511-4A00-BBDA-2A1FBA2E7451}"/>
    <cellStyle name="Normal 5 4 8 2 3" xfId="12857" xr:uid="{9B189849-0EA9-45DC-BE84-EF44C3732B75}"/>
    <cellStyle name="Normal 5 4 8 2 4" xfId="21292" xr:uid="{2EDED09E-45BE-4D3F-B1F8-E80EAB0CF9F9}"/>
    <cellStyle name="Normal 5 4 8 3" xfId="6480" xr:uid="{00000000-0005-0000-0000-0000491B0000}"/>
    <cellStyle name="Normal 5 4 8 3 2" xfId="14930" xr:uid="{349CFF32-DBAF-4736-B6B4-6596E269AEBD}"/>
    <cellStyle name="Normal 5 4 8 3 3" xfId="23364" xr:uid="{33E444A8-1826-4947-9DE8-4A4197D0FBD6}"/>
    <cellStyle name="Normal 5 4 8 4" xfId="10712" xr:uid="{8E102FD2-34F7-4CA9-B481-8203466FABA1}"/>
    <cellStyle name="Normal 5 4 8 5" xfId="19147" xr:uid="{BE9A46E1-15E8-4B18-BC6C-2C733219273D}"/>
    <cellStyle name="Normal 5 4 9" xfId="2610" xr:uid="{00000000-0005-0000-0000-00004A1B0000}"/>
    <cellStyle name="Normal 5 4 9 2" xfId="6893" xr:uid="{00000000-0005-0000-0000-00004B1B0000}"/>
    <cellStyle name="Normal 5 4 9 2 2" xfId="15343" xr:uid="{497151FB-EC72-41EC-9188-EA43FCB70289}"/>
    <cellStyle name="Normal 5 4 9 2 3" xfId="23777" xr:uid="{DD089A72-8CE7-4017-90EF-7BE063F9DD1E}"/>
    <cellStyle name="Normal 5 4 9 3" xfId="11125" xr:uid="{B10935D3-DAE8-4133-B70F-D35A97A6CE55}"/>
    <cellStyle name="Normal 5 4 9 4" xfId="19560" xr:uid="{8802EFFF-5F44-46C4-82A4-53DA43EBDC93}"/>
    <cellStyle name="Normal 5 5" xfId="464" xr:uid="{00000000-0005-0000-0000-00004C1B0000}"/>
    <cellStyle name="Normal 5 5 10" xfId="9068" xr:uid="{83852B9B-1E38-469C-86F0-7ACB9D2BA5B8}"/>
    <cellStyle name="Normal 5 5 11" xfId="17503" xr:uid="{FA5BCE42-19CB-432B-92CD-26F0B33C1B13}"/>
    <cellStyle name="Normal 5 5 2" xfId="465" xr:uid="{00000000-0005-0000-0000-00004D1B0000}"/>
    <cellStyle name="Normal 5 5 2 10" xfId="17504" xr:uid="{E0FF0D13-42EE-406F-A991-0F68CC2B0D45}"/>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743FE3C3-025F-4106-BA78-7263042C6411}"/>
    <cellStyle name="Normal 5 5 2 2 2 2 2 3" xfId="24280" xr:uid="{615E2619-13D5-4D74-A7FD-5B7DD6FA27EF}"/>
    <cellStyle name="Normal 5 5 2 2 2 2 3" xfId="11628" xr:uid="{AC3FADF3-8AF5-4AE8-BCC3-B73C5A442C06}"/>
    <cellStyle name="Normal 5 5 2 2 2 2 4" xfId="20063" xr:uid="{B92092DF-4D19-478B-AAB7-E29664CA2F8B}"/>
    <cellStyle name="Normal 5 5 2 2 2 3" xfId="5251" xr:uid="{00000000-0005-0000-0000-0000521B0000}"/>
    <cellStyle name="Normal 5 5 2 2 2 3 2" xfId="13701" xr:uid="{44A1F41D-DA52-48EB-BA30-39BD6D5BEEBE}"/>
    <cellStyle name="Normal 5 5 2 2 2 3 3" xfId="22135" xr:uid="{4B469C23-4FC4-4CAD-9A10-E5B61CD3FA12}"/>
    <cellStyle name="Normal 5 5 2 2 2 4" xfId="9483" xr:uid="{A1761536-E1A9-4D61-9F01-2D59CD55E164}"/>
    <cellStyle name="Normal 5 5 2 2 2 5" xfId="17918" xr:uid="{E6F678DC-969A-4363-A473-89CD07CD0FB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42506B0D-B579-49F5-B674-178EF29061FF}"/>
    <cellStyle name="Normal 5 5 2 2 3 2 2 3" xfId="24693" xr:uid="{D9B7CFDF-9755-4821-AF75-4AE63323D89B}"/>
    <cellStyle name="Normal 5 5 2 2 3 2 3" xfId="12041" xr:uid="{8699C96A-8FDE-412C-A4BA-E58891E4FC37}"/>
    <cellStyle name="Normal 5 5 2 2 3 2 4" xfId="20476" xr:uid="{70A345F7-3439-4CD5-9EB4-18C634260CD8}"/>
    <cellStyle name="Normal 5 5 2 2 3 3" xfId="5664" xr:uid="{00000000-0005-0000-0000-0000561B0000}"/>
    <cellStyle name="Normal 5 5 2 2 3 3 2" xfId="14114" xr:uid="{F7E411CA-CE0C-49EA-ACE3-732A6DBA4499}"/>
    <cellStyle name="Normal 5 5 2 2 3 3 3" xfId="22548" xr:uid="{6E222361-29ED-4409-A4C6-FF607219F1B2}"/>
    <cellStyle name="Normal 5 5 2 2 3 4" xfId="9896" xr:uid="{3802BCD8-9C49-4B8A-82A6-70D45F7195D1}"/>
    <cellStyle name="Normal 5 5 2 2 3 5" xfId="18331" xr:uid="{26CBFD8E-756C-4B2D-B12C-E98DAEF8CA68}"/>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E6B986E2-8BBB-4606-9087-EB746BFFFAFC}"/>
    <cellStyle name="Normal 5 5 2 2 4 2 2 3" xfId="25106" xr:uid="{5522926F-B7E3-4DDA-B481-5E746546DC75}"/>
    <cellStyle name="Normal 5 5 2 2 4 2 3" xfId="12454" xr:uid="{76037147-9363-44CE-8FE9-168BC93F23AD}"/>
    <cellStyle name="Normal 5 5 2 2 4 2 4" xfId="20889" xr:uid="{F93DDBE5-5FA7-470E-A328-B7B67300434B}"/>
    <cellStyle name="Normal 5 5 2 2 4 3" xfId="6077" xr:uid="{00000000-0005-0000-0000-00005A1B0000}"/>
    <cellStyle name="Normal 5 5 2 2 4 3 2" xfId="14527" xr:uid="{A5766D1F-9232-4B75-B6A6-BE89957F0D58}"/>
    <cellStyle name="Normal 5 5 2 2 4 3 3" xfId="22961" xr:uid="{DA6B0271-D97B-4C82-BCEA-7F40330B67A1}"/>
    <cellStyle name="Normal 5 5 2 2 4 4" xfId="10309" xr:uid="{55604262-2663-4269-ACCD-3D30D991235F}"/>
    <cellStyle name="Normal 5 5 2 2 4 5" xfId="18744" xr:uid="{2B330D29-6250-485D-BB92-5318A9C33B17}"/>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8D48C348-A2A9-4A9F-910E-B25C2BE51C28}"/>
    <cellStyle name="Normal 5 5 2 2 5 2 2 3" xfId="25519" xr:uid="{B865FE35-EB2F-4701-A5F7-FE5C4B652E38}"/>
    <cellStyle name="Normal 5 5 2 2 5 2 3" xfId="12867" xr:uid="{462F8699-4E53-4690-A4A6-0EEAA92677C0}"/>
    <cellStyle name="Normal 5 5 2 2 5 2 4" xfId="21302" xr:uid="{D607E0DA-EA4B-46DF-8461-1A69990543BF}"/>
    <cellStyle name="Normal 5 5 2 2 5 3" xfId="6490" xr:uid="{00000000-0005-0000-0000-00005E1B0000}"/>
    <cellStyle name="Normal 5 5 2 2 5 3 2" xfId="14940" xr:uid="{46829437-913F-4A84-8E0D-E772F197F67B}"/>
    <cellStyle name="Normal 5 5 2 2 5 3 3" xfId="23374" xr:uid="{4AB7F09B-A508-4A44-A329-D89B32B0829A}"/>
    <cellStyle name="Normal 5 5 2 2 5 4" xfId="10722" xr:uid="{7CF1D1B3-ED5D-4BD6-8654-4DFE03C893F0}"/>
    <cellStyle name="Normal 5 5 2 2 5 5" xfId="19157" xr:uid="{4AC67849-7EFA-4562-B40C-525475699276}"/>
    <cellStyle name="Normal 5 5 2 2 6" xfId="2620" xr:uid="{00000000-0005-0000-0000-00005F1B0000}"/>
    <cellStyle name="Normal 5 5 2 2 6 2" xfId="6903" xr:uid="{00000000-0005-0000-0000-0000601B0000}"/>
    <cellStyle name="Normal 5 5 2 2 6 2 2" xfId="15353" xr:uid="{9A173869-7AB7-4E07-96EE-091D440D381F}"/>
    <cellStyle name="Normal 5 5 2 2 6 2 3" xfId="23787" xr:uid="{A11C07D7-298A-4AA8-B9FF-D664B7526456}"/>
    <cellStyle name="Normal 5 5 2 2 6 3" xfId="11135" xr:uid="{7336E888-A848-48F9-8C51-B5F1566000C9}"/>
    <cellStyle name="Normal 5 5 2 2 6 4" xfId="19570" xr:uid="{A77B71E9-7B14-48A6-A0BF-46AEE6111524}"/>
    <cellStyle name="Normal 5 5 2 2 7" xfId="4838" xr:uid="{00000000-0005-0000-0000-0000611B0000}"/>
    <cellStyle name="Normal 5 5 2 2 7 2" xfId="13288" xr:uid="{B662B960-67D1-4E6E-9644-72DA6F23EBA6}"/>
    <cellStyle name="Normal 5 5 2 2 7 3" xfId="21722" xr:uid="{FC4F43A4-00C1-430F-A3A0-5AB5AD4210BE}"/>
    <cellStyle name="Normal 5 5 2 2 8" xfId="9070" xr:uid="{811E69F5-A15B-4E15-BFFD-5A35A71C39A5}"/>
    <cellStyle name="Normal 5 5 2 2 9" xfId="17505" xr:uid="{F4322693-EF88-4575-A9DE-A5BA40991454}"/>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AF8EDD76-826C-45F8-873F-3381B0D45288}"/>
    <cellStyle name="Normal 5 5 2 3 2 2 3" xfId="24279" xr:uid="{9DE63AB4-7D88-4CC0-AE0A-5BE419F20F51}"/>
    <cellStyle name="Normal 5 5 2 3 2 3" xfId="11627" xr:uid="{491F2B74-C530-4EC2-90FE-A0B2AEA9DF28}"/>
    <cellStyle name="Normal 5 5 2 3 2 4" xfId="20062" xr:uid="{50CA9AD4-2934-41EA-86A3-020530341B2E}"/>
    <cellStyle name="Normal 5 5 2 3 3" xfId="5250" xr:uid="{00000000-0005-0000-0000-0000651B0000}"/>
    <cellStyle name="Normal 5 5 2 3 3 2" xfId="13700" xr:uid="{0C468265-E333-417B-B280-E0BF64707D77}"/>
    <cellStyle name="Normal 5 5 2 3 3 3" xfId="22134" xr:uid="{60EBD667-5A76-4FAB-A45A-FC78B6241AB5}"/>
    <cellStyle name="Normal 5 5 2 3 4" xfId="9482" xr:uid="{F7688C5D-898C-43A7-9EFC-0245C69EFEE9}"/>
    <cellStyle name="Normal 5 5 2 3 5" xfId="17917" xr:uid="{D09F7C87-906B-4E4E-9337-FDB30247465B}"/>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A4102968-D5AF-47AB-9E78-418A8209E44D}"/>
    <cellStyle name="Normal 5 5 2 4 2 2 3" xfId="24692" xr:uid="{0CE5D213-606E-4FCA-B7EB-8B21857E22E6}"/>
    <cellStyle name="Normal 5 5 2 4 2 3" xfId="12040" xr:uid="{45C0C604-44B6-4CB5-88E6-F928B8AA83A1}"/>
    <cellStyle name="Normal 5 5 2 4 2 4" xfId="20475" xr:uid="{C38B8591-4290-4AEC-9A22-A6DDE0BF06B0}"/>
    <cellStyle name="Normal 5 5 2 4 3" xfId="5663" xr:uid="{00000000-0005-0000-0000-0000691B0000}"/>
    <cellStyle name="Normal 5 5 2 4 3 2" xfId="14113" xr:uid="{214374A4-C33E-4420-9C25-5DB815C6536F}"/>
    <cellStyle name="Normal 5 5 2 4 3 3" xfId="22547" xr:uid="{FFFED385-594F-426D-A5F3-88E2C92353CB}"/>
    <cellStyle name="Normal 5 5 2 4 4" xfId="9895" xr:uid="{033FAA00-70D1-440B-8828-F72138D919EE}"/>
    <cellStyle name="Normal 5 5 2 4 5" xfId="18330" xr:uid="{1874F0AC-358A-4402-AC94-F2FD44D7069A}"/>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EF86D81F-EA40-4ED2-9F8A-090DE6549105}"/>
    <cellStyle name="Normal 5 5 2 5 2 2 3" xfId="25105" xr:uid="{98405332-058D-4034-AAFB-C6766958EF56}"/>
    <cellStyle name="Normal 5 5 2 5 2 3" xfId="12453" xr:uid="{C527AF1C-F903-4E99-A74E-D1549B19322C}"/>
    <cellStyle name="Normal 5 5 2 5 2 4" xfId="20888" xr:uid="{1C99C6DE-3644-4213-B037-ACA777EBE831}"/>
    <cellStyle name="Normal 5 5 2 5 3" xfId="6076" xr:uid="{00000000-0005-0000-0000-00006D1B0000}"/>
    <cellStyle name="Normal 5 5 2 5 3 2" xfId="14526" xr:uid="{CC7658FE-72E3-4B7B-B5C1-388813371012}"/>
    <cellStyle name="Normal 5 5 2 5 3 3" xfId="22960" xr:uid="{9F35A5DA-8CFA-427A-99D1-BE582D821155}"/>
    <cellStyle name="Normal 5 5 2 5 4" xfId="10308" xr:uid="{704190E2-E2AD-44BD-8679-BBEA7A589D2A}"/>
    <cellStyle name="Normal 5 5 2 5 5" xfId="18743" xr:uid="{11741736-27B4-4C5C-9BBA-3FBB372FA2A0}"/>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128845DB-505F-4817-9E90-2AFE9D2DDD16}"/>
    <cellStyle name="Normal 5 5 2 6 2 2 3" xfId="25518" xr:uid="{9E17FC0F-1420-4EB0-A87E-6D28767B5E25}"/>
    <cellStyle name="Normal 5 5 2 6 2 3" xfId="12866" xr:uid="{70B1451C-11CA-4491-9C2C-32E5789B2C60}"/>
    <cellStyle name="Normal 5 5 2 6 2 4" xfId="21301" xr:uid="{FC1B4B97-B6DD-4017-BF6E-120052A5EDCA}"/>
    <cellStyle name="Normal 5 5 2 6 3" xfId="6489" xr:uid="{00000000-0005-0000-0000-0000711B0000}"/>
    <cellStyle name="Normal 5 5 2 6 3 2" xfId="14939" xr:uid="{38A6E652-931E-441C-8FEF-BBA3975ACE04}"/>
    <cellStyle name="Normal 5 5 2 6 3 3" xfId="23373" xr:uid="{42E3B730-CC12-4740-9A67-E6E884C3DA41}"/>
    <cellStyle name="Normal 5 5 2 6 4" xfId="10721" xr:uid="{C374CE26-A12C-4D3B-9824-04ECC2C5B264}"/>
    <cellStyle name="Normal 5 5 2 6 5" xfId="19156" xr:uid="{E8ACBBA0-72C4-4439-9700-5B4C112998ED}"/>
    <cellStyle name="Normal 5 5 2 7" xfId="2619" xr:uid="{00000000-0005-0000-0000-0000721B0000}"/>
    <cellStyle name="Normal 5 5 2 7 2" xfId="6902" xr:uid="{00000000-0005-0000-0000-0000731B0000}"/>
    <cellStyle name="Normal 5 5 2 7 2 2" xfId="15352" xr:uid="{8A6884CC-3DBF-479F-B5A7-B77EC373AC7F}"/>
    <cellStyle name="Normal 5 5 2 7 2 3" xfId="23786" xr:uid="{F3763B4D-6A67-4979-951D-D51BA10B372F}"/>
    <cellStyle name="Normal 5 5 2 7 3" xfId="11134" xr:uid="{50896BC5-17A9-4AE6-B594-9660145D8649}"/>
    <cellStyle name="Normal 5 5 2 7 4" xfId="19569" xr:uid="{F21E5F85-C4AE-40F8-B76A-E879DF4B436C}"/>
    <cellStyle name="Normal 5 5 2 8" xfId="4837" xr:uid="{00000000-0005-0000-0000-0000741B0000}"/>
    <cellStyle name="Normal 5 5 2 8 2" xfId="13287" xr:uid="{353EF1DB-47E4-495E-9A1D-A8F5729D26E1}"/>
    <cellStyle name="Normal 5 5 2 8 3" xfId="21721" xr:uid="{376AEE5F-4986-4BB5-85A7-6B6517AED24D}"/>
    <cellStyle name="Normal 5 5 2 9" xfId="9069" xr:uid="{6501585F-DF80-4A69-A922-958213600E9E}"/>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F7EA7A01-AF4D-4BBA-A681-953A52A858D4}"/>
    <cellStyle name="Normal 5 5 3 2 2 2 3" xfId="24281" xr:uid="{015D9A47-104D-4299-9302-78DA6DE9D9FD}"/>
    <cellStyle name="Normal 5 5 3 2 2 3" xfId="11629" xr:uid="{BC0A4D9B-9973-4FF7-8A83-94C906E1B3B3}"/>
    <cellStyle name="Normal 5 5 3 2 2 4" xfId="20064" xr:uid="{FD2961CF-0A35-4FDF-A296-A0C6C363EE07}"/>
    <cellStyle name="Normal 5 5 3 2 3" xfId="5252" xr:uid="{00000000-0005-0000-0000-0000791B0000}"/>
    <cellStyle name="Normal 5 5 3 2 3 2" xfId="13702" xr:uid="{9CCC7260-E9E3-43FF-8F03-3DCC6D45D69E}"/>
    <cellStyle name="Normal 5 5 3 2 3 3" xfId="22136" xr:uid="{E0936187-BD44-439E-8BBA-3846DF550EC6}"/>
    <cellStyle name="Normal 5 5 3 2 4" xfId="9484" xr:uid="{3A908CAD-6B83-41DB-8080-931750FF4279}"/>
    <cellStyle name="Normal 5 5 3 2 5" xfId="17919" xr:uid="{38F12983-12F2-4C23-BE6C-B1366306DECB}"/>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9CD80036-1F73-4B25-AF20-980543BB6EE6}"/>
    <cellStyle name="Normal 5 5 3 3 2 2 3" xfId="24694" xr:uid="{6D88E0AD-CB92-42C2-99B6-75113DD48EBC}"/>
    <cellStyle name="Normal 5 5 3 3 2 3" xfId="12042" xr:uid="{9C7C1CFB-95A9-49FF-B82E-BEA447F97104}"/>
    <cellStyle name="Normal 5 5 3 3 2 4" xfId="20477" xr:uid="{9D580F65-C17E-4560-A970-76C048EC4C59}"/>
    <cellStyle name="Normal 5 5 3 3 3" xfId="5665" xr:uid="{00000000-0005-0000-0000-00007D1B0000}"/>
    <cellStyle name="Normal 5 5 3 3 3 2" xfId="14115" xr:uid="{A7C6B90A-0970-47E6-AAA3-4055FF8ACE2D}"/>
    <cellStyle name="Normal 5 5 3 3 3 3" xfId="22549" xr:uid="{B010B657-E71C-426F-BDBC-D28A9040C15D}"/>
    <cellStyle name="Normal 5 5 3 3 4" xfId="9897" xr:uid="{6E2D6AA9-6D58-4564-A266-02A36140BE18}"/>
    <cellStyle name="Normal 5 5 3 3 5" xfId="18332" xr:uid="{ECF390DD-BFC4-4ED3-9E49-C051022A5237}"/>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7E8B5691-C9C1-40AF-9F97-D82BC36B4F5B}"/>
    <cellStyle name="Normal 5 5 3 4 2 2 3" xfId="25107" xr:uid="{EB96FF35-0811-473B-BE4A-C2C5C4A6C648}"/>
    <cellStyle name="Normal 5 5 3 4 2 3" xfId="12455" xr:uid="{EC84C96D-4A68-4255-A0E5-57FADC6E9E99}"/>
    <cellStyle name="Normal 5 5 3 4 2 4" xfId="20890" xr:uid="{827AF78C-78C2-413E-A800-46BAB7A93101}"/>
    <cellStyle name="Normal 5 5 3 4 3" xfId="6078" xr:uid="{00000000-0005-0000-0000-0000811B0000}"/>
    <cellStyle name="Normal 5 5 3 4 3 2" xfId="14528" xr:uid="{D2FA28EB-60BA-4BAF-9BBA-366708000FB9}"/>
    <cellStyle name="Normal 5 5 3 4 3 3" xfId="22962" xr:uid="{40173617-D750-4E9F-AB28-30C7A6340018}"/>
    <cellStyle name="Normal 5 5 3 4 4" xfId="10310" xr:uid="{6A9B48A2-DB3F-4118-8AC7-D7EB4A3B6C6E}"/>
    <cellStyle name="Normal 5 5 3 4 5" xfId="18745" xr:uid="{B6CE17A4-CD7A-49ED-BD34-BA70B53ACB8F}"/>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6550CECE-5041-4693-B791-0890E7EFEB81}"/>
    <cellStyle name="Normal 5 5 3 5 2 2 3" xfId="25520" xr:uid="{71E1F256-D14B-4EA6-8966-44108280AC66}"/>
    <cellStyle name="Normal 5 5 3 5 2 3" xfId="12868" xr:uid="{0D1BF7FB-E63F-402B-A5FF-CD09C5260762}"/>
    <cellStyle name="Normal 5 5 3 5 2 4" xfId="21303" xr:uid="{A1F5394E-2179-41F4-9F18-C63FA288F550}"/>
    <cellStyle name="Normal 5 5 3 5 3" xfId="6491" xr:uid="{00000000-0005-0000-0000-0000851B0000}"/>
    <cellStyle name="Normal 5 5 3 5 3 2" xfId="14941" xr:uid="{30903EDA-9CB0-41F9-94EB-C51BBE1BDB63}"/>
    <cellStyle name="Normal 5 5 3 5 3 3" xfId="23375" xr:uid="{52B0DC72-0C90-4413-A3EB-846D0F6F64B0}"/>
    <cellStyle name="Normal 5 5 3 5 4" xfId="10723" xr:uid="{823E4F2A-7DA4-43EC-8E23-E50AF8BA65FF}"/>
    <cellStyle name="Normal 5 5 3 5 5" xfId="19158" xr:uid="{35B0372A-A3E2-4CBE-AE29-8B9AE9E531E3}"/>
    <cellStyle name="Normal 5 5 3 6" xfId="2621" xr:uid="{00000000-0005-0000-0000-0000861B0000}"/>
    <cellStyle name="Normal 5 5 3 6 2" xfId="6904" xr:uid="{00000000-0005-0000-0000-0000871B0000}"/>
    <cellStyle name="Normal 5 5 3 6 2 2" xfId="15354" xr:uid="{FE645596-AA76-43E3-9688-AAC4B2DFC629}"/>
    <cellStyle name="Normal 5 5 3 6 2 3" xfId="23788" xr:uid="{134C778B-EDF3-40E7-A83D-86BB86B4304C}"/>
    <cellStyle name="Normal 5 5 3 6 3" xfId="11136" xr:uid="{17F72BA6-96CB-49C5-B255-B7D84FAC0EE4}"/>
    <cellStyle name="Normal 5 5 3 6 4" xfId="19571" xr:uid="{7989016D-23A3-4777-ACDE-DDE8EE6C29B0}"/>
    <cellStyle name="Normal 5 5 3 7" xfId="4839" xr:uid="{00000000-0005-0000-0000-0000881B0000}"/>
    <cellStyle name="Normal 5 5 3 7 2" xfId="13289" xr:uid="{8E0D116A-169B-4A7C-B047-8D01129A3B83}"/>
    <cellStyle name="Normal 5 5 3 7 3" xfId="21723" xr:uid="{DDC692EC-F495-4F27-BDD3-3D29D0C96980}"/>
    <cellStyle name="Normal 5 5 3 8" xfId="9071" xr:uid="{28BA0475-A3E5-4F6A-934E-10D2087663A5}"/>
    <cellStyle name="Normal 5 5 3 9" xfId="17506" xr:uid="{E2FCCFD5-1B2E-4D03-B867-349C6F76492A}"/>
    <cellStyle name="Normal 5 5 4" xfId="938" xr:uid="{00000000-0005-0000-0000-0000891B0000}"/>
    <cellStyle name="Normal 5 5 4 2" xfId="3172" xr:uid="{00000000-0005-0000-0000-00008A1B0000}"/>
    <cellStyle name="Normal 5 5 4 2 2" xfId="7394" xr:uid="{00000000-0005-0000-0000-00008B1B0000}"/>
    <cellStyle name="Normal 5 5 4 2 2 2" xfId="15844" xr:uid="{2894A939-7928-45A1-9ED8-83A5A5D12B3D}"/>
    <cellStyle name="Normal 5 5 4 2 2 3" xfId="24278" xr:uid="{897B8460-F1B6-416F-B6BA-448C7E130576}"/>
    <cellStyle name="Normal 5 5 4 2 3" xfId="11626" xr:uid="{95B6CD04-2ABC-46F3-ABA1-CFB901F50093}"/>
    <cellStyle name="Normal 5 5 4 2 4" xfId="20061" xr:uid="{CC487F25-B381-464B-A2FD-ADEC10E4E615}"/>
    <cellStyle name="Normal 5 5 4 3" xfId="5249" xr:uid="{00000000-0005-0000-0000-00008C1B0000}"/>
    <cellStyle name="Normal 5 5 4 3 2" xfId="13699" xr:uid="{769BC28E-A0C8-4257-8D98-CAAEBB22F02A}"/>
    <cellStyle name="Normal 5 5 4 3 3" xfId="22133" xr:uid="{CDC03289-EA5D-4EED-9D67-6E1284FCA0B5}"/>
    <cellStyle name="Normal 5 5 4 4" xfId="9481" xr:uid="{338250FA-51E9-4DFC-B1E9-FD20884C7B16}"/>
    <cellStyle name="Normal 5 5 4 5" xfId="17916" xr:uid="{6D58A62B-0C3B-45BC-8293-274387685EA0}"/>
    <cellStyle name="Normal 5 5 5" xfId="1355" xr:uid="{00000000-0005-0000-0000-00008D1B0000}"/>
    <cellStyle name="Normal 5 5 5 2" xfId="3585" xr:uid="{00000000-0005-0000-0000-00008E1B0000}"/>
    <cellStyle name="Normal 5 5 5 2 2" xfId="7807" xr:uid="{00000000-0005-0000-0000-00008F1B0000}"/>
    <cellStyle name="Normal 5 5 5 2 2 2" xfId="16257" xr:uid="{F2AFCDA3-38BC-4C69-8560-B1C7CFA8A278}"/>
    <cellStyle name="Normal 5 5 5 2 2 3" xfId="24691" xr:uid="{C2BA2272-665C-456F-AF45-0FCFA52D4E70}"/>
    <cellStyle name="Normal 5 5 5 2 3" xfId="12039" xr:uid="{219959CA-9B6A-4889-8E5F-F86F0C3D4C64}"/>
    <cellStyle name="Normal 5 5 5 2 4" xfId="20474" xr:uid="{70316683-DBFF-49CF-BC8B-6A033BBA5E2E}"/>
    <cellStyle name="Normal 5 5 5 3" xfId="5662" xr:uid="{00000000-0005-0000-0000-0000901B0000}"/>
    <cellStyle name="Normal 5 5 5 3 2" xfId="14112" xr:uid="{A396DB6D-D697-4A52-AF7A-35F1D276145B}"/>
    <cellStyle name="Normal 5 5 5 3 3" xfId="22546" xr:uid="{DEACBF8B-E92C-4569-832F-03239165395D}"/>
    <cellStyle name="Normal 5 5 5 4" xfId="9894" xr:uid="{AEA5D1EF-AAE5-4A1E-9DCA-A71A439F9A68}"/>
    <cellStyle name="Normal 5 5 5 5" xfId="18329" xr:uid="{70E48B6B-E514-4ADA-8DCC-6DD6B803C5E5}"/>
    <cellStyle name="Normal 5 5 6" xfId="1768" xr:uid="{00000000-0005-0000-0000-0000911B0000}"/>
    <cellStyle name="Normal 5 5 6 2" xfId="3998" xr:uid="{00000000-0005-0000-0000-0000921B0000}"/>
    <cellStyle name="Normal 5 5 6 2 2" xfId="8220" xr:uid="{00000000-0005-0000-0000-0000931B0000}"/>
    <cellStyle name="Normal 5 5 6 2 2 2" xfId="16670" xr:uid="{9B6DB998-D51F-49DC-A040-FB862161A91C}"/>
    <cellStyle name="Normal 5 5 6 2 2 3" xfId="25104" xr:uid="{A3005755-B210-46F1-86DB-050CF954FE47}"/>
    <cellStyle name="Normal 5 5 6 2 3" xfId="12452" xr:uid="{B8C30971-1363-489A-A121-DD90F8C97D72}"/>
    <cellStyle name="Normal 5 5 6 2 4" xfId="20887" xr:uid="{1A7197FF-D1B3-444E-8B08-E11BB8D8ED32}"/>
    <cellStyle name="Normal 5 5 6 3" xfId="6075" xr:uid="{00000000-0005-0000-0000-0000941B0000}"/>
    <cellStyle name="Normal 5 5 6 3 2" xfId="14525" xr:uid="{16523A8D-26A0-48CA-B147-160AC40ECB9D}"/>
    <cellStyle name="Normal 5 5 6 3 3" xfId="22959" xr:uid="{CC41CE20-965C-41FD-A936-E3A99D5819E0}"/>
    <cellStyle name="Normal 5 5 6 4" xfId="10307" xr:uid="{C83CF772-9B20-4FBB-80C5-C8A9D39B45DE}"/>
    <cellStyle name="Normal 5 5 6 5" xfId="18742" xr:uid="{11B32703-C212-41C3-9B14-C6B12DD9FD93}"/>
    <cellStyle name="Normal 5 5 7" xfId="2182" xr:uid="{00000000-0005-0000-0000-0000951B0000}"/>
    <cellStyle name="Normal 5 5 7 2" xfId="4411" xr:uid="{00000000-0005-0000-0000-0000961B0000}"/>
    <cellStyle name="Normal 5 5 7 2 2" xfId="8633" xr:uid="{00000000-0005-0000-0000-0000971B0000}"/>
    <cellStyle name="Normal 5 5 7 2 2 2" xfId="17083" xr:uid="{2A435FAB-ACB2-497E-B3E0-6D7B74803E23}"/>
    <cellStyle name="Normal 5 5 7 2 2 3" xfId="25517" xr:uid="{CD1726EE-DE32-46FF-A519-75E35E61F4B7}"/>
    <cellStyle name="Normal 5 5 7 2 3" xfId="12865" xr:uid="{A72C185A-8473-4E18-BD10-BD175D56EDBE}"/>
    <cellStyle name="Normal 5 5 7 2 4" xfId="21300" xr:uid="{22C0871F-EA73-4748-84BE-69864EE4C849}"/>
    <cellStyle name="Normal 5 5 7 3" xfId="6488" xr:uid="{00000000-0005-0000-0000-0000981B0000}"/>
    <cellStyle name="Normal 5 5 7 3 2" xfId="14938" xr:uid="{94F750CB-0E56-49C1-93D5-EC6BE6A1701C}"/>
    <cellStyle name="Normal 5 5 7 3 3" xfId="23372" xr:uid="{B96409FD-97DD-4C64-B0D2-4CA59AC19034}"/>
    <cellStyle name="Normal 5 5 7 4" xfId="10720" xr:uid="{D7E35328-7720-453C-B53D-76CCDF0FDD84}"/>
    <cellStyle name="Normal 5 5 7 5" xfId="19155" xr:uid="{FB8E2A34-2CE6-47AA-814F-27EEA2DDF867}"/>
    <cellStyle name="Normal 5 5 8" xfId="2618" xr:uid="{00000000-0005-0000-0000-0000991B0000}"/>
    <cellStyle name="Normal 5 5 8 2" xfId="6901" xr:uid="{00000000-0005-0000-0000-00009A1B0000}"/>
    <cellStyle name="Normal 5 5 8 2 2" xfId="15351" xr:uid="{E2668B02-9B40-443D-863B-214F736AA1C9}"/>
    <cellStyle name="Normal 5 5 8 2 3" xfId="23785" xr:uid="{13385B1D-059C-4751-B368-9E088741B60D}"/>
    <cellStyle name="Normal 5 5 8 3" xfId="11133" xr:uid="{CE890E5C-35DB-459A-9652-C384D2042836}"/>
    <cellStyle name="Normal 5 5 8 4" xfId="19568" xr:uid="{75582FDD-9024-4A0E-B817-97F42A485F00}"/>
    <cellStyle name="Normal 5 5 9" xfId="4836" xr:uid="{00000000-0005-0000-0000-00009B1B0000}"/>
    <cellStyle name="Normal 5 5 9 2" xfId="13286" xr:uid="{D52B2719-9D7A-47FF-8E89-F3D03A72AA22}"/>
    <cellStyle name="Normal 5 5 9 3" xfId="21720" xr:uid="{C1490ED6-8A11-4EB7-AE94-95397663B82F}"/>
    <cellStyle name="Normal 5 6" xfId="468" xr:uid="{00000000-0005-0000-0000-00009C1B0000}"/>
    <cellStyle name="Normal 5 6 10" xfId="17507" xr:uid="{7461294D-C4C7-4A33-B2EE-64A8A32B193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344E108F-8202-4CE9-82A7-D81BA7508940}"/>
    <cellStyle name="Normal 5 6 2 2 2 2 3" xfId="24283" xr:uid="{26F11656-4990-4238-8ACA-FD70FB021875}"/>
    <cellStyle name="Normal 5 6 2 2 2 3" xfId="11631" xr:uid="{6BB198A7-96C9-468D-8F4D-6AEF1105B902}"/>
    <cellStyle name="Normal 5 6 2 2 2 4" xfId="20066" xr:uid="{FA31172E-549D-4CE1-B9AE-EE82D43EA050}"/>
    <cellStyle name="Normal 5 6 2 2 3" xfId="5254" xr:uid="{00000000-0005-0000-0000-0000A11B0000}"/>
    <cellStyle name="Normal 5 6 2 2 3 2" xfId="13704" xr:uid="{169AD30F-A026-40B1-95AD-BC2677BDE3C4}"/>
    <cellStyle name="Normal 5 6 2 2 3 3" xfId="22138" xr:uid="{E3FDA6BB-2A83-42BA-8E6C-0F6A1547F55E}"/>
    <cellStyle name="Normal 5 6 2 2 4" xfId="9486" xr:uid="{B659DB76-FB8B-496A-AC61-EE3A3F8F2B6A}"/>
    <cellStyle name="Normal 5 6 2 2 5" xfId="17921" xr:uid="{0760F1E3-9A0E-4B47-939E-6C52780ADC06}"/>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B7D85341-1274-4903-9029-BDBCDB5A6EE8}"/>
    <cellStyle name="Normal 5 6 2 3 2 2 3" xfId="24696" xr:uid="{0FEE55C1-2D24-449C-B017-2DBC75CC4DA7}"/>
    <cellStyle name="Normal 5 6 2 3 2 3" xfId="12044" xr:uid="{F22AA98E-3ABC-4652-98CA-676A4CBE580C}"/>
    <cellStyle name="Normal 5 6 2 3 2 4" xfId="20479" xr:uid="{47A4CCEA-7499-4E18-BFE5-75272CEF0D9A}"/>
    <cellStyle name="Normal 5 6 2 3 3" xfId="5667" xr:uid="{00000000-0005-0000-0000-0000A51B0000}"/>
    <cellStyle name="Normal 5 6 2 3 3 2" xfId="14117" xr:uid="{E3737E90-E1A9-48E2-8341-D20FEC0C26A1}"/>
    <cellStyle name="Normal 5 6 2 3 3 3" xfId="22551" xr:uid="{CC006F52-F2FF-4985-A9A6-69F3C97EBB67}"/>
    <cellStyle name="Normal 5 6 2 3 4" xfId="9899" xr:uid="{5D8EDB81-81D6-4AAE-A05C-C85DEDA8678A}"/>
    <cellStyle name="Normal 5 6 2 3 5" xfId="18334" xr:uid="{7DC2176C-4022-49BF-87C2-C6DA626F6033}"/>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5C2085FA-29EF-49CD-B168-96480C5C2CA6}"/>
    <cellStyle name="Normal 5 6 2 4 2 2 3" xfId="25109" xr:uid="{CBACC1D5-2B17-4A13-8EC0-C045F8570D07}"/>
    <cellStyle name="Normal 5 6 2 4 2 3" xfId="12457" xr:uid="{9EBA67D0-9FDC-4847-AC12-5A67322817BA}"/>
    <cellStyle name="Normal 5 6 2 4 2 4" xfId="20892" xr:uid="{26AB66E8-621D-4172-BB21-A04F5F4621DF}"/>
    <cellStyle name="Normal 5 6 2 4 3" xfId="6080" xr:uid="{00000000-0005-0000-0000-0000A91B0000}"/>
    <cellStyle name="Normal 5 6 2 4 3 2" xfId="14530" xr:uid="{925F1A7C-E6DD-4DF0-B2DC-9B8966CC485D}"/>
    <cellStyle name="Normal 5 6 2 4 3 3" xfId="22964" xr:uid="{7B2BBAFA-9063-4EBD-A63F-2F1BADCA68C6}"/>
    <cellStyle name="Normal 5 6 2 4 4" xfId="10312" xr:uid="{7CC2E704-E021-4EA6-B031-BD030D4BE864}"/>
    <cellStyle name="Normal 5 6 2 4 5" xfId="18747" xr:uid="{7D0CE16D-1A01-4B2B-8429-34DB2C20E996}"/>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F7B631B0-4DAD-49A3-8FC8-939E66AA045D}"/>
    <cellStyle name="Normal 5 6 2 5 2 2 3" xfId="25522" xr:uid="{1F7BA559-4ACF-4223-B363-4E8893BB6B9E}"/>
    <cellStyle name="Normal 5 6 2 5 2 3" xfId="12870" xr:uid="{776C8EA4-A620-4470-BC83-53ADA72B9A95}"/>
    <cellStyle name="Normal 5 6 2 5 2 4" xfId="21305" xr:uid="{4D1CCBA7-06FD-48CA-A63B-34F40D9CDE27}"/>
    <cellStyle name="Normal 5 6 2 5 3" xfId="6493" xr:uid="{00000000-0005-0000-0000-0000AD1B0000}"/>
    <cellStyle name="Normal 5 6 2 5 3 2" xfId="14943" xr:uid="{8926A5F3-32A5-4CEA-A93B-12799C07E766}"/>
    <cellStyle name="Normal 5 6 2 5 3 3" xfId="23377" xr:uid="{84C2F28E-E3D3-4FD9-B9AC-64A8D60674E1}"/>
    <cellStyle name="Normal 5 6 2 5 4" xfId="10725" xr:uid="{613A6A9E-60BE-4EF5-A31D-C29EC739E963}"/>
    <cellStyle name="Normal 5 6 2 5 5" xfId="19160" xr:uid="{6B02EA4F-1E1B-4B64-A398-B85B34CAB567}"/>
    <cellStyle name="Normal 5 6 2 6" xfId="2623" xr:uid="{00000000-0005-0000-0000-0000AE1B0000}"/>
    <cellStyle name="Normal 5 6 2 6 2" xfId="6906" xr:uid="{00000000-0005-0000-0000-0000AF1B0000}"/>
    <cellStyle name="Normal 5 6 2 6 2 2" xfId="15356" xr:uid="{DBC90829-98D8-46A5-AF3F-89112EBD6B6D}"/>
    <cellStyle name="Normal 5 6 2 6 2 3" xfId="23790" xr:uid="{E4DF8054-F3CC-4B2C-8C3A-D53B123D0F15}"/>
    <cellStyle name="Normal 5 6 2 6 3" xfId="11138" xr:uid="{E662C574-EDE7-4FC2-8A3A-D06E10087B6F}"/>
    <cellStyle name="Normal 5 6 2 6 4" xfId="19573" xr:uid="{470C14EC-F7F7-4C16-90EF-A90B22DEE480}"/>
    <cellStyle name="Normal 5 6 2 7" xfId="4841" xr:uid="{00000000-0005-0000-0000-0000B01B0000}"/>
    <cellStyle name="Normal 5 6 2 7 2" xfId="13291" xr:uid="{700939FF-E721-450D-B25E-CBC30141BCA8}"/>
    <cellStyle name="Normal 5 6 2 7 3" xfId="21725" xr:uid="{7BB6ACEF-84F1-4606-92EF-0953F24DA5D0}"/>
    <cellStyle name="Normal 5 6 2 8" xfId="9073" xr:uid="{6001B608-1A58-4A28-B618-299F39A34D9F}"/>
    <cellStyle name="Normal 5 6 2 9" xfId="17508" xr:uid="{8F9F8107-C8A3-4514-95C9-72739B151D60}"/>
    <cellStyle name="Normal 5 6 3" xfId="942" xr:uid="{00000000-0005-0000-0000-0000B11B0000}"/>
    <cellStyle name="Normal 5 6 3 2" xfId="3176" xr:uid="{00000000-0005-0000-0000-0000B21B0000}"/>
    <cellStyle name="Normal 5 6 3 2 2" xfId="7398" xr:uid="{00000000-0005-0000-0000-0000B31B0000}"/>
    <cellStyle name="Normal 5 6 3 2 2 2" xfId="15848" xr:uid="{AD7A8EDA-5896-4289-A1A0-6F47D1BC7571}"/>
    <cellStyle name="Normal 5 6 3 2 2 3" xfId="24282" xr:uid="{EC02E3DB-F7F8-43FB-B02A-D166911AAAFF}"/>
    <cellStyle name="Normal 5 6 3 2 3" xfId="11630" xr:uid="{786AB13A-E88F-4D19-93AF-2A7138E84B6F}"/>
    <cellStyle name="Normal 5 6 3 2 4" xfId="20065" xr:uid="{780CAEEA-0404-4FA0-9214-74DAFBA638CF}"/>
    <cellStyle name="Normal 5 6 3 3" xfId="5253" xr:uid="{00000000-0005-0000-0000-0000B41B0000}"/>
    <cellStyle name="Normal 5 6 3 3 2" xfId="13703" xr:uid="{C65C18D0-5443-45D8-A3AA-37EEAAAAD39C}"/>
    <cellStyle name="Normal 5 6 3 3 3" xfId="22137" xr:uid="{40AFC625-A3DE-44E6-AC44-B10A389FCC41}"/>
    <cellStyle name="Normal 5 6 3 4" xfId="9485" xr:uid="{C8D30E28-2646-464F-B8F3-637AEA5C1F40}"/>
    <cellStyle name="Normal 5 6 3 5" xfId="17920" xr:uid="{7EFD14C2-393A-4E17-BBA8-4C4AD5B19BBE}"/>
    <cellStyle name="Normal 5 6 4" xfId="1359" xr:uid="{00000000-0005-0000-0000-0000B51B0000}"/>
    <cellStyle name="Normal 5 6 4 2" xfId="3589" xr:uid="{00000000-0005-0000-0000-0000B61B0000}"/>
    <cellStyle name="Normal 5 6 4 2 2" xfId="7811" xr:uid="{00000000-0005-0000-0000-0000B71B0000}"/>
    <cellStyle name="Normal 5 6 4 2 2 2" xfId="16261" xr:uid="{CD18C4F1-20B4-4C75-9B9F-2BD4EEEA04A3}"/>
    <cellStyle name="Normal 5 6 4 2 2 3" xfId="24695" xr:uid="{93AA0054-C7A5-4CC5-999A-DB3E981899AC}"/>
    <cellStyle name="Normal 5 6 4 2 3" xfId="12043" xr:uid="{D1C5F269-EC4D-4FDC-81EA-82ADD68D78EA}"/>
    <cellStyle name="Normal 5 6 4 2 4" xfId="20478" xr:uid="{2FCDE7A7-0FE5-4B97-954B-574CC5425B22}"/>
    <cellStyle name="Normal 5 6 4 3" xfId="5666" xr:uid="{00000000-0005-0000-0000-0000B81B0000}"/>
    <cellStyle name="Normal 5 6 4 3 2" xfId="14116" xr:uid="{C808CD90-0D28-4C38-A5BB-5D82B6942431}"/>
    <cellStyle name="Normal 5 6 4 3 3" xfId="22550" xr:uid="{7A7ED449-685C-4AA3-8BC0-9FDC36400904}"/>
    <cellStyle name="Normal 5 6 4 4" xfId="9898" xr:uid="{CE19C9F5-A9E3-4182-83A7-E2065D58F4C8}"/>
    <cellStyle name="Normal 5 6 4 5" xfId="18333" xr:uid="{A69BB17E-C184-4E28-BB6F-E636B3354343}"/>
    <cellStyle name="Normal 5 6 5" xfId="1772" xr:uid="{00000000-0005-0000-0000-0000B91B0000}"/>
    <cellStyle name="Normal 5 6 5 2" xfId="4002" xr:uid="{00000000-0005-0000-0000-0000BA1B0000}"/>
    <cellStyle name="Normal 5 6 5 2 2" xfId="8224" xr:uid="{00000000-0005-0000-0000-0000BB1B0000}"/>
    <cellStyle name="Normal 5 6 5 2 2 2" xfId="16674" xr:uid="{3E94E53D-08DA-4E84-9E9B-525D08F3DC04}"/>
    <cellStyle name="Normal 5 6 5 2 2 3" xfId="25108" xr:uid="{70B4D608-743A-435D-9FD9-5E65050D12F9}"/>
    <cellStyle name="Normal 5 6 5 2 3" xfId="12456" xr:uid="{C6DF4453-D4F4-4718-9675-945C321DA77F}"/>
    <cellStyle name="Normal 5 6 5 2 4" xfId="20891" xr:uid="{39A80ADC-B6A7-4BED-8B53-E3052BF05261}"/>
    <cellStyle name="Normal 5 6 5 3" xfId="6079" xr:uid="{00000000-0005-0000-0000-0000BC1B0000}"/>
    <cellStyle name="Normal 5 6 5 3 2" xfId="14529" xr:uid="{0C296F90-DE61-45C3-ACC2-8DBFD2233862}"/>
    <cellStyle name="Normal 5 6 5 3 3" xfId="22963" xr:uid="{EE651BBB-FAD8-4E03-8045-619C58C0CE45}"/>
    <cellStyle name="Normal 5 6 5 4" xfId="10311" xr:uid="{A371D7D0-8F68-43C2-AD11-F438F54AC092}"/>
    <cellStyle name="Normal 5 6 5 5" xfId="18746" xr:uid="{8517F48A-3928-493F-8A59-6BE43B05AA4E}"/>
    <cellStyle name="Normal 5 6 6" xfId="2186" xr:uid="{00000000-0005-0000-0000-0000BD1B0000}"/>
    <cellStyle name="Normal 5 6 6 2" xfId="4415" xr:uid="{00000000-0005-0000-0000-0000BE1B0000}"/>
    <cellStyle name="Normal 5 6 6 2 2" xfId="8637" xr:uid="{00000000-0005-0000-0000-0000BF1B0000}"/>
    <cellStyle name="Normal 5 6 6 2 2 2" xfId="17087" xr:uid="{DB24025F-1FF0-4DCA-8A58-C00BB518C53F}"/>
    <cellStyle name="Normal 5 6 6 2 2 3" xfId="25521" xr:uid="{96BFFF98-2327-4524-9124-21A0AC729A6E}"/>
    <cellStyle name="Normal 5 6 6 2 3" xfId="12869" xr:uid="{F405DA6F-E7F7-4282-9431-55C1CE66D5A7}"/>
    <cellStyle name="Normal 5 6 6 2 4" xfId="21304" xr:uid="{E426FB0A-3B66-4895-A542-D76F2239FD7A}"/>
    <cellStyle name="Normal 5 6 6 3" xfId="6492" xr:uid="{00000000-0005-0000-0000-0000C01B0000}"/>
    <cellStyle name="Normal 5 6 6 3 2" xfId="14942" xr:uid="{B33C587D-218C-41EA-BFFB-FA53262A27E7}"/>
    <cellStyle name="Normal 5 6 6 3 3" xfId="23376" xr:uid="{42812145-F3C3-4EB4-ADF1-E341CE4CD911}"/>
    <cellStyle name="Normal 5 6 6 4" xfId="10724" xr:uid="{70C51240-C7B3-480D-9523-DDD88B85BD41}"/>
    <cellStyle name="Normal 5 6 6 5" xfId="19159" xr:uid="{AA20D554-D524-4E44-B1C8-AA4CAC5F4BAD}"/>
    <cellStyle name="Normal 5 6 7" xfId="2622" xr:uid="{00000000-0005-0000-0000-0000C11B0000}"/>
    <cellStyle name="Normal 5 6 7 2" xfId="6905" xr:uid="{00000000-0005-0000-0000-0000C21B0000}"/>
    <cellStyle name="Normal 5 6 7 2 2" xfId="15355" xr:uid="{F8102EE3-D306-466F-A416-DA66134A93B3}"/>
    <cellStyle name="Normal 5 6 7 2 3" xfId="23789" xr:uid="{E46CA9FA-671C-4A10-ACB5-F3CD1266742A}"/>
    <cellStyle name="Normal 5 6 7 3" xfId="11137" xr:uid="{4680013F-7EF9-44CF-B272-8B6D29B66912}"/>
    <cellStyle name="Normal 5 6 7 4" xfId="19572" xr:uid="{22E8CE7C-A7CD-40DB-B2E3-043C9A659ADD}"/>
    <cellStyle name="Normal 5 6 8" xfId="4840" xr:uid="{00000000-0005-0000-0000-0000C31B0000}"/>
    <cellStyle name="Normal 5 6 8 2" xfId="13290" xr:uid="{84D13A29-6802-4AB4-B191-8F6CFF7762E7}"/>
    <cellStyle name="Normal 5 6 8 3" xfId="21724" xr:uid="{819126C6-0327-4F61-9D53-AB23F14D08A8}"/>
    <cellStyle name="Normal 5 6 9" xfId="9072" xr:uid="{89659FC2-8B7C-4B07-8848-3709D95E5AA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5F0645FD-A6FA-4997-B89D-3E582BDF336D}"/>
    <cellStyle name="Normal 5 7 2 2 2 3" xfId="24284" xr:uid="{B8FC84FC-B3A2-4CDD-BAAD-B626591DB18B}"/>
    <cellStyle name="Normal 5 7 2 2 3" xfId="11632" xr:uid="{421D7A24-F01E-455B-BFA7-2A88BB053AAF}"/>
    <cellStyle name="Normal 5 7 2 2 4" xfId="20067" xr:uid="{B610662C-6EE1-4B7F-90BF-CE981E4393D3}"/>
    <cellStyle name="Normal 5 7 2 3" xfId="5255" xr:uid="{00000000-0005-0000-0000-0000C81B0000}"/>
    <cellStyle name="Normal 5 7 2 3 2" xfId="13705" xr:uid="{03FCCED0-7637-4B44-85AD-10CCEEAD34F6}"/>
    <cellStyle name="Normal 5 7 2 3 3" xfId="22139" xr:uid="{F20CB21D-5D76-46E7-8A1F-A7A4FAAD6AE9}"/>
    <cellStyle name="Normal 5 7 2 4" xfId="9487" xr:uid="{5ED20DF8-BBD1-43D5-AD6F-EEFDEC7578B3}"/>
    <cellStyle name="Normal 5 7 2 5" xfId="17922" xr:uid="{881AB8AA-A9C0-4B1E-8509-E6EE837B78E5}"/>
    <cellStyle name="Normal 5 7 3" xfId="1361" xr:uid="{00000000-0005-0000-0000-0000C91B0000}"/>
    <cellStyle name="Normal 5 7 3 2" xfId="3591" xr:uid="{00000000-0005-0000-0000-0000CA1B0000}"/>
    <cellStyle name="Normal 5 7 3 2 2" xfId="7813" xr:uid="{00000000-0005-0000-0000-0000CB1B0000}"/>
    <cellStyle name="Normal 5 7 3 2 2 2" xfId="16263" xr:uid="{1A13ED7D-6B8A-48E6-995B-81C45C34812B}"/>
    <cellStyle name="Normal 5 7 3 2 2 3" xfId="24697" xr:uid="{791654B3-10A4-4E13-ACB9-FA004C58F737}"/>
    <cellStyle name="Normal 5 7 3 2 3" xfId="12045" xr:uid="{9E25E708-46A3-4B02-AF11-6B9648F7815D}"/>
    <cellStyle name="Normal 5 7 3 2 4" xfId="20480" xr:uid="{954F2F0B-B09D-4EA5-98E8-760D14DDDBAF}"/>
    <cellStyle name="Normal 5 7 3 3" xfId="5668" xr:uid="{00000000-0005-0000-0000-0000CC1B0000}"/>
    <cellStyle name="Normal 5 7 3 3 2" xfId="14118" xr:uid="{E671E831-FDE0-4EDC-81C0-FB5092DA0CC4}"/>
    <cellStyle name="Normal 5 7 3 3 3" xfId="22552" xr:uid="{14FD0A79-0268-4337-942E-539563EF2259}"/>
    <cellStyle name="Normal 5 7 3 4" xfId="9900" xr:uid="{CE010BAE-45AD-4D5E-9DB7-4428C5322C36}"/>
    <cellStyle name="Normal 5 7 3 5" xfId="18335" xr:uid="{D7F1704C-0A47-4DD7-B6F3-5A248C626901}"/>
    <cellStyle name="Normal 5 7 4" xfId="1774" xr:uid="{00000000-0005-0000-0000-0000CD1B0000}"/>
    <cellStyle name="Normal 5 7 4 2" xfId="4004" xr:uid="{00000000-0005-0000-0000-0000CE1B0000}"/>
    <cellStyle name="Normal 5 7 4 2 2" xfId="8226" xr:uid="{00000000-0005-0000-0000-0000CF1B0000}"/>
    <cellStyle name="Normal 5 7 4 2 2 2" xfId="16676" xr:uid="{58FFCB2C-3AEE-4C69-8594-A37A12731D52}"/>
    <cellStyle name="Normal 5 7 4 2 2 3" xfId="25110" xr:uid="{1CD2DCC7-6880-468D-8635-0C00A3F3EA89}"/>
    <cellStyle name="Normal 5 7 4 2 3" xfId="12458" xr:uid="{B2966CFB-BF61-47D9-94F9-EF4E3B1A24D6}"/>
    <cellStyle name="Normal 5 7 4 2 4" xfId="20893" xr:uid="{25026DD0-DCBB-40D8-9A7C-B7AA4E2EFD0D}"/>
    <cellStyle name="Normal 5 7 4 3" xfId="6081" xr:uid="{00000000-0005-0000-0000-0000D01B0000}"/>
    <cellStyle name="Normal 5 7 4 3 2" xfId="14531" xr:uid="{DD7CA795-E56B-40C6-A0AC-3B879C1224E0}"/>
    <cellStyle name="Normal 5 7 4 3 3" xfId="22965" xr:uid="{D6BFDE7B-5DD2-40A4-869A-6BB11E44A62C}"/>
    <cellStyle name="Normal 5 7 4 4" xfId="10313" xr:uid="{CE7530F6-5FEF-4389-9B3D-4FA2FB935E98}"/>
    <cellStyle name="Normal 5 7 4 5" xfId="18748" xr:uid="{58D2A9D3-9E98-402B-A1D4-F8809FB22A5C}"/>
    <cellStyle name="Normal 5 7 5" xfId="2188" xr:uid="{00000000-0005-0000-0000-0000D11B0000}"/>
    <cellStyle name="Normal 5 7 5 2" xfId="4417" xr:uid="{00000000-0005-0000-0000-0000D21B0000}"/>
    <cellStyle name="Normal 5 7 5 2 2" xfId="8639" xr:uid="{00000000-0005-0000-0000-0000D31B0000}"/>
    <cellStyle name="Normal 5 7 5 2 2 2" xfId="17089" xr:uid="{CCE314A8-7578-486B-8C24-D65091ADFFE5}"/>
    <cellStyle name="Normal 5 7 5 2 2 3" xfId="25523" xr:uid="{E7F3F814-E160-46B5-BBDA-446B006ABFCD}"/>
    <cellStyle name="Normal 5 7 5 2 3" xfId="12871" xr:uid="{144440FE-AFB1-4973-8785-715C69D90D8C}"/>
    <cellStyle name="Normal 5 7 5 2 4" xfId="21306" xr:uid="{C9310099-86CE-46FF-9485-C9415EA236C8}"/>
    <cellStyle name="Normal 5 7 5 3" xfId="6494" xr:uid="{00000000-0005-0000-0000-0000D41B0000}"/>
    <cellStyle name="Normal 5 7 5 3 2" xfId="14944" xr:uid="{5F46D656-356D-43A2-8C59-91FBDB65EBA9}"/>
    <cellStyle name="Normal 5 7 5 3 3" xfId="23378" xr:uid="{5C02D7C8-30A4-4F37-9793-28EF556938F7}"/>
    <cellStyle name="Normal 5 7 5 4" xfId="10726" xr:uid="{03201FE6-09D5-4A36-918A-8EBA151CEDFD}"/>
    <cellStyle name="Normal 5 7 5 5" xfId="19161" xr:uid="{D05DFA87-D91E-48A4-9CA1-38A0B2891960}"/>
    <cellStyle name="Normal 5 7 6" xfId="2624" xr:uid="{00000000-0005-0000-0000-0000D51B0000}"/>
    <cellStyle name="Normal 5 7 6 2" xfId="6907" xr:uid="{00000000-0005-0000-0000-0000D61B0000}"/>
    <cellStyle name="Normal 5 7 6 2 2" xfId="15357" xr:uid="{793193EB-733C-4454-AE04-FD48D8A8BC73}"/>
    <cellStyle name="Normal 5 7 6 2 3" xfId="23791" xr:uid="{46FE847A-AF06-4324-A12C-709D5FC9713B}"/>
    <cellStyle name="Normal 5 7 6 3" xfId="11139" xr:uid="{C6154D95-DE5E-4B07-89BC-CF2755F82E1F}"/>
    <cellStyle name="Normal 5 7 6 4" xfId="19574" xr:uid="{1741200B-CFF0-47E3-9336-B2FFA4A9B983}"/>
    <cellStyle name="Normal 5 7 7" xfId="4842" xr:uid="{00000000-0005-0000-0000-0000D71B0000}"/>
    <cellStyle name="Normal 5 7 7 2" xfId="13292" xr:uid="{AF667CEA-F679-4EB1-A6D9-B7E18FE9FAEE}"/>
    <cellStyle name="Normal 5 7 7 3" xfId="21726" xr:uid="{B607D158-7BB6-4B6C-BC27-42CE5BA7DB08}"/>
    <cellStyle name="Normal 5 7 8" xfId="9074" xr:uid="{132A5BF0-EF1D-4624-AA8F-2D6121103CD7}"/>
    <cellStyle name="Normal 5 7 9" xfId="17509" xr:uid="{9B956E37-727B-4690-9464-527719A933B0}"/>
    <cellStyle name="Normal 5 8" xfId="880" xr:uid="{00000000-0005-0000-0000-0000D81B0000}"/>
    <cellStyle name="Normal 5 8 2" xfId="3115" xr:uid="{00000000-0005-0000-0000-0000D91B0000}"/>
    <cellStyle name="Normal 5 8 2 2" xfId="7337" xr:uid="{00000000-0005-0000-0000-0000DA1B0000}"/>
    <cellStyle name="Normal 5 8 2 2 2" xfId="15787" xr:uid="{0FE6F779-B4DF-428F-BB31-4C7C7B6E75B9}"/>
    <cellStyle name="Normal 5 8 2 2 3" xfId="24221" xr:uid="{2ABA60D4-27CE-4269-8BBE-B101275E2EB6}"/>
    <cellStyle name="Normal 5 8 2 3" xfId="11569" xr:uid="{6079196C-20EC-4489-A8E3-8E06D8ED5E93}"/>
    <cellStyle name="Normal 5 8 2 4" xfId="20004" xr:uid="{2ED10D8A-176C-4344-8D8C-C7999DF6F620}"/>
    <cellStyle name="Normal 5 8 3" xfId="5192" xr:uid="{00000000-0005-0000-0000-0000DB1B0000}"/>
    <cellStyle name="Normal 5 8 3 2" xfId="13642" xr:uid="{7820C003-6BA4-435A-89C1-2EFB87967B68}"/>
    <cellStyle name="Normal 5 8 3 3" xfId="22076" xr:uid="{B22F8707-529C-454B-910C-8F84DF6764AE}"/>
    <cellStyle name="Normal 5 8 4" xfId="9424" xr:uid="{92244417-E440-4EA0-8F83-D05D5464206F}"/>
    <cellStyle name="Normal 5 8 5" xfId="17859" xr:uid="{98B7F0A5-9121-4F10-AEE2-89185C6EE4F3}"/>
    <cellStyle name="Normal 5 9" xfId="1298" xr:uid="{00000000-0005-0000-0000-0000DC1B0000}"/>
    <cellStyle name="Normal 5 9 2" xfId="3528" xr:uid="{00000000-0005-0000-0000-0000DD1B0000}"/>
    <cellStyle name="Normal 5 9 2 2" xfId="7750" xr:uid="{00000000-0005-0000-0000-0000DE1B0000}"/>
    <cellStyle name="Normal 5 9 2 2 2" xfId="16200" xr:uid="{48E64FBD-7E59-43C8-B58F-03F3CD5C1118}"/>
    <cellStyle name="Normal 5 9 2 2 3" xfId="24634" xr:uid="{22DC2108-28CB-468D-8C41-1806C7929FD7}"/>
    <cellStyle name="Normal 5 9 2 3" xfId="11982" xr:uid="{58CBA34C-CA4E-4971-91DC-6528F76228E4}"/>
    <cellStyle name="Normal 5 9 2 4" xfId="20417" xr:uid="{CFE420EE-3045-4241-BAD1-571A6C4FB094}"/>
    <cellStyle name="Normal 5 9 3" xfId="5605" xr:uid="{00000000-0005-0000-0000-0000DF1B0000}"/>
    <cellStyle name="Normal 5 9 3 2" xfId="14055" xr:uid="{054AED00-CFD0-429B-ADFE-D60AF591719D}"/>
    <cellStyle name="Normal 5 9 3 3" xfId="22489" xr:uid="{2976C1A4-25FD-4B3B-8887-FD00767A0DF5}"/>
    <cellStyle name="Normal 5 9 4" xfId="9837" xr:uid="{DBE79A39-1A33-4498-9CC3-7C33ED88C3B1}"/>
    <cellStyle name="Normal 5 9 5" xfId="18272" xr:uid="{FA6AF83E-6042-478C-A042-7F696C80D3D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1B0EC56-BD70-45B9-96F2-F1619A6EC24B}"/>
    <cellStyle name="Normal 8 10 2 2 3" xfId="25524" xr:uid="{97413282-EB32-4643-8C35-8C7BAF04C4F6}"/>
    <cellStyle name="Normal 8 10 2 3" xfId="12872" xr:uid="{2742056F-65F9-4A65-8C6C-306372350340}"/>
    <cellStyle name="Normal 8 10 2 4" xfId="21307" xr:uid="{E50FC46C-DB74-4818-88C6-A3218702B64E}"/>
    <cellStyle name="Normal 8 10 3" xfId="6495" xr:uid="{00000000-0005-0000-0000-0000EB1B0000}"/>
    <cellStyle name="Normal 8 10 3 2" xfId="14945" xr:uid="{9C51340A-80EC-47C4-ABD3-E5826C619A6D}"/>
    <cellStyle name="Normal 8 10 3 3" xfId="23379" xr:uid="{6C007486-1A01-4FC1-9EDE-6A7D249EE7E2}"/>
    <cellStyle name="Normal 8 10 4" xfId="10727" xr:uid="{E2B6CAC9-FA20-48DE-8FFC-6447C0AE3967}"/>
    <cellStyle name="Normal 8 10 5" xfId="19162" xr:uid="{652E474D-B60A-4500-9E83-CAFFECD72BD5}"/>
    <cellStyle name="Normal 8 11" xfId="2625" xr:uid="{00000000-0005-0000-0000-0000EC1B0000}"/>
    <cellStyle name="Normal 8 11 2" xfId="6908" xr:uid="{00000000-0005-0000-0000-0000ED1B0000}"/>
    <cellStyle name="Normal 8 11 2 2" xfId="15358" xr:uid="{C568DF97-59AF-404A-BB43-96832C60B779}"/>
    <cellStyle name="Normal 8 11 2 3" xfId="23792" xr:uid="{726ADDB9-65A1-482A-94C4-D2BA27E174E4}"/>
    <cellStyle name="Normal 8 11 3" xfId="11140" xr:uid="{6756D174-5727-4A26-980A-087D7527FEDC}"/>
    <cellStyle name="Normal 8 11 4" xfId="19575" xr:uid="{F64C11EC-ABD8-4837-96A9-8D40AAFA4647}"/>
    <cellStyle name="Normal 8 12" xfId="4843" xr:uid="{00000000-0005-0000-0000-0000EE1B0000}"/>
    <cellStyle name="Normal 8 12 2" xfId="13293" xr:uid="{16F5D435-1CE2-40E3-9C11-A525F2BBCAC9}"/>
    <cellStyle name="Normal 8 12 3" xfId="21727" xr:uid="{D652B200-0E21-49CB-8893-065CC1D340BF}"/>
    <cellStyle name="Normal 8 13" xfId="9075" xr:uid="{932EE384-B4D7-4BC3-8B75-DB219AB49C4B}"/>
    <cellStyle name="Normal 8 14" xfId="17510" xr:uid="{CB234CA5-1A2C-4F44-9E39-25F122A8807B}"/>
    <cellStyle name="Normal 8 2" xfId="479" xr:uid="{00000000-0005-0000-0000-0000EF1B0000}"/>
    <cellStyle name="Normal 8 2 10" xfId="2626" xr:uid="{00000000-0005-0000-0000-0000F01B0000}"/>
    <cellStyle name="Normal 8 2 10 2" xfId="6909" xr:uid="{00000000-0005-0000-0000-0000F11B0000}"/>
    <cellStyle name="Normal 8 2 10 2 2" xfId="15359" xr:uid="{FF916342-E603-43C4-AA00-78E3DFA459CB}"/>
    <cellStyle name="Normal 8 2 10 2 3" xfId="23793" xr:uid="{5FA8FA12-C911-42B2-8DC6-72E4CF334C22}"/>
    <cellStyle name="Normal 8 2 10 3" xfId="11141" xr:uid="{8657657A-6BA7-48D4-88EC-D54E48510DB4}"/>
    <cellStyle name="Normal 8 2 10 4" xfId="19576" xr:uid="{A9180E9B-BA80-4617-AB92-9513840BE59F}"/>
    <cellStyle name="Normal 8 2 11" xfId="4844" xr:uid="{00000000-0005-0000-0000-0000F21B0000}"/>
    <cellStyle name="Normal 8 2 11 2" xfId="13294" xr:uid="{C39AFE13-B9E1-4C09-849F-F30BD9A706E7}"/>
    <cellStyle name="Normal 8 2 11 3" xfId="21728" xr:uid="{B68A26AA-DBFE-4E70-AB1B-97B5A47E8ECF}"/>
    <cellStyle name="Normal 8 2 12" xfId="9076" xr:uid="{9761F6FB-7695-425B-81D9-38195DAA05AF}"/>
    <cellStyle name="Normal 8 2 13" xfId="17511" xr:uid="{58FFC61F-265C-4A5A-B35F-7B6C892BD0FD}"/>
    <cellStyle name="Normal 8 2 2" xfId="480" xr:uid="{00000000-0005-0000-0000-0000F31B0000}"/>
    <cellStyle name="Normal 8 2 2 10" xfId="4845" xr:uid="{00000000-0005-0000-0000-0000F41B0000}"/>
    <cellStyle name="Normal 8 2 2 10 2" xfId="13295" xr:uid="{EBD41313-7CB0-4702-B0A1-DB9B869CE111}"/>
    <cellStyle name="Normal 8 2 2 10 3" xfId="21729" xr:uid="{93E738CB-6686-4E1F-BAD9-79A61404468D}"/>
    <cellStyle name="Normal 8 2 2 11" xfId="9077" xr:uid="{BB46EB9D-6A09-4C47-8091-AC44EDA8FF8E}"/>
    <cellStyle name="Normal 8 2 2 12" xfId="17512" xr:uid="{DE05C2A6-BB6D-4BFA-9C8A-82EBC91513B6}"/>
    <cellStyle name="Normal 8 2 2 2" xfId="481" xr:uid="{00000000-0005-0000-0000-0000F51B0000}"/>
    <cellStyle name="Normal 8 2 2 2 10" xfId="9078" xr:uid="{A5E4CF37-2498-4D81-8CF1-8FC69E9AF22F}"/>
    <cellStyle name="Normal 8 2 2 2 11" xfId="17513" xr:uid="{8740C901-28C7-47B8-8D0C-9466DB6B1BAA}"/>
    <cellStyle name="Normal 8 2 2 2 2" xfId="482" xr:uid="{00000000-0005-0000-0000-0000F61B0000}"/>
    <cellStyle name="Normal 8 2 2 2 2 10" xfId="17514" xr:uid="{05A67BF3-26BF-4C44-8A39-B7963A67B5EB}"/>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DCE4308F-BD69-4C6F-940A-57E5C3856868}"/>
    <cellStyle name="Normal 8 2 2 2 2 2 2 2 2 3" xfId="24290" xr:uid="{D8142BA7-0FC4-4B93-93A7-1F75E04A910B}"/>
    <cellStyle name="Normal 8 2 2 2 2 2 2 2 3" xfId="11638" xr:uid="{EF62783A-B0F4-4213-8452-449B8B3FB86B}"/>
    <cellStyle name="Normal 8 2 2 2 2 2 2 2 4" xfId="20073" xr:uid="{8E59E672-0155-4616-B4B0-DE314C7347CE}"/>
    <cellStyle name="Normal 8 2 2 2 2 2 2 3" xfId="5261" xr:uid="{00000000-0005-0000-0000-0000FB1B0000}"/>
    <cellStyle name="Normal 8 2 2 2 2 2 2 3 2" xfId="13711" xr:uid="{398377CB-D642-4838-BA0B-3DD0666EF581}"/>
    <cellStyle name="Normal 8 2 2 2 2 2 2 3 3" xfId="22145" xr:uid="{0AB1220B-75CF-4DE4-8C3C-1EDF24DC5360}"/>
    <cellStyle name="Normal 8 2 2 2 2 2 2 4" xfId="9493" xr:uid="{DF73162B-022E-4DA5-A0A0-70DEB01ACA30}"/>
    <cellStyle name="Normal 8 2 2 2 2 2 2 5" xfId="17928" xr:uid="{0F5364F6-ABC3-4482-B311-1425ABBFA07A}"/>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E39E80CC-8C2D-4BAE-80FA-F12DEA7FBFF4}"/>
    <cellStyle name="Normal 8 2 2 2 2 2 3 2 2 3" xfId="24703" xr:uid="{C7F5B0B5-AFC1-4D7D-9053-814C6DC60772}"/>
    <cellStyle name="Normal 8 2 2 2 2 2 3 2 3" xfId="12051" xr:uid="{0F55441E-7F35-4F8F-9E1F-7F23922FCAE4}"/>
    <cellStyle name="Normal 8 2 2 2 2 2 3 2 4" xfId="20486" xr:uid="{626E102F-2B85-46B3-AB7E-2C8B07D30B2D}"/>
    <cellStyle name="Normal 8 2 2 2 2 2 3 3" xfId="5674" xr:uid="{00000000-0005-0000-0000-0000FF1B0000}"/>
    <cellStyle name="Normal 8 2 2 2 2 2 3 3 2" xfId="14124" xr:uid="{53632CAA-DC6E-4974-82F2-443811FECB53}"/>
    <cellStyle name="Normal 8 2 2 2 2 2 3 3 3" xfId="22558" xr:uid="{A5836B39-78D8-44DB-9652-A94397326DF5}"/>
    <cellStyle name="Normal 8 2 2 2 2 2 3 4" xfId="9906" xr:uid="{8169F7D4-6F63-461D-B5DA-2B2DEF3E8CA6}"/>
    <cellStyle name="Normal 8 2 2 2 2 2 3 5" xfId="18341" xr:uid="{9BE63D7C-6A75-46E2-BCE7-B918A123C7B9}"/>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3E687F09-21CF-4DC7-B3A7-C162F1862CB5}"/>
    <cellStyle name="Normal 8 2 2 2 2 2 4 2 2 3" xfId="25116" xr:uid="{62695C4B-E4BE-4B26-9F10-559DE8EF0FF8}"/>
    <cellStyle name="Normal 8 2 2 2 2 2 4 2 3" xfId="12464" xr:uid="{384A9D12-FA8E-4DB4-9C92-BCD5972C1C93}"/>
    <cellStyle name="Normal 8 2 2 2 2 2 4 2 4" xfId="20899" xr:uid="{01F38465-AD94-4401-AA8C-2EF45FD01DD9}"/>
    <cellStyle name="Normal 8 2 2 2 2 2 4 3" xfId="6087" xr:uid="{00000000-0005-0000-0000-0000031C0000}"/>
    <cellStyle name="Normal 8 2 2 2 2 2 4 3 2" xfId="14537" xr:uid="{2F2412D0-9FAB-48B6-8B86-B5742109972E}"/>
    <cellStyle name="Normal 8 2 2 2 2 2 4 3 3" xfId="22971" xr:uid="{6A0D5E4B-B8B4-4B0D-9CA6-6CA0DA04987E}"/>
    <cellStyle name="Normal 8 2 2 2 2 2 4 4" xfId="10319" xr:uid="{EAD43322-E71E-4984-A3B9-3A68290FE3E2}"/>
    <cellStyle name="Normal 8 2 2 2 2 2 4 5" xfId="18754" xr:uid="{75AA032C-5705-4E8B-8027-326A50BF6CAA}"/>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D7F85EFB-9C0A-45E1-AF34-344E4C9E9056}"/>
    <cellStyle name="Normal 8 2 2 2 2 2 5 2 2 3" xfId="25529" xr:uid="{744D1D29-E520-4621-83BD-834370099F3D}"/>
    <cellStyle name="Normal 8 2 2 2 2 2 5 2 3" xfId="12877" xr:uid="{9A08BAA6-E207-4A49-A19A-182A47CC3D38}"/>
    <cellStyle name="Normal 8 2 2 2 2 2 5 2 4" xfId="21312" xr:uid="{6D305A10-4DD5-4D21-A0EC-6F2CAE811EC4}"/>
    <cellStyle name="Normal 8 2 2 2 2 2 5 3" xfId="6500" xr:uid="{00000000-0005-0000-0000-0000071C0000}"/>
    <cellStyle name="Normal 8 2 2 2 2 2 5 3 2" xfId="14950" xr:uid="{49D30FB5-669B-4C70-83CA-B083D0F67D6F}"/>
    <cellStyle name="Normal 8 2 2 2 2 2 5 3 3" xfId="23384" xr:uid="{49A325E6-01D0-4984-9572-6C6574BDCF93}"/>
    <cellStyle name="Normal 8 2 2 2 2 2 5 4" xfId="10732" xr:uid="{C9A3A13C-1AD4-4573-8B5C-707CDEB16F68}"/>
    <cellStyle name="Normal 8 2 2 2 2 2 5 5" xfId="19167" xr:uid="{550298CC-3B48-483C-848C-D54B4E99D512}"/>
    <cellStyle name="Normal 8 2 2 2 2 2 6" xfId="2630" xr:uid="{00000000-0005-0000-0000-0000081C0000}"/>
    <cellStyle name="Normal 8 2 2 2 2 2 6 2" xfId="6913" xr:uid="{00000000-0005-0000-0000-0000091C0000}"/>
    <cellStyle name="Normal 8 2 2 2 2 2 6 2 2" xfId="15363" xr:uid="{B5886098-E09C-4F94-BE30-CEDA6F3BD6DB}"/>
    <cellStyle name="Normal 8 2 2 2 2 2 6 2 3" xfId="23797" xr:uid="{845CC863-E68A-45E3-8C20-9B7A6C263794}"/>
    <cellStyle name="Normal 8 2 2 2 2 2 6 3" xfId="11145" xr:uid="{9A687E16-F815-49E4-AF2C-51D66D70296B}"/>
    <cellStyle name="Normal 8 2 2 2 2 2 6 4" xfId="19580" xr:uid="{B1FFC8E4-BE0D-4B62-AD95-91A09F517F5E}"/>
    <cellStyle name="Normal 8 2 2 2 2 2 7" xfId="4848" xr:uid="{00000000-0005-0000-0000-00000A1C0000}"/>
    <cellStyle name="Normal 8 2 2 2 2 2 7 2" xfId="13298" xr:uid="{03796EFB-3C45-4465-A70F-42EF297BC5C1}"/>
    <cellStyle name="Normal 8 2 2 2 2 2 7 3" xfId="21732" xr:uid="{A2F90CAE-6606-456A-AA2C-99488EA2B0C7}"/>
    <cellStyle name="Normal 8 2 2 2 2 2 8" xfId="9080" xr:uid="{C471E8F3-4271-46E0-ABFF-6E1FDC0A8C19}"/>
    <cellStyle name="Normal 8 2 2 2 2 2 9" xfId="17515" xr:uid="{B324EFF4-9DDA-475A-AC2B-BD6F7E2DA0C7}"/>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EDC40418-A58A-44BB-916F-1B01B4E35AB0}"/>
    <cellStyle name="Normal 8 2 2 2 2 3 2 2 3" xfId="24289" xr:uid="{92750A67-6593-47A4-B31C-DB24A5E5F3D0}"/>
    <cellStyle name="Normal 8 2 2 2 2 3 2 3" xfId="11637" xr:uid="{C8735FD7-EA1F-4287-946C-E9C9688631E5}"/>
    <cellStyle name="Normal 8 2 2 2 2 3 2 4" xfId="20072" xr:uid="{698B9B37-6BB9-4558-97C7-073495B370FB}"/>
    <cellStyle name="Normal 8 2 2 2 2 3 3" xfId="5260" xr:uid="{00000000-0005-0000-0000-00000E1C0000}"/>
    <cellStyle name="Normal 8 2 2 2 2 3 3 2" xfId="13710" xr:uid="{67DF9913-39D8-4507-B952-86629712F76F}"/>
    <cellStyle name="Normal 8 2 2 2 2 3 3 3" xfId="22144" xr:uid="{A021FCD8-8680-4651-967D-FA1B01F69267}"/>
    <cellStyle name="Normal 8 2 2 2 2 3 4" xfId="9492" xr:uid="{1E74B501-EE68-46B7-BFBA-9BB127269E64}"/>
    <cellStyle name="Normal 8 2 2 2 2 3 5" xfId="17927" xr:uid="{7BCB8453-6C0F-49E4-B18D-226910A4381E}"/>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B36B2488-7333-4A7D-B1BF-F242E20FD710}"/>
    <cellStyle name="Normal 8 2 2 2 2 4 2 2 3" xfId="24702" xr:uid="{CBEC78B3-660F-4F87-8BF2-3B5274F57417}"/>
    <cellStyle name="Normal 8 2 2 2 2 4 2 3" xfId="12050" xr:uid="{4A3AF709-9A97-4959-BD32-D4FD53B735CE}"/>
    <cellStyle name="Normal 8 2 2 2 2 4 2 4" xfId="20485" xr:uid="{E1044049-36EF-430A-B93E-2F6FEFFD7C31}"/>
    <cellStyle name="Normal 8 2 2 2 2 4 3" xfId="5673" xr:uid="{00000000-0005-0000-0000-0000121C0000}"/>
    <cellStyle name="Normal 8 2 2 2 2 4 3 2" xfId="14123" xr:uid="{9F952C26-BC1C-45F9-AF07-F7EE76786A1F}"/>
    <cellStyle name="Normal 8 2 2 2 2 4 3 3" xfId="22557" xr:uid="{0A855FE5-D11A-4F31-91B0-495FAA2D078B}"/>
    <cellStyle name="Normal 8 2 2 2 2 4 4" xfId="9905" xr:uid="{D2FCD929-064A-43ED-80D5-A8EF9F06A58A}"/>
    <cellStyle name="Normal 8 2 2 2 2 4 5" xfId="18340" xr:uid="{813371FA-F35D-4C06-AD67-1A1348B1CAA7}"/>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C7EC21F2-3A39-496B-BC64-BC2CC2005CDF}"/>
    <cellStyle name="Normal 8 2 2 2 2 5 2 2 3" xfId="25115" xr:uid="{09DAF5AB-75B8-48EE-8B5D-4A568157AE75}"/>
    <cellStyle name="Normal 8 2 2 2 2 5 2 3" xfId="12463" xr:uid="{B9E0DFFE-3D04-4757-923D-D0FBE5FE604F}"/>
    <cellStyle name="Normal 8 2 2 2 2 5 2 4" xfId="20898" xr:uid="{D3E14B36-38CE-426B-9C5F-86D384C7FEA7}"/>
    <cellStyle name="Normal 8 2 2 2 2 5 3" xfId="6086" xr:uid="{00000000-0005-0000-0000-0000161C0000}"/>
    <cellStyle name="Normal 8 2 2 2 2 5 3 2" xfId="14536" xr:uid="{0370A6AB-20C1-41BD-A78E-98A82F7516CA}"/>
    <cellStyle name="Normal 8 2 2 2 2 5 3 3" xfId="22970" xr:uid="{4E144257-1F52-42CA-BF7D-7B8DB90A0845}"/>
    <cellStyle name="Normal 8 2 2 2 2 5 4" xfId="10318" xr:uid="{EB7D7D5C-BAF3-444D-B859-A89C8903C529}"/>
    <cellStyle name="Normal 8 2 2 2 2 5 5" xfId="18753" xr:uid="{5AEEBD20-4E15-4DEE-81C0-56BC62A552E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0035756F-F365-49C8-9165-56AF3F943FC1}"/>
    <cellStyle name="Normal 8 2 2 2 2 6 2 2 3" xfId="25528" xr:uid="{C491A8AD-9C2F-4DA2-BB5C-556DB2165C31}"/>
    <cellStyle name="Normal 8 2 2 2 2 6 2 3" xfId="12876" xr:uid="{32C19D7A-68F8-4211-8090-983E38CFC7A6}"/>
    <cellStyle name="Normal 8 2 2 2 2 6 2 4" xfId="21311" xr:uid="{6EE7970A-8941-44BF-839E-A177707BAC46}"/>
    <cellStyle name="Normal 8 2 2 2 2 6 3" xfId="6499" xr:uid="{00000000-0005-0000-0000-00001A1C0000}"/>
    <cellStyle name="Normal 8 2 2 2 2 6 3 2" xfId="14949" xr:uid="{DE814BB2-D690-4D75-8494-D0D9AE1302CF}"/>
    <cellStyle name="Normal 8 2 2 2 2 6 3 3" xfId="23383" xr:uid="{AD40B4E1-A2E1-45B8-AF35-702DA082A788}"/>
    <cellStyle name="Normal 8 2 2 2 2 6 4" xfId="10731" xr:uid="{68749C5E-FB88-4064-977B-D70901950D5D}"/>
    <cellStyle name="Normal 8 2 2 2 2 6 5" xfId="19166" xr:uid="{F7485B8B-16EC-41D6-A7A2-AEC5C83A1F67}"/>
    <cellStyle name="Normal 8 2 2 2 2 7" xfId="2629" xr:uid="{00000000-0005-0000-0000-00001B1C0000}"/>
    <cellStyle name="Normal 8 2 2 2 2 7 2" xfId="6912" xr:uid="{00000000-0005-0000-0000-00001C1C0000}"/>
    <cellStyle name="Normal 8 2 2 2 2 7 2 2" xfId="15362" xr:uid="{270425FF-C8FC-416A-AF96-7D9A251C6AA4}"/>
    <cellStyle name="Normal 8 2 2 2 2 7 2 3" xfId="23796" xr:uid="{D35F3CD1-DCB6-4B4C-9AAE-0434CC65E72C}"/>
    <cellStyle name="Normal 8 2 2 2 2 7 3" xfId="11144" xr:uid="{75BB3BA8-ACCC-4643-956F-037560781168}"/>
    <cellStyle name="Normal 8 2 2 2 2 7 4" xfId="19579" xr:uid="{592B519E-4753-427C-AD8E-CAD62FBF6547}"/>
    <cellStyle name="Normal 8 2 2 2 2 8" xfId="4847" xr:uid="{00000000-0005-0000-0000-00001D1C0000}"/>
    <cellStyle name="Normal 8 2 2 2 2 8 2" xfId="13297" xr:uid="{124731DD-46DC-485D-9DDA-D0ACCBF2B8DE}"/>
    <cellStyle name="Normal 8 2 2 2 2 8 3" xfId="21731" xr:uid="{C0DA21CB-A2F7-4A54-83F0-FE56EB3C326C}"/>
    <cellStyle name="Normal 8 2 2 2 2 9" xfId="9079" xr:uid="{26BA9496-224D-426F-9037-50F49D1763C3}"/>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B3F675FD-F366-45AE-BFE4-F3F5453A3AF8}"/>
    <cellStyle name="Normal 8 2 2 2 3 2 2 2 3" xfId="24291" xr:uid="{94BEE6EF-DD46-442D-B1AC-2EC2667C3A2E}"/>
    <cellStyle name="Normal 8 2 2 2 3 2 2 3" xfId="11639" xr:uid="{8E09D179-F3DD-4672-BDA5-66665DF5D5D3}"/>
    <cellStyle name="Normal 8 2 2 2 3 2 2 4" xfId="20074" xr:uid="{17BAA4A9-D709-4817-89FF-4B9416B021D4}"/>
    <cellStyle name="Normal 8 2 2 2 3 2 3" xfId="5262" xr:uid="{00000000-0005-0000-0000-0000221C0000}"/>
    <cellStyle name="Normal 8 2 2 2 3 2 3 2" xfId="13712" xr:uid="{721B5F5B-229C-46A7-9C49-9C97F26AF3EB}"/>
    <cellStyle name="Normal 8 2 2 2 3 2 3 3" xfId="22146" xr:uid="{3DF4E8BA-AC76-4B78-9572-060EFC659BDE}"/>
    <cellStyle name="Normal 8 2 2 2 3 2 4" xfId="9494" xr:uid="{32F6F8C9-3631-471F-8CB1-204EF0D76BF9}"/>
    <cellStyle name="Normal 8 2 2 2 3 2 5" xfId="17929" xr:uid="{F3AC6CB6-B406-44DD-A0F9-DC2EB45ABC8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A8C0E2D7-5589-4E28-9E78-0060E684AF98}"/>
    <cellStyle name="Normal 8 2 2 2 3 3 2 2 3" xfId="24704" xr:uid="{A17495C5-2575-4D8F-8461-2EF3D3CBDE6E}"/>
    <cellStyle name="Normal 8 2 2 2 3 3 2 3" xfId="12052" xr:uid="{320E932D-E7DF-4299-AE56-C02C215E1CBD}"/>
    <cellStyle name="Normal 8 2 2 2 3 3 2 4" xfId="20487" xr:uid="{8A85C8F5-8277-4066-BE44-DB489E283CA3}"/>
    <cellStyle name="Normal 8 2 2 2 3 3 3" xfId="5675" xr:uid="{00000000-0005-0000-0000-0000261C0000}"/>
    <cellStyle name="Normal 8 2 2 2 3 3 3 2" xfId="14125" xr:uid="{C145AC5C-73DB-4BBA-86C2-2A1FA65FD1E1}"/>
    <cellStyle name="Normal 8 2 2 2 3 3 3 3" xfId="22559" xr:uid="{73C8F985-F8A2-49A5-B55B-492D62DDF2B8}"/>
    <cellStyle name="Normal 8 2 2 2 3 3 4" xfId="9907" xr:uid="{2B29A547-27F8-45E0-BC4C-A2C6A1BB6DBC}"/>
    <cellStyle name="Normal 8 2 2 2 3 3 5" xfId="18342" xr:uid="{851B7067-D1F4-4A8F-BD52-F4F1217DEE1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D88E4ECB-14D8-40B2-86EE-6667F2001751}"/>
    <cellStyle name="Normal 8 2 2 2 3 4 2 2 3" xfId="25117" xr:uid="{3E9EE11A-3A96-4074-A182-06FADB255AFA}"/>
    <cellStyle name="Normal 8 2 2 2 3 4 2 3" xfId="12465" xr:uid="{A7A70F13-D0D9-43E6-AA8C-EF4071786349}"/>
    <cellStyle name="Normal 8 2 2 2 3 4 2 4" xfId="20900" xr:uid="{95D88D30-4B43-47EC-A8A7-DB77E179E431}"/>
    <cellStyle name="Normal 8 2 2 2 3 4 3" xfId="6088" xr:uid="{00000000-0005-0000-0000-00002A1C0000}"/>
    <cellStyle name="Normal 8 2 2 2 3 4 3 2" xfId="14538" xr:uid="{62E95DCD-470B-44FD-9DF5-CCF838FA464B}"/>
    <cellStyle name="Normal 8 2 2 2 3 4 3 3" xfId="22972" xr:uid="{725A39F3-07F2-4448-9CC5-6A3852388BAD}"/>
    <cellStyle name="Normal 8 2 2 2 3 4 4" xfId="10320" xr:uid="{8EE91803-5D26-4105-B346-E936C2E453DF}"/>
    <cellStyle name="Normal 8 2 2 2 3 4 5" xfId="18755" xr:uid="{23439F5F-0A3A-47B4-89DC-E0F0B8B3B6FA}"/>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883E65A9-9A92-408A-B27A-364FD172756F}"/>
    <cellStyle name="Normal 8 2 2 2 3 5 2 2 3" xfId="25530" xr:uid="{D381FE4B-D26A-46CA-AA13-9ADC81540F38}"/>
    <cellStyle name="Normal 8 2 2 2 3 5 2 3" xfId="12878" xr:uid="{4705D170-1CDF-4A8A-B749-E8561BF03198}"/>
    <cellStyle name="Normal 8 2 2 2 3 5 2 4" xfId="21313" xr:uid="{E4D1329D-9FCC-42C0-9D3E-DA88DE7C3BB0}"/>
    <cellStyle name="Normal 8 2 2 2 3 5 3" xfId="6501" xr:uid="{00000000-0005-0000-0000-00002E1C0000}"/>
    <cellStyle name="Normal 8 2 2 2 3 5 3 2" xfId="14951" xr:uid="{B4DC2596-3373-46D3-BA51-16BAF8051488}"/>
    <cellStyle name="Normal 8 2 2 2 3 5 3 3" xfId="23385" xr:uid="{301FB0D9-EC85-48E7-A90E-1C1FF62C2ED9}"/>
    <cellStyle name="Normal 8 2 2 2 3 5 4" xfId="10733" xr:uid="{3C563DDE-5C81-4EE7-AB3D-F097EF6F0E28}"/>
    <cellStyle name="Normal 8 2 2 2 3 5 5" xfId="19168" xr:uid="{D181DC17-1845-4979-961F-5F83887F937B}"/>
    <cellStyle name="Normal 8 2 2 2 3 6" xfId="2631" xr:uid="{00000000-0005-0000-0000-00002F1C0000}"/>
    <cellStyle name="Normal 8 2 2 2 3 6 2" xfId="6914" xr:uid="{00000000-0005-0000-0000-0000301C0000}"/>
    <cellStyle name="Normal 8 2 2 2 3 6 2 2" xfId="15364" xr:uid="{1805C45F-0A56-4A54-8C78-E19C9E6E1E0F}"/>
    <cellStyle name="Normal 8 2 2 2 3 6 2 3" xfId="23798" xr:uid="{B618EF68-FD13-453D-9C1D-681207839797}"/>
    <cellStyle name="Normal 8 2 2 2 3 6 3" xfId="11146" xr:uid="{34DE0B40-8DFE-4442-9747-F468944CC0D7}"/>
    <cellStyle name="Normal 8 2 2 2 3 6 4" xfId="19581" xr:uid="{659C001A-9857-46AF-8845-C147103DD3FF}"/>
    <cellStyle name="Normal 8 2 2 2 3 7" xfId="4849" xr:uid="{00000000-0005-0000-0000-0000311C0000}"/>
    <cellStyle name="Normal 8 2 2 2 3 7 2" xfId="13299" xr:uid="{F705485D-B537-4A05-A385-C0689E10270A}"/>
    <cellStyle name="Normal 8 2 2 2 3 7 3" xfId="21733" xr:uid="{93756D1B-BF65-4087-A0A7-37F32841472C}"/>
    <cellStyle name="Normal 8 2 2 2 3 8" xfId="9081" xr:uid="{FD566FB4-6A1D-4388-B5DB-DF5C43118300}"/>
    <cellStyle name="Normal 8 2 2 2 3 9" xfId="17516" xr:uid="{558C3733-34BC-4EE9-97B2-3077591101FB}"/>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374913BA-ECD4-4866-9236-D2AE98586793}"/>
    <cellStyle name="Normal 8 2 2 2 4 2 2 3" xfId="24288" xr:uid="{701C9D33-5627-41EE-A444-BFC8C087B0C9}"/>
    <cellStyle name="Normal 8 2 2 2 4 2 3" xfId="11636" xr:uid="{CFECCC47-800E-4BAB-9292-EE6E5E1DFCF1}"/>
    <cellStyle name="Normal 8 2 2 2 4 2 4" xfId="20071" xr:uid="{4459AC4B-8B73-4D4F-AC8E-389D68A5BC3D}"/>
    <cellStyle name="Normal 8 2 2 2 4 3" xfId="5259" xr:uid="{00000000-0005-0000-0000-0000351C0000}"/>
    <cellStyle name="Normal 8 2 2 2 4 3 2" xfId="13709" xr:uid="{B0A71E6D-DB1B-4F47-A05F-09F2C44BA9B8}"/>
    <cellStyle name="Normal 8 2 2 2 4 3 3" xfId="22143" xr:uid="{F3604203-07B6-48A7-8483-E26FE4874048}"/>
    <cellStyle name="Normal 8 2 2 2 4 4" xfId="9491" xr:uid="{C8526071-A09F-4C8F-A388-0E58B596DAC5}"/>
    <cellStyle name="Normal 8 2 2 2 4 5" xfId="17926" xr:uid="{0D902134-37A4-4B89-AEEA-9362D0B3A35E}"/>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62900497-8A63-43D0-AEEB-7608AFF35866}"/>
    <cellStyle name="Normal 8 2 2 2 5 2 2 3" xfId="24701" xr:uid="{FE4DE0D4-7B14-4CFA-949E-FB9406DCB2E1}"/>
    <cellStyle name="Normal 8 2 2 2 5 2 3" xfId="12049" xr:uid="{B8679504-4D3E-47E7-BDE4-E99EA84B0142}"/>
    <cellStyle name="Normal 8 2 2 2 5 2 4" xfId="20484" xr:uid="{7AB38E06-DC9A-4200-80D7-9BF40DD5EAB4}"/>
    <cellStyle name="Normal 8 2 2 2 5 3" xfId="5672" xr:uid="{00000000-0005-0000-0000-0000391C0000}"/>
    <cellStyle name="Normal 8 2 2 2 5 3 2" xfId="14122" xr:uid="{B21A6269-4EDB-4E4A-8E76-D52EB2748C09}"/>
    <cellStyle name="Normal 8 2 2 2 5 3 3" xfId="22556" xr:uid="{912DDEFA-7257-44DF-B7DF-5E869F9599B7}"/>
    <cellStyle name="Normal 8 2 2 2 5 4" xfId="9904" xr:uid="{814352AB-3BAC-4DFB-8768-DBB14BA7006F}"/>
    <cellStyle name="Normal 8 2 2 2 5 5" xfId="18339" xr:uid="{0AD617A9-7C77-4D87-BD09-C5C88F0F9F1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316F8044-D17D-4ECF-B077-F0B25C3930AE}"/>
    <cellStyle name="Normal 8 2 2 2 6 2 2 3" xfId="25114" xr:uid="{6FDEA714-02BC-4A61-A5BF-C93F56028132}"/>
    <cellStyle name="Normal 8 2 2 2 6 2 3" xfId="12462" xr:uid="{1C22C882-D593-440F-B39A-3D8379B563E2}"/>
    <cellStyle name="Normal 8 2 2 2 6 2 4" xfId="20897" xr:uid="{176B4260-6BCA-424B-9854-5E7CDF43C137}"/>
    <cellStyle name="Normal 8 2 2 2 6 3" xfId="6085" xr:uid="{00000000-0005-0000-0000-00003D1C0000}"/>
    <cellStyle name="Normal 8 2 2 2 6 3 2" xfId="14535" xr:uid="{E465B4D9-C0FC-4E88-9BAF-376A307CF1BE}"/>
    <cellStyle name="Normal 8 2 2 2 6 3 3" xfId="22969" xr:uid="{467FB64A-1715-41F8-94A3-BF752160C901}"/>
    <cellStyle name="Normal 8 2 2 2 6 4" xfId="10317" xr:uid="{50470A9D-4E10-460A-A8B8-07DEE0A5942C}"/>
    <cellStyle name="Normal 8 2 2 2 6 5" xfId="18752" xr:uid="{236157DE-CA1E-4BB5-B747-EBFB6A63D01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AE6F5808-5D33-4747-A570-C8F9B6EE0EE2}"/>
    <cellStyle name="Normal 8 2 2 2 7 2 2 3" xfId="25527" xr:uid="{F6877B57-754E-4E9B-B8D3-0E381DA8AC5F}"/>
    <cellStyle name="Normal 8 2 2 2 7 2 3" xfId="12875" xr:uid="{0A9CB04B-CA7D-48DC-899C-5E5ECC5EA7F4}"/>
    <cellStyle name="Normal 8 2 2 2 7 2 4" xfId="21310" xr:uid="{92B7C7E7-A902-4D2B-902C-722F0EFD12EB}"/>
    <cellStyle name="Normal 8 2 2 2 7 3" xfId="6498" xr:uid="{00000000-0005-0000-0000-0000411C0000}"/>
    <cellStyle name="Normal 8 2 2 2 7 3 2" xfId="14948" xr:uid="{255D1C72-37A3-47B1-B3DD-D8CB542EA5A3}"/>
    <cellStyle name="Normal 8 2 2 2 7 3 3" xfId="23382" xr:uid="{14567102-20B6-446D-9723-20AED0E71C24}"/>
    <cellStyle name="Normal 8 2 2 2 7 4" xfId="10730" xr:uid="{B7CF30D3-B2F7-4B7D-8E2C-9F3644D24B31}"/>
    <cellStyle name="Normal 8 2 2 2 7 5" xfId="19165" xr:uid="{5017EA10-5212-4241-BE76-CDF779D3916F}"/>
    <cellStyle name="Normal 8 2 2 2 8" xfId="2628" xr:uid="{00000000-0005-0000-0000-0000421C0000}"/>
    <cellStyle name="Normal 8 2 2 2 8 2" xfId="6911" xr:uid="{00000000-0005-0000-0000-0000431C0000}"/>
    <cellStyle name="Normal 8 2 2 2 8 2 2" xfId="15361" xr:uid="{79F34731-FEBD-415F-9C41-6537F604D899}"/>
    <cellStyle name="Normal 8 2 2 2 8 2 3" xfId="23795" xr:uid="{49CDD8C2-D480-4081-ABD2-E410723A079E}"/>
    <cellStyle name="Normal 8 2 2 2 8 3" xfId="11143" xr:uid="{A134E36A-8D01-42BC-8EBA-C6CEA37C57CF}"/>
    <cellStyle name="Normal 8 2 2 2 8 4" xfId="19578" xr:uid="{8440C5A1-F66E-408B-A30D-E95A477AF0A4}"/>
    <cellStyle name="Normal 8 2 2 2 9" xfId="4846" xr:uid="{00000000-0005-0000-0000-0000441C0000}"/>
    <cellStyle name="Normal 8 2 2 2 9 2" xfId="13296" xr:uid="{0E8DAD85-EAD3-43CE-BB43-AA0AF2EF48C9}"/>
    <cellStyle name="Normal 8 2 2 2 9 3" xfId="21730" xr:uid="{BEC3EF1A-9EE7-4A55-9383-CA69B06DF79E}"/>
    <cellStyle name="Normal 8 2 2 3" xfId="485" xr:uid="{00000000-0005-0000-0000-0000451C0000}"/>
    <cellStyle name="Normal 8 2 2 3 10" xfId="17517" xr:uid="{A1CECB96-0933-4078-A9DF-79A604271937}"/>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A32CE0C3-00AF-41F5-9B6B-0732866CCB1E}"/>
    <cellStyle name="Normal 8 2 2 3 2 2 2 2 3" xfId="24293" xr:uid="{6AB85DE4-204D-45BC-BE4A-A25E45827A53}"/>
    <cellStyle name="Normal 8 2 2 3 2 2 2 3" xfId="11641" xr:uid="{2AA0E7F0-346C-4099-AE08-2DBB196B84E0}"/>
    <cellStyle name="Normal 8 2 2 3 2 2 2 4" xfId="20076" xr:uid="{E493F203-C91D-44B0-8747-79A902AAC768}"/>
    <cellStyle name="Normal 8 2 2 3 2 2 3" xfId="5264" xr:uid="{00000000-0005-0000-0000-00004A1C0000}"/>
    <cellStyle name="Normal 8 2 2 3 2 2 3 2" xfId="13714" xr:uid="{7E7BE75D-3008-4B32-B1BE-D5031A1F89C4}"/>
    <cellStyle name="Normal 8 2 2 3 2 2 3 3" xfId="22148" xr:uid="{1F99F516-6377-4ADB-8129-4D42427C99B9}"/>
    <cellStyle name="Normal 8 2 2 3 2 2 4" xfId="9496" xr:uid="{9D6FDBFB-4D1F-4EED-963C-D0C7CEFB7DCD}"/>
    <cellStyle name="Normal 8 2 2 3 2 2 5" xfId="17931" xr:uid="{0012A937-7F68-4545-AC35-F7208043E1B3}"/>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E91FE2D0-F83F-4E04-B87F-7083A0F795DD}"/>
    <cellStyle name="Normal 8 2 2 3 2 3 2 2 3" xfId="24706" xr:uid="{A5EB0EB6-8A29-4F03-93A9-1FDC5E9E9CF2}"/>
    <cellStyle name="Normal 8 2 2 3 2 3 2 3" xfId="12054" xr:uid="{08759706-F1BF-458C-B1A9-8DD079F3E8BA}"/>
    <cellStyle name="Normal 8 2 2 3 2 3 2 4" xfId="20489" xr:uid="{9F1C1BCF-7706-44D6-B3B2-844E37BE74C5}"/>
    <cellStyle name="Normal 8 2 2 3 2 3 3" xfId="5677" xr:uid="{00000000-0005-0000-0000-00004E1C0000}"/>
    <cellStyle name="Normal 8 2 2 3 2 3 3 2" xfId="14127" xr:uid="{362810D1-F7DB-412F-924C-45CD7BED2F97}"/>
    <cellStyle name="Normal 8 2 2 3 2 3 3 3" xfId="22561" xr:uid="{FA6C7398-C125-4E67-AF15-AD7C0A0C4675}"/>
    <cellStyle name="Normal 8 2 2 3 2 3 4" xfId="9909" xr:uid="{4BC18D42-CC0A-4C82-9231-EF7CA3B3C9E4}"/>
    <cellStyle name="Normal 8 2 2 3 2 3 5" xfId="18344" xr:uid="{2865FDBE-237A-4B97-84AD-07150C4EDA65}"/>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08A6F1CD-D92D-41BD-8A91-BD15ABC7A309}"/>
    <cellStyle name="Normal 8 2 2 3 2 4 2 2 3" xfId="25119" xr:uid="{28ABE2B1-711E-4F24-B608-49C068DE501C}"/>
    <cellStyle name="Normal 8 2 2 3 2 4 2 3" xfId="12467" xr:uid="{CD3BED84-94DB-4A7D-ACF3-7DD467B07F1B}"/>
    <cellStyle name="Normal 8 2 2 3 2 4 2 4" xfId="20902" xr:uid="{46FACED6-1B3D-42BE-8105-92E2B8469A8E}"/>
    <cellStyle name="Normal 8 2 2 3 2 4 3" xfId="6090" xr:uid="{00000000-0005-0000-0000-0000521C0000}"/>
    <cellStyle name="Normal 8 2 2 3 2 4 3 2" xfId="14540" xr:uid="{E69CED0B-FCC1-425E-8EC4-423A5F39C74F}"/>
    <cellStyle name="Normal 8 2 2 3 2 4 3 3" xfId="22974" xr:uid="{1D5BF52C-1775-4051-994C-D7ED6A424DB1}"/>
    <cellStyle name="Normal 8 2 2 3 2 4 4" xfId="10322" xr:uid="{F7BF6742-E5F7-427B-85EC-5C83C21594FE}"/>
    <cellStyle name="Normal 8 2 2 3 2 4 5" xfId="18757" xr:uid="{90358F7F-0BF2-4DB8-B584-1A2E3927FD3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67219BA6-AEFF-466D-9A44-6A6CA7700554}"/>
    <cellStyle name="Normal 8 2 2 3 2 5 2 2 3" xfId="25532" xr:uid="{852705E2-A7CC-4779-98EB-02303B79411E}"/>
    <cellStyle name="Normal 8 2 2 3 2 5 2 3" xfId="12880" xr:uid="{DA1385BC-BF9A-4236-9E42-2175567E1788}"/>
    <cellStyle name="Normal 8 2 2 3 2 5 2 4" xfId="21315" xr:uid="{84D4F7ED-80A1-425F-B80C-CCC4D8FC7E31}"/>
    <cellStyle name="Normal 8 2 2 3 2 5 3" xfId="6503" xr:uid="{00000000-0005-0000-0000-0000561C0000}"/>
    <cellStyle name="Normal 8 2 2 3 2 5 3 2" xfId="14953" xr:uid="{0E5C4B56-6951-4EB6-9B66-EFA3A8E99803}"/>
    <cellStyle name="Normal 8 2 2 3 2 5 3 3" xfId="23387" xr:uid="{37AA18F8-F8D2-4CB7-80DC-AEABAD9B251B}"/>
    <cellStyle name="Normal 8 2 2 3 2 5 4" xfId="10735" xr:uid="{809BA8BB-C0D2-4E77-944F-520D6CA43B6E}"/>
    <cellStyle name="Normal 8 2 2 3 2 5 5" xfId="19170" xr:uid="{ACA9CD93-B59F-4391-9068-C8E2707D9D0E}"/>
    <cellStyle name="Normal 8 2 2 3 2 6" xfId="2633" xr:uid="{00000000-0005-0000-0000-0000571C0000}"/>
    <cellStyle name="Normal 8 2 2 3 2 6 2" xfId="6916" xr:uid="{00000000-0005-0000-0000-0000581C0000}"/>
    <cellStyle name="Normal 8 2 2 3 2 6 2 2" xfId="15366" xr:uid="{619407DB-71A5-40B3-8208-2AAD0E1DF6CF}"/>
    <cellStyle name="Normal 8 2 2 3 2 6 2 3" xfId="23800" xr:uid="{5A19BBA4-1D5F-42CB-9179-14E1257619B0}"/>
    <cellStyle name="Normal 8 2 2 3 2 6 3" xfId="11148" xr:uid="{61E021D7-71CA-4E6D-9DE3-6AA2D7C32150}"/>
    <cellStyle name="Normal 8 2 2 3 2 6 4" xfId="19583" xr:uid="{BB5E8067-9CF6-4CBA-AEF9-1037B82E24D6}"/>
    <cellStyle name="Normal 8 2 2 3 2 7" xfId="4851" xr:uid="{00000000-0005-0000-0000-0000591C0000}"/>
    <cellStyle name="Normal 8 2 2 3 2 7 2" xfId="13301" xr:uid="{6CA4E9F3-EC17-4483-879C-F554FBCAC316}"/>
    <cellStyle name="Normal 8 2 2 3 2 7 3" xfId="21735" xr:uid="{2747FB74-B5EE-4B82-A485-498332A08256}"/>
    <cellStyle name="Normal 8 2 2 3 2 8" xfId="9083" xr:uid="{C786124C-0A9A-47F7-8D43-D74F58C3FEB5}"/>
    <cellStyle name="Normal 8 2 2 3 2 9" xfId="17518" xr:uid="{4AE73979-A276-40A8-A668-866C94A3B397}"/>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47E0F5A5-5857-4F86-8CB0-4AC7E539F0D1}"/>
    <cellStyle name="Normal 8 2 2 3 3 2 2 3" xfId="24292" xr:uid="{63DD9D41-A8CF-4645-9C8E-49CF5797DB31}"/>
    <cellStyle name="Normal 8 2 2 3 3 2 3" xfId="11640" xr:uid="{0A5ED058-2C35-4DCD-B709-5E7B593C4010}"/>
    <cellStyle name="Normal 8 2 2 3 3 2 4" xfId="20075" xr:uid="{C3F5672B-FC1C-4AD0-AEEA-DB62DFF152E8}"/>
    <cellStyle name="Normal 8 2 2 3 3 3" xfId="5263" xr:uid="{00000000-0005-0000-0000-00005D1C0000}"/>
    <cellStyle name="Normal 8 2 2 3 3 3 2" xfId="13713" xr:uid="{85476404-00C1-4BEE-BA22-20F0F656B020}"/>
    <cellStyle name="Normal 8 2 2 3 3 3 3" xfId="22147" xr:uid="{4F5FA280-244C-4A77-9562-A7B31101E8C8}"/>
    <cellStyle name="Normal 8 2 2 3 3 4" xfId="9495" xr:uid="{B283A5A6-0937-4E57-8B5E-96A251C85F5E}"/>
    <cellStyle name="Normal 8 2 2 3 3 5" xfId="17930" xr:uid="{DEC61269-425F-4053-9305-EC514B96376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6F3037C4-4193-43DA-9EB1-C8AE464E471A}"/>
    <cellStyle name="Normal 8 2 2 3 4 2 2 3" xfId="24705" xr:uid="{2F9FAE5A-64B6-4D74-970D-C837707B4539}"/>
    <cellStyle name="Normal 8 2 2 3 4 2 3" xfId="12053" xr:uid="{8DAE4F90-5489-4BB0-B1D0-870E215A814D}"/>
    <cellStyle name="Normal 8 2 2 3 4 2 4" xfId="20488" xr:uid="{66BBA8E2-3AC2-459A-A6CC-84CEED337B18}"/>
    <cellStyle name="Normal 8 2 2 3 4 3" xfId="5676" xr:uid="{00000000-0005-0000-0000-0000611C0000}"/>
    <cellStyle name="Normal 8 2 2 3 4 3 2" xfId="14126" xr:uid="{7C3FF54C-815E-464B-9C7D-34C159395D87}"/>
    <cellStyle name="Normal 8 2 2 3 4 3 3" xfId="22560" xr:uid="{A33318E0-5D0C-45D0-A98D-AF5842251CFA}"/>
    <cellStyle name="Normal 8 2 2 3 4 4" xfId="9908" xr:uid="{40C10CBB-691A-42D1-A658-B10DC1984CD7}"/>
    <cellStyle name="Normal 8 2 2 3 4 5" xfId="18343" xr:uid="{A0E72FFD-E4D9-41A9-911F-357F94CEC6D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C4752840-8501-49FB-9FB6-43B827ED8F95}"/>
    <cellStyle name="Normal 8 2 2 3 5 2 2 3" xfId="25118" xr:uid="{5053F57A-1CD3-440F-827A-69D33C9F6382}"/>
    <cellStyle name="Normal 8 2 2 3 5 2 3" xfId="12466" xr:uid="{5AC7E6AF-BB4C-4E45-B292-A387DDCD0652}"/>
    <cellStyle name="Normal 8 2 2 3 5 2 4" xfId="20901" xr:uid="{F5FFF56C-95E7-4A20-AE63-6B416B3015C8}"/>
    <cellStyle name="Normal 8 2 2 3 5 3" xfId="6089" xr:uid="{00000000-0005-0000-0000-0000651C0000}"/>
    <cellStyle name="Normal 8 2 2 3 5 3 2" xfId="14539" xr:uid="{6CCFA1AC-3153-405C-B955-91F3E20594D0}"/>
    <cellStyle name="Normal 8 2 2 3 5 3 3" xfId="22973" xr:uid="{C18EB739-3FC8-44BA-AEF1-114A56E0F92D}"/>
    <cellStyle name="Normal 8 2 2 3 5 4" xfId="10321" xr:uid="{C5E6DA2B-3C92-463C-80DF-9C3F27C7B206}"/>
    <cellStyle name="Normal 8 2 2 3 5 5" xfId="18756" xr:uid="{24AE92EE-F11D-4392-BE62-AED0655D52FF}"/>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61B1839D-8CEA-40F5-B197-062F25012201}"/>
    <cellStyle name="Normal 8 2 2 3 6 2 2 3" xfId="25531" xr:uid="{DFBC0583-22A9-4B55-8485-144AC40154F2}"/>
    <cellStyle name="Normal 8 2 2 3 6 2 3" xfId="12879" xr:uid="{514A5149-4BB3-4CFB-8918-07626734B0A1}"/>
    <cellStyle name="Normal 8 2 2 3 6 2 4" xfId="21314" xr:uid="{4AFFE91D-321E-4F53-BFED-F5F64525F425}"/>
    <cellStyle name="Normal 8 2 2 3 6 3" xfId="6502" xr:uid="{00000000-0005-0000-0000-0000691C0000}"/>
    <cellStyle name="Normal 8 2 2 3 6 3 2" xfId="14952" xr:uid="{5185FB20-542E-4372-B135-5B9DA12131D9}"/>
    <cellStyle name="Normal 8 2 2 3 6 3 3" xfId="23386" xr:uid="{F663DBD8-D814-4B92-9780-7431C5580E0C}"/>
    <cellStyle name="Normal 8 2 2 3 6 4" xfId="10734" xr:uid="{C965C67E-9FAB-4FFD-8A0A-B12348F15538}"/>
    <cellStyle name="Normal 8 2 2 3 6 5" xfId="19169" xr:uid="{193246A2-EC0C-48B5-955E-DBAFB8A99D88}"/>
    <cellStyle name="Normal 8 2 2 3 7" xfId="2632" xr:uid="{00000000-0005-0000-0000-00006A1C0000}"/>
    <cellStyle name="Normal 8 2 2 3 7 2" xfId="6915" xr:uid="{00000000-0005-0000-0000-00006B1C0000}"/>
    <cellStyle name="Normal 8 2 2 3 7 2 2" xfId="15365" xr:uid="{962FD2B2-3D54-4ACF-80BC-8F88553DDBA3}"/>
    <cellStyle name="Normal 8 2 2 3 7 2 3" xfId="23799" xr:uid="{A74E3897-5A61-4B78-B721-D2BE422C1017}"/>
    <cellStyle name="Normal 8 2 2 3 7 3" xfId="11147" xr:uid="{337AB30D-53E9-4914-A158-1F37F5738A33}"/>
    <cellStyle name="Normal 8 2 2 3 7 4" xfId="19582" xr:uid="{A5AB993D-9304-4C35-A716-868943BF9FE1}"/>
    <cellStyle name="Normal 8 2 2 3 8" xfId="4850" xr:uid="{00000000-0005-0000-0000-00006C1C0000}"/>
    <cellStyle name="Normal 8 2 2 3 8 2" xfId="13300" xr:uid="{F4D7825A-61DA-4AC7-A3C3-82678C5FB6D7}"/>
    <cellStyle name="Normal 8 2 2 3 8 3" xfId="21734" xr:uid="{82C3E98C-D4FE-46F2-BF51-6AF8141DED75}"/>
    <cellStyle name="Normal 8 2 2 3 9" xfId="9082" xr:uid="{62C980CD-B6D9-445C-8975-3837E29B6941}"/>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64A5318D-A269-46D5-A287-DDAA4A937F4A}"/>
    <cellStyle name="Normal 8 2 2 4 2 2 2 3" xfId="24294" xr:uid="{74D6FC41-CAD2-466D-9985-0D4D0D2D7062}"/>
    <cellStyle name="Normal 8 2 2 4 2 2 3" xfId="11642" xr:uid="{3C4538FA-65CF-4B0D-B668-9E71DA1983A3}"/>
    <cellStyle name="Normal 8 2 2 4 2 2 4" xfId="20077" xr:uid="{30988D67-F569-4700-B7AA-75FE7A04FF1F}"/>
    <cellStyle name="Normal 8 2 2 4 2 3" xfId="5265" xr:uid="{00000000-0005-0000-0000-0000711C0000}"/>
    <cellStyle name="Normal 8 2 2 4 2 3 2" xfId="13715" xr:uid="{3206D1DE-B4DF-49FA-8AE1-D85755137489}"/>
    <cellStyle name="Normal 8 2 2 4 2 3 3" xfId="22149" xr:uid="{DC2CEE16-4B65-4E11-BE2C-693E5EE336D1}"/>
    <cellStyle name="Normal 8 2 2 4 2 4" xfId="9497" xr:uid="{B824ECD5-30FF-4EF7-912D-1BDB98F20D2D}"/>
    <cellStyle name="Normal 8 2 2 4 2 5" xfId="17932" xr:uid="{F6B326D6-96E9-4AEC-9272-97B929559024}"/>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2B28F069-E6D7-444F-B574-643958578F8F}"/>
    <cellStyle name="Normal 8 2 2 4 3 2 2 3" xfId="24707" xr:uid="{4EA77EF6-DC1E-4C41-A6E9-33D112C788C2}"/>
    <cellStyle name="Normal 8 2 2 4 3 2 3" xfId="12055" xr:uid="{1B399487-1433-4771-B67F-9F5FBC4B5F0E}"/>
    <cellStyle name="Normal 8 2 2 4 3 2 4" xfId="20490" xr:uid="{A50D56B9-719B-4A6C-8A82-B15ED0F45659}"/>
    <cellStyle name="Normal 8 2 2 4 3 3" xfId="5678" xr:uid="{00000000-0005-0000-0000-0000751C0000}"/>
    <cellStyle name="Normal 8 2 2 4 3 3 2" xfId="14128" xr:uid="{D5477C7B-2C85-40B8-8E72-49D08142DEB6}"/>
    <cellStyle name="Normal 8 2 2 4 3 3 3" xfId="22562" xr:uid="{B6C9EFC0-CA3F-4276-9A81-9CA3F9402841}"/>
    <cellStyle name="Normal 8 2 2 4 3 4" xfId="9910" xr:uid="{D0AC1661-10F8-48BB-ABEF-EE3EFD3A2FA0}"/>
    <cellStyle name="Normal 8 2 2 4 3 5" xfId="18345" xr:uid="{08CB6AFB-B31D-40CB-9808-F36C86D65F48}"/>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D2053BDB-C369-4955-8276-00CE7AB31505}"/>
    <cellStyle name="Normal 8 2 2 4 4 2 2 3" xfId="25120" xr:uid="{B1593564-9843-43B0-980E-9DE29AF5A185}"/>
    <cellStyle name="Normal 8 2 2 4 4 2 3" xfId="12468" xr:uid="{04746F26-C01B-4D5F-82F1-F1F9E657E2FD}"/>
    <cellStyle name="Normal 8 2 2 4 4 2 4" xfId="20903" xr:uid="{FECCBE80-6D2A-43A0-96BF-F3BE0642AE48}"/>
    <cellStyle name="Normal 8 2 2 4 4 3" xfId="6091" xr:uid="{00000000-0005-0000-0000-0000791C0000}"/>
    <cellStyle name="Normal 8 2 2 4 4 3 2" xfId="14541" xr:uid="{BA497584-F125-4282-A9D6-03AF6205199C}"/>
    <cellStyle name="Normal 8 2 2 4 4 3 3" xfId="22975" xr:uid="{D1B4A441-178C-4D23-8A5E-5796254F39BF}"/>
    <cellStyle name="Normal 8 2 2 4 4 4" xfId="10323" xr:uid="{F00F6D4F-7834-433F-A626-E258EB622CF8}"/>
    <cellStyle name="Normal 8 2 2 4 4 5" xfId="18758" xr:uid="{BAD5E1D2-304B-4827-A506-7544EE60BDF1}"/>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944F6A49-98C3-467E-8895-414DFFF44B83}"/>
    <cellStyle name="Normal 8 2 2 4 5 2 2 3" xfId="25533" xr:uid="{13B47835-84C9-4F4A-A85E-B0364D815A00}"/>
    <cellStyle name="Normal 8 2 2 4 5 2 3" xfId="12881" xr:uid="{7BBB96BB-8FC3-452E-ABDC-8E4E83806991}"/>
    <cellStyle name="Normal 8 2 2 4 5 2 4" xfId="21316" xr:uid="{C071C2D2-84E0-40CD-AEF0-60FAE23C2EAD}"/>
    <cellStyle name="Normal 8 2 2 4 5 3" xfId="6504" xr:uid="{00000000-0005-0000-0000-00007D1C0000}"/>
    <cellStyle name="Normal 8 2 2 4 5 3 2" xfId="14954" xr:uid="{A04B616D-9D24-4FBB-AB59-367707BDA8F9}"/>
    <cellStyle name="Normal 8 2 2 4 5 3 3" xfId="23388" xr:uid="{A6A5AEDE-BAEE-4327-9FA5-B370D5F29C6F}"/>
    <cellStyle name="Normal 8 2 2 4 5 4" xfId="10736" xr:uid="{F92F4C65-B37B-40C9-B49F-AC6E36ABB060}"/>
    <cellStyle name="Normal 8 2 2 4 5 5" xfId="19171" xr:uid="{92327371-9A0E-4317-8119-73E553E418B6}"/>
    <cellStyle name="Normal 8 2 2 4 6" xfId="2634" xr:uid="{00000000-0005-0000-0000-00007E1C0000}"/>
    <cellStyle name="Normal 8 2 2 4 6 2" xfId="6917" xr:uid="{00000000-0005-0000-0000-00007F1C0000}"/>
    <cellStyle name="Normal 8 2 2 4 6 2 2" xfId="15367" xr:uid="{1A4BE0BC-5E94-4D50-88FF-8F481965CE53}"/>
    <cellStyle name="Normal 8 2 2 4 6 2 3" xfId="23801" xr:uid="{72378607-5BBF-4644-A2C4-795C8690BAFB}"/>
    <cellStyle name="Normal 8 2 2 4 6 3" xfId="11149" xr:uid="{C6F1F694-4279-4A5B-BB21-8D0E0F0A6B3A}"/>
    <cellStyle name="Normal 8 2 2 4 6 4" xfId="19584" xr:uid="{F96E1EF2-3038-417D-B3AF-47D743B7A5D3}"/>
    <cellStyle name="Normal 8 2 2 4 7" xfId="4852" xr:uid="{00000000-0005-0000-0000-0000801C0000}"/>
    <cellStyle name="Normal 8 2 2 4 7 2" xfId="13302" xr:uid="{332ABD47-8261-4F6A-BD54-69C69C91455C}"/>
    <cellStyle name="Normal 8 2 2 4 7 3" xfId="21736" xr:uid="{BC26DCEB-FED1-4846-B463-21DC51AFFF24}"/>
    <cellStyle name="Normal 8 2 2 4 8" xfId="9084" xr:uid="{E22A69E8-36FF-4322-90EE-6078070395EA}"/>
    <cellStyle name="Normal 8 2 2 4 9" xfId="17519" xr:uid="{4D44BEF9-2D28-4637-8D03-609F1F5ED93F}"/>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EE6CE9BD-2714-4EB2-8C93-462BE66A847D}"/>
    <cellStyle name="Normal 8 2 2 5 2 2 3" xfId="24287" xr:uid="{CDE17627-FC8E-43CB-8E70-9BED3DED3D7F}"/>
    <cellStyle name="Normal 8 2 2 5 2 3" xfId="11635" xr:uid="{D38CA07D-563E-4B9B-BF5C-EC18537AE1DA}"/>
    <cellStyle name="Normal 8 2 2 5 2 4" xfId="20070" xr:uid="{0D01F19C-BA0F-45AA-BB3F-22421279ED87}"/>
    <cellStyle name="Normal 8 2 2 5 3" xfId="5258" xr:uid="{00000000-0005-0000-0000-0000841C0000}"/>
    <cellStyle name="Normal 8 2 2 5 3 2" xfId="13708" xr:uid="{F111713B-DDC4-41EF-9932-EF2B93E7CA29}"/>
    <cellStyle name="Normal 8 2 2 5 3 3" xfId="22142" xr:uid="{87E61147-3F26-4148-8A56-DC4F10599FF1}"/>
    <cellStyle name="Normal 8 2 2 5 4" xfId="9490" xr:uid="{63767A1D-83C3-4A71-9603-A7D7EF89CDFF}"/>
    <cellStyle name="Normal 8 2 2 5 5" xfId="17925" xr:uid="{6361C4EF-1717-4AC3-88D5-780953F5DBB0}"/>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867DC1D2-B3A7-4302-AE20-AC21F24735B4}"/>
    <cellStyle name="Normal 8 2 2 6 2 2 3" xfId="24700" xr:uid="{C0822549-D034-4E24-A426-DE3F02ACA353}"/>
    <cellStyle name="Normal 8 2 2 6 2 3" xfId="12048" xr:uid="{D5BD2874-EE3A-4967-B90A-955A5DBBEA35}"/>
    <cellStyle name="Normal 8 2 2 6 2 4" xfId="20483" xr:uid="{732EC0A4-AA18-4830-9E55-23025F112A8E}"/>
    <cellStyle name="Normal 8 2 2 6 3" xfId="5671" xr:uid="{00000000-0005-0000-0000-0000881C0000}"/>
    <cellStyle name="Normal 8 2 2 6 3 2" xfId="14121" xr:uid="{8351DA96-C3CC-4A77-9816-BA0E56834818}"/>
    <cellStyle name="Normal 8 2 2 6 3 3" xfId="22555" xr:uid="{78742D10-5B22-46B3-9087-E394F0C54B2E}"/>
    <cellStyle name="Normal 8 2 2 6 4" xfId="9903" xr:uid="{60BF08BF-FBE4-4C10-81C4-0BEE5B3F923D}"/>
    <cellStyle name="Normal 8 2 2 6 5" xfId="18338" xr:uid="{D0500368-37A9-458E-A638-1D46BC869D7A}"/>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62455A1B-33AE-427E-8839-0C9B7E014508}"/>
    <cellStyle name="Normal 8 2 2 7 2 2 3" xfId="25113" xr:uid="{31D453D2-8172-496C-AA7F-4CBEEF5C2F35}"/>
    <cellStyle name="Normal 8 2 2 7 2 3" xfId="12461" xr:uid="{AED80300-D2CB-455E-A8D6-4DFBCC697D4E}"/>
    <cellStyle name="Normal 8 2 2 7 2 4" xfId="20896" xr:uid="{CF5E0040-8658-427C-B236-53B53AEDEDFA}"/>
    <cellStyle name="Normal 8 2 2 7 3" xfId="6084" xr:uid="{00000000-0005-0000-0000-00008C1C0000}"/>
    <cellStyle name="Normal 8 2 2 7 3 2" xfId="14534" xr:uid="{893CA16A-B376-415D-92A2-030E154C7EA1}"/>
    <cellStyle name="Normal 8 2 2 7 3 3" xfId="22968" xr:uid="{D57C7515-3FD8-46AE-A296-EEA06660A5A7}"/>
    <cellStyle name="Normal 8 2 2 7 4" xfId="10316" xr:uid="{FFC26054-55E3-4D40-94A6-9C7362824765}"/>
    <cellStyle name="Normal 8 2 2 7 5" xfId="18751" xr:uid="{54D0B4C2-E6D1-423F-AFC1-653BB791560A}"/>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A6B649D7-001D-45AA-B577-F76C208B9F34}"/>
    <cellStyle name="Normal 8 2 2 8 2 2 3" xfId="25526" xr:uid="{A82E0A4F-4FD3-4F19-A957-21714CD9C03A}"/>
    <cellStyle name="Normal 8 2 2 8 2 3" xfId="12874" xr:uid="{17D23946-56AD-4A0D-95B5-97CA9BEB5A33}"/>
    <cellStyle name="Normal 8 2 2 8 2 4" xfId="21309" xr:uid="{A4D369D1-F068-40B3-BB2A-BBECA261018C}"/>
    <cellStyle name="Normal 8 2 2 8 3" xfId="6497" xr:uid="{00000000-0005-0000-0000-0000901C0000}"/>
    <cellStyle name="Normal 8 2 2 8 3 2" xfId="14947" xr:uid="{68E84F68-8E7C-4DCD-A22D-810ED7EAEE40}"/>
    <cellStyle name="Normal 8 2 2 8 3 3" xfId="23381" xr:uid="{2844BC03-540F-44D4-A4E7-6E6E65E66731}"/>
    <cellStyle name="Normal 8 2 2 8 4" xfId="10729" xr:uid="{291DDFF1-8428-47A0-B9A4-E5F94F101AE4}"/>
    <cellStyle name="Normal 8 2 2 8 5" xfId="19164" xr:uid="{6E8F99AA-EB09-4C0A-BC68-027D25AE58DA}"/>
    <cellStyle name="Normal 8 2 2 9" xfId="2627" xr:uid="{00000000-0005-0000-0000-0000911C0000}"/>
    <cellStyle name="Normal 8 2 2 9 2" xfId="6910" xr:uid="{00000000-0005-0000-0000-0000921C0000}"/>
    <cellStyle name="Normal 8 2 2 9 2 2" xfId="15360" xr:uid="{93005C9F-AF30-4966-9187-33837935C0A9}"/>
    <cellStyle name="Normal 8 2 2 9 2 3" xfId="23794" xr:uid="{22DE003C-2D80-4A28-A3CD-E712C493035A}"/>
    <cellStyle name="Normal 8 2 2 9 3" xfId="11142" xr:uid="{18ADC45F-7522-4E27-9D9E-4B7C7E374F07}"/>
    <cellStyle name="Normal 8 2 2 9 4" xfId="19577" xr:uid="{0D0FCD11-64E4-44EF-BDD4-C4DE29AF31F4}"/>
    <cellStyle name="Normal 8 2 3" xfId="488" xr:uid="{00000000-0005-0000-0000-0000931C0000}"/>
    <cellStyle name="Normal 8 2 3 10" xfId="9085" xr:uid="{1B6CF8FA-C5D6-4C37-A177-1FF173B1D62D}"/>
    <cellStyle name="Normal 8 2 3 11" xfId="17520" xr:uid="{9F66CA18-E5EF-45EA-9F24-31B1BEF546C0}"/>
    <cellStyle name="Normal 8 2 3 2" xfId="489" xr:uid="{00000000-0005-0000-0000-0000941C0000}"/>
    <cellStyle name="Normal 8 2 3 2 10" xfId="17521" xr:uid="{74C9C508-C066-433B-B284-B6587C5D88B6}"/>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CA71B125-B663-4888-938F-B703B772DA6D}"/>
    <cellStyle name="Normal 8 2 3 2 2 2 2 2 3" xfId="24297" xr:uid="{66B0242F-5685-4C39-A09B-33E4E8AED4A0}"/>
    <cellStyle name="Normal 8 2 3 2 2 2 2 3" xfId="11645" xr:uid="{719B2E09-0D88-44AE-881E-8A13CA11D2A9}"/>
    <cellStyle name="Normal 8 2 3 2 2 2 2 4" xfId="20080" xr:uid="{D7EDBED7-4330-4F7B-90A8-01B4C4BDA54F}"/>
    <cellStyle name="Normal 8 2 3 2 2 2 3" xfId="5268" xr:uid="{00000000-0005-0000-0000-0000991C0000}"/>
    <cellStyle name="Normal 8 2 3 2 2 2 3 2" xfId="13718" xr:uid="{5997EEFE-1175-4AF4-AA01-82F5D2FD16FB}"/>
    <cellStyle name="Normal 8 2 3 2 2 2 3 3" xfId="22152" xr:uid="{B7A34B7B-E805-4884-B393-6DC1317FBD41}"/>
    <cellStyle name="Normal 8 2 3 2 2 2 4" xfId="9500" xr:uid="{BFA5C386-AC38-444A-8ED6-07C948BB9AC3}"/>
    <cellStyle name="Normal 8 2 3 2 2 2 5" xfId="17935" xr:uid="{702A3317-D196-42FE-B9BD-0235A59EBAC4}"/>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F1DE8E32-F808-4C90-98B0-1FACAF94C7F5}"/>
    <cellStyle name="Normal 8 2 3 2 2 3 2 2 3" xfId="24710" xr:uid="{DF2524B9-B621-4706-A53A-94FC4EC81613}"/>
    <cellStyle name="Normal 8 2 3 2 2 3 2 3" xfId="12058" xr:uid="{876BEB21-4D13-422A-9E02-668FDB5AD814}"/>
    <cellStyle name="Normal 8 2 3 2 2 3 2 4" xfId="20493" xr:uid="{273BA9DF-9C68-4533-B5B6-87918514CD4A}"/>
    <cellStyle name="Normal 8 2 3 2 2 3 3" xfId="5681" xr:uid="{00000000-0005-0000-0000-00009D1C0000}"/>
    <cellStyle name="Normal 8 2 3 2 2 3 3 2" xfId="14131" xr:uid="{D418914F-B8FA-430A-85AC-E3363F8D5DE3}"/>
    <cellStyle name="Normal 8 2 3 2 2 3 3 3" xfId="22565" xr:uid="{38EBDDCF-6C47-429D-A131-B54DF05533A8}"/>
    <cellStyle name="Normal 8 2 3 2 2 3 4" xfId="9913" xr:uid="{A1A5ECC1-6002-4883-857A-59A22FA6677B}"/>
    <cellStyle name="Normal 8 2 3 2 2 3 5" xfId="18348" xr:uid="{4C93D685-1D65-492D-A4EF-F41C151605C6}"/>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84C6A9DD-36A1-41EE-82CC-CDB988238701}"/>
    <cellStyle name="Normal 8 2 3 2 2 4 2 2 3" xfId="25123" xr:uid="{56567044-24E9-491D-8EB9-D41639964D44}"/>
    <cellStyle name="Normal 8 2 3 2 2 4 2 3" xfId="12471" xr:uid="{23DBBF43-B32A-44C7-88D7-9B29D57251DC}"/>
    <cellStyle name="Normal 8 2 3 2 2 4 2 4" xfId="20906" xr:uid="{FA3B0777-7DC7-4C1C-A33C-4D0C274600B4}"/>
    <cellStyle name="Normal 8 2 3 2 2 4 3" xfId="6094" xr:uid="{00000000-0005-0000-0000-0000A11C0000}"/>
    <cellStyle name="Normal 8 2 3 2 2 4 3 2" xfId="14544" xr:uid="{9868110A-001B-4285-B34A-6C42DB755C85}"/>
    <cellStyle name="Normal 8 2 3 2 2 4 3 3" xfId="22978" xr:uid="{CF4D61DF-B2F0-4A18-A6A5-E9CA6A61292C}"/>
    <cellStyle name="Normal 8 2 3 2 2 4 4" xfId="10326" xr:uid="{DFC33D78-969B-4BB2-A51F-85555C573D04}"/>
    <cellStyle name="Normal 8 2 3 2 2 4 5" xfId="18761" xr:uid="{89B622B9-8AD2-41BA-BEDF-DC998F4B0F27}"/>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70B1F8F1-7B89-452C-8017-61E37884C9FE}"/>
    <cellStyle name="Normal 8 2 3 2 2 5 2 2 3" xfId="25536" xr:uid="{893777B7-E4E4-4F4A-97F4-D8D6CBA756FD}"/>
    <cellStyle name="Normal 8 2 3 2 2 5 2 3" xfId="12884" xr:uid="{E4B6B98E-A7B1-4A46-BD4B-BF1F320FE98D}"/>
    <cellStyle name="Normal 8 2 3 2 2 5 2 4" xfId="21319" xr:uid="{790A0DCD-1E85-4170-B1C4-3D118AE44DD3}"/>
    <cellStyle name="Normal 8 2 3 2 2 5 3" xfId="6507" xr:uid="{00000000-0005-0000-0000-0000A51C0000}"/>
    <cellStyle name="Normal 8 2 3 2 2 5 3 2" xfId="14957" xr:uid="{97EEA438-A6C4-4A72-B412-5651A90882C0}"/>
    <cellStyle name="Normal 8 2 3 2 2 5 3 3" xfId="23391" xr:uid="{3637E90D-3E65-4F05-927F-0DAF418C198D}"/>
    <cellStyle name="Normal 8 2 3 2 2 5 4" xfId="10739" xr:uid="{24F0CAF8-B8B4-4BA2-BD14-1888AF70C5F7}"/>
    <cellStyle name="Normal 8 2 3 2 2 5 5" xfId="19174" xr:uid="{8FDA7E85-9BDA-4AC5-A5CF-5700157189EE}"/>
    <cellStyle name="Normal 8 2 3 2 2 6" xfId="2637" xr:uid="{00000000-0005-0000-0000-0000A61C0000}"/>
    <cellStyle name="Normal 8 2 3 2 2 6 2" xfId="6920" xr:uid="{00000000-0005-0000-0000-0000A71C0000}"/>
    <cellStyle name="Normal 8 2 3 2 2 6 2 2" xfId="15370" xr:uid="{70441693-40B3-479D-B50E-1F40D83D670F}"/>
    <cellStyle name="Normal 8 2 3 2 2 6 2 3" xfId="23804" xr:uid="{0D41A0C6-A0B2-4303-8A6E-31CD11F8F393}"/>
    <cellStyle name="Normal 8 2 3 2 2 6 3" xfId="11152" xr:uid="{553B49BB-CA85-45A8-8F23-BA31C7D23B2F}"/>
    <cellStyle name="Normal 8 2 3 2 2 6 4" xfId="19587" xr:uid="{76C37E23-7ACF-4B54-A455-922C9E7264C2}"/>
    <cellStyle name="Normal 8 2 3 2 2 7" xfId="4855" xr:uid="{00000000-0005-0000-0000-0000A81C0000}"/>
    <cellStyle name="Normal 8 2 3 2 2 7 2" xfId="13305" xr:uid="{46FA4983-798F-4A96-8BC8-4EAFCFC22887}"/>
    <cellStyle name="Normal 8 2 3 2 2 7 3" xfId="21739" xr:uid="{F712EB75-5D62-4E8F-B4AB-84D1B2FCA5CD}"/>
    <cellStyle name="Normal 8 2 3 2 2 8" xfId="9087" xr:uid="{55C17200-7975-418A-8D58-0F2C821D39A8}"/>
    <cellStyle name="Normal 8 2 3 2 2 9" xfId="17522" xr:uid="{6B394DF5-9514-4E8F-9CDF-7495EC6A725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FC7E7084-FED5-4E79-B58C-3653BF9E77DA}"/>
    <cellStyle name="Normal 8 2 3 2 3 2 2 3" xfId="24296" xr:uid="{740B35AB-6199-4E94-88F6-73E8600F6941}"/>
    <cellStyle name="Normal 8 2 3 2 3 2 3" xfId="11644" xr:uid="{75E3ECEC-9DDC-4765-9AEB-F56ECA9623D0}"/>
    <cellStyle name="Normal 8 2 3 2 3 2 4" xfId="20079" xr:uid="{2BDFFD74-FCE8-41A2-B32E-91F0FFFA185E}"/>
    <cellStyle name="Normal 8 2 3 2 3 3" xfId="5267" xr:uid="{00000000-0005-0000-0000-0000AC1C0000}"/>
    <cellStyle name="Normal 8 2 3 2 3 3 2" xfId="13717" xr:uid="{0AD3F7DC-6C3F-4E25-964C-9966DB282177}"/>
    <cellStyle name="Normal 8 2 3 2 3 3 3" xfId="22151" xr:uid="{2878504D-4C2C-4776-8253-6883C4E6F997}"/>
    <cellStyle name="Normal 8 2 3 2 3 4" xfId="9499" xr:uid="{BEDA65FD-17D7-49DA-B683-D92A5D0BF21A}"/>
    <cellStyle name="Normal 8 2 3 2 3 5" xfId="17934" xr:uid="{7A4AB0F9-845B-4D1B-9796-0363630AC24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5F217DE3-73F4-4557-8578-A753F54D4B78}"/>
    <cellStyle name="Normal 8 2 3 2 4 2 2 3" xfId="24709" xr:uid="{2E8CAC8E-D5D7-4006-8EF3-3FAD4015EC22}"/>
    <cellStyle name="Normal 8 2 3 2 4 2 3" xfId="12057" xr:uid="{A7753B12-FCF3-48DC-B58C-FBBE35D2FCD8}"/>
    <cellStyle name="Normal 8 2 3 2 4 2 4" xfId="20492" xr:uid="{EECEC346-E3D1-4927-B1BF-6A7CAFF1F2F9}"/>
    <cellStyle name="Normal 8 2 3 2 4 3" xfId="5680" xr:uid="{00000000-0005-0000-0000-0000B01C0000}"/>
    <cellStyle name="Normal 8 2 3 2 4 3 2" xfId="14130" xr:uid="{8D725071-9EBD-4A14-AFE0-74E617C708B6}"/>
    <cellStyle name="Normal 8 2 3 2 4 3 3" xfId="22564" xr:uid="{37C68F28-1AFB-4A9F-ADE1-5E54EB10040B}"/>
    <cellStyle name="Normal 8 2 3 2 4 4" xfId="9912" xr:uid="{3EE9B3CA-FEAC-4FBF-B3F7-EE8B7AC514DE}"/>
    <cellStyle name="Normal 8 2 3 2 4 5" xfId="18347" xr:uid="{38483BFE-6125-445E-8D3F-BC1447A84504}"/>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07FA4820-7B36-404E-8660-4A5DC0804105}"/>
    <cellStyle name="Normal 8 2 3 2 5 2 2 3" xfId="25122" xr:uid="{49B9F3E4-527F-4FDA-B07E-2D391990DD56}"/>
    <cellStyle name="Normal 8 2 3 2 5 2 3" xfId="12470" xr:uid="{5403BA85-9DB6-48BF-BD20-202336DD6E81}"/>
    <cellStyle name="Normal 8 2 3 2 5 2 4" xfId="20905" xr:uid="{F97173E6-FDA9-4711-A3CC-44280900D0AD}"/>
    <cellStyle name="Normal 8 2 3 2 5 3" xfId="6093" xr:uid="{00000000-0005-0000-0000-0000B41C0000}"/>
    <cellStyle name="Normal 8 2 3 2 5 3 2" xfId="14543" xr:uid="{4E84FCCD-1B22-46C6-8BBE-CA984E661678}"/>
    <cellStyle name="Normal 8 2 3 2 5 3 3" xfId="22977" xr:uid="{84A6A24D-29AD-4D84-B937-6B115FA70FAA}"/>
    <cellStyle name="Normal 8 2 3 2 5 4" xfId="10325" xr:uid="{4FBF44E3-5DAE-4ED5-8B8E-A130C498682C}"/>
    <cellStyle name="Normal 8 2 3 2 5 5" xfId="18760" xr:uid="{28E6A68C-0C77-480E-B7B3-39EF2CC3E88B}"/>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C445E3A4-0BFF-4A1D-9143-36B534895F98}"/>
    <cellStyle name="Normal 8 2 3 2 6 2 2 3" xfId="25535" xr:uid="{03E54060-CE64-495F-8608-2CA1CAA1F9C6}"/>
    <cellStyle name="Normal 8 2 3 2 6 2 3" xfId="12883" xr:uid="{E6A895E7-696A-4E3B-B2D9-18B874151734}"/>
    <cellStyle name="Normal 8 2 3 2 6 2 4" xfId="21318" xr:uid="{0232C5F9-1D18-4BBD-90EC-A79B03F6BDE1}"/>
    <cellStyle name="Normal 8 2 3 2 6 3" xfId="6506" xr:uid="{00000000-0005-0000-0000-0000B81C0000}"/>
    <cellStyle name="Normal 8 2 3 2 6 3 2" xfId="14956" xr:uid="{7CE0D7F3-BB8A-437A-8D8E-A9E2A6CEC125}"/>
    <cellStyle name="Normal 8 2 3 2 6 3 3" xfId="23390" xr:uid="{4D31A2D6-89FC-43EB-AAD4-B04CE78A234B}"/>
    <cellStyle name="Normal 8 2 3 2 6 4" xfId="10738" xr:uid="{DDEFAE90-2E90-4797-8D8F-CEC114D34095}"/>
    <cellStyle name="Normal 8 2 3 2 6 5" xfId="19173" xr:uid="{7B42606D-E8B2-4A35-A09C-7F427751D5E2}"/>
    <cellStyle name="Normal 8 2 3 2 7" xfId="2636" xr:uid="{00000000-0005-0000-0000-0000B91C0000}"/>
    <cellStyle name="Normal 8 2 3 2 7 2" xfId="6919" xr:uid="{00000000-0005-0000-0000-0000BA1C0000}"/>
    <cellStyle name="Normal 8 2 3 2 7 2 2" xfId="15369" xr:uid="{3F10CEE3-C96E-432A-B57C-DF68727F6402}"/>
    <cellStyle name="Normal 8 2 3 2 7 2 3" xfId="23803" xr:uid="{D7593306-2FC6-44EF-80F2-1E85BA9B91B9}"/>
    <cellStyle name="Normal 8 2 3 2 7 3" xfId="11151" xr:uid="{6FA17457-5BDC-4E6E-AF65-4B3DC04FDCF5}"/>
    <cellStyle name="Normal 8 2 3 2 7 4" xfId="19586" xr:uid="{399CD425-47B2-49FA-BCE9-5328C3CD03B0}"/>
    <cellStyle name="Normal 8 2 3 2 8" xfId="4854" xr:uid="{00000000-0005-0000-0000-0000BB1C0000}"/>
    <cellStyle name="Normal 8 2 3 2 8 2" xfId="13304" xr:uid="{E6BC9C12-EFCE-4647-8445-03C2C27402C6}"/>
    <cellStyle name="Normal 8 2 3 2 8 3" xfId="21738" xr:uid="{7D6A4FC0-A10D-4948-8DD2-E308A2361C66}"/>
    <cellStyle name="Normal 8 2 3 2 9" xfId="9086" xr:uid="{C3196834-A60B-4207-91A1-C7F00B477D22}"/>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1854B04F-C8EC-4160-800E-AAFAD3486EE2}"/>
    <cellStyle name="Normal 8 2 3 3 2 2 2 3" xfId="24298" xr:uid="{F7E31447-0D07-4C5F-8F55-716ADBE52538}"/>
    <cellStyle name="Normal 8 2 3 3 2 2 3" xfId="11646" xr:uid="{4B989495-315C-414A-B402-4B0A6A05521E}"/>
    <cellStyle name="Normal 8 2 3 3 2 2 4" xfId="20081" xr:uid="{89906541-66AD-44A1-8096-F0303524AD4C}"/>
    <cellStyle name="Normal 8 2 3 3 2 3" xfId="5269" xr:uid="{00000000-0005-0000-0000-0000C01C0000}"/>
    <cellStyle name="Normal 8 2 3 3 2 3 2" xfId="13719" xr:uid="{18549517-1C6A-40D2-864C-80DDD32F7C8D}"/>
    <cellStyle name="Normal 8 2 3 3 2 3 3" xfId="22153" xr:uid="{49518117-A8E4-4C48-ADA4-63D966BB28A0}"/>
    <cellStyle name="Normal 8 2 3 3 2 4" xfId="9501" xr:uid="{6C1988B1-6A5C-49E7-94B9-59A9D0A9721E}"/>
    <cellStyle name="Normal 8 2 3 3 2 5" xfId="17936" xr:uid="{D96E8A82-1073-4EEE-92C4-689D1748B37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B8F8BAB9-A6D4-4996-ACE0-BC63857C655C}"/>
    <cellStyle name="Normal 8 2 3 3 3 2 2 3" xfId="24711" xr:uid="{19797506-C89A-4E83-AD50-506EF87C0675}"/>
    <cellStyle name="Normal 8 2 3 3 3 2 3" xfId="12059" xr:uid="{8A1DFCEC-4C3A-453D-8C32-ADE394195078}"/>
    <cellStyle name="Normal 8 2 3 3 3 2 4" xfId="20494" xr:uid="{137786FB-42A1-4BD5-9049-AD14D5B26A01}"/>
    <cellStyle name="Normal 8 2 3 3 3 3" xfId="5682" xr:uid="{00000000-0005-0000-0000-0000C41C0000}"/>
    <cellStyle name="Normal 8 2 3 3 3 3 2" xfId="14132" xr:uid="{ECA09FC5-318B-427D-A901-2A6F1AD4E783}"/>
    <cellStyle name="Normal 8 2 3 3 3 3 3" xfId="22566" xr:uid="{6252D859-E765-455F-9D05-2F3027AAF4EE}"/>
    <cellStyle name="Normal 8 2 3 3 3 4" xfId="9914" xr:uid="{FD6AD844-AED0-4E3B-9638-4CF4AAF6641F}"/>
    <cellStyle name="Normal 8 2 3 3 3 5" xfId="18349" xr:uid="{1EBDE676-667A-4682-804B-CD803DF1D4C0}"/>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CEEFD39D-7460-4CA4-A199-8428849776C2}"/>
    <cellStyle name="Normal 8 2 3 3 4 2 2 3" xfId="25124" xr:uid="{8C247281-5A2D-47A5-9EC4-AAFE2D2B9098}"/>
    <cellStyle name="Normal 8 2 3 3 4 2 3" xfId="12472" xr:uid="{D66E2159-E99D-463D-A0F5-A31E108F64FF}"/>
    <cellStyle name="Normal 8 2 3 3 4 2 4" xfId="20907" xr:uid="{1184D4EB-1E86-437E-9969-5329F6144A07}"/>
    <cellStyle name="Normal 8 2 3 3 4 3" xfId="6095" xr:uid="{00000000-0005-0000-0000-0000C81C0000}"/>
    <cellStyle name="Normal 8 2 3 3 4 3 2" xfId="14545" xr:uid="{7B425A86-A1CE-4C27-AC1A-DD5D366026E2}"/>
    <cellStyle name="Normal 8 2 3 3 4 3 3" xfId="22979" xr:uid="{A1A6CB55-11A0-4F61-A1A1-FA53919DE74B}"/>
    <cellStyle name="Normal 8 2 3 3 4 4" xfId="10327" xr:uid="{46D3E716-0541-42A3-BA4D-C5F7DE7E1DDA}"/>
    <cellStyle name="Normal 8 2 3 3 4 5" xfId="18762" xr:uid="{FA582EF3-2ED4-4144-AF9B-547A644CE67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345024DE-194B-4388-90BE-B2B91C3A3644}"/>
    <cellStyle name="Normal 8 2 3 3 5 2 2 3" xfId="25537" xr:uid="{CFCAFB80-A685-4BF5-9B68-0A9F1E9DDBE1}"/>
    <cellStyle name="Normal 8 2 3 3 5 2 3" xfId="12885" xr:uid="{1637F3FF-530B-43FE-8EEF-BD20A8ABCB71}"/>
    <cellStyle name="Normal 8 2 3 3 5 2 4" xfId="21320" xr:uid="{292D9EE4-D38B-4B44-97CA-1FBE24BBB3DB}"/>
    <cellStyle name="Normal 8 2 3 3 5 3" xfId="6508" xr:uid="{00000000-0005-0000-0000-0000CC1C0000}"/>
    <cellStyle name="Normal 8 2 3 3 5 3 2" xfId="14958" xr:uid="{7A736617-6455-40D5-B59E-448D4ED28EA9}"/>
    <cellStyle name="Normal 8 2 3 3 5 3 3" xfId="23392" xr:uid="{F8E4F1AD-12EB-4269-8664-D9CE84C2A5E1}"/>
    <cellStyle name="Normal 8 2 3 3 5 4" xfId="10740" xr:uid="{74445448-8BAE-4E9F-8D07-83E63B16A936}"/>
    <cellStyle name="Normal 8 2 3 3 5 5" xfId="19175" xr:uid="{972CEA25-0262-4FF5-A8B3-71888AB6EA26}"/>
    <cellStyle name="Normal 8 2 3 3 6" xfId="2638" xr:uid="{00000000-0005-0000-0000-0000CD1C0000}"/>
    <cellStyle name="Normal 8 2 3 3 6 2" xfId="6921" xr:uid="{00000000-0005-0000-0000-0000CE1C0000}"/>
    <cellStyle name="Normal 8 2 3 3 6 2 2" xfId="15371" xr:uid="{F4623BEA-5712-4C25-A160-E0C601C0C42E}"/>
    <cellStyle name="Normal 8 2 3 3 6 2 3" xfId="23805" xr:uid="{8885A327-5FC5-4422-AAD4-D35D48EA7D66}"/>
    <cellStyle name="Normal 8 2 3 3 6 3" xfId="11153" xr:uid="{CE45A937-09A3-4437-B31D-948CD062621D}"/>
    <cellStyle name="Normal 8 2 3 3 6 4" xfId="19588" xr:uid="{7782C152-B768-4213-AED8-771826ADF460}"/>
    <cellStyle name="Normal 8 2 3 3 7" xfId="4856" xr:uid="{00000000-0005-0000-0000-0000CF1C0000}"/>
    <cellStyle name="Normal 8 2 3 3 7 2" xfId="13306" xr:uid="{B6DBC6F9-201F-4713-8CD0-070973C2BB69}"/>
    <cellStyle name="Normal 8 2 3 3 7 3" xfId="21740" xr:uid="{02352067-B5AC-4A6D-8D91-C616A687900A}"/>
    <cellStyle name="Normal 8 2 3 3 8" xfId="9088" xr:uid="{A2442F7F-6BC8-4F3B-8305-BA69905A3CCC}"/>
    <cellStyle name="Normal 8 2 3 3 9" xfId="17523" xr:uid="{339A0A57-5131-4C3F-ABDB-E2D9E60E7C6F}"/>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0B31D3C5-F50A-403C-B6F8-B4C11447F856}"/>
    <cellStyle name="Normal 8 2 3 4 2 2 3" xfId="24295" xr:uid="{7EB5A2D1-AF91-452B-BA68-FEC64402E340}"/>
    <cellStyle name="Normal 8 2 3 4 2 3" xfId="11643" xr:uid="{AC563DE2-30AD-4B59-BDD6-B43801401A77}"/>
    <cellStyle name="Normal 8 2 3 4 2 4" xfId="20078" xr:uid="{BEB541AB-B490-43EF-9595-C66ABF4FAD4D}"/>
    <cellStyle name="Normal 8 2 3 4 3" xfId="5266" xr:uid="{00000000-0005-0000-0000-0000D31C0000}"/>
    <cellStyle name="Normal 8 2 3 4 3 2" xfId="13716" xr:uid="{2B8C5FB9-8C3D-46DF-BC0E-59AB3C021D59}"/>
    <cellStyle name="Normal 8 2 3 4 3 3" xfId="22150" xr:uid="{F446817B-5E7F-45AC-94CF-71B2DFE636E8}"/>
    <cellStyle name="Normal 8 2 3 4 4" xfId="9498" xr:uid="{4BAC9164-5AD8-4310-A7B8-1BB53C097AB9}"/>
    <cellStyle name="Normal 8 2 3 4 5" xfId="17933" xr:uid="{4803D8A9-73A8-4EAC-B848-E04B4DBD1304}"/>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84E12F72-9475-492C-A87F-A9CBAEEDBD1D}"/>
    <cellStyle name="Normal 8 2 3 5 2 2 3" xfId="24708" xr:uid="{8CED1013-8724-4BAE-9CBB-319437DB6BC4}"/>
    <cellStyle name="Normal 8 2 3 5 2 3" xfId="12056" xr:uid="{87B61EC6-7499-4DE1-BE4B-04488F1DB467}"/>
    <cellStyle name="Normal 8 2 3 5 2 4" xfId="20491" xr:uid="{11808174-6035-4FD5-A955-0159F4563E5A}"/>
    <cellStyle name="Normal 8 2 3 5 3" xfId="5679" xr:uid="{00000000-0005-0000-0000-0000D71C0000}"/>
    <cellStyle name="Normal 8 2 3 5 3 2" xfId="14129" xr:uid="{CD9A602A-B604-411A-BAAA-DA69855BD20C}"/>
    <cellStyle name="Normal 8 2 3 5 3 3" xfId="22563" xr:uid="{7CF8DA5A-9CCA-4922-93F3-B480D59A32AC}"/>
    <cellStyle name="Normal 8 2 3 5 4" xfId="9911" xr:uid="{C6316906-3196-44BF-8711-4F4077E7411A}"/>
    <cellStyle name="Normal 8 2 3 5 5" xfId="18346" xr:uid="{58874C2E-CF89-4DD4-A7F7-4B9E8598C595}"/>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FF01E8EC-C0CA-4AAB-91D4-2C0D2AE15C34}"/>
    <cellStyle name="Normal 8 2 3 6 2 2 3" xfId="25121" xr:uid="{396F5A69-195C-4FC9-BF24-B1697C0B0CBC}"/>
    <cellStyle name="Normal 8 2 3 6 2 3" xfId="12469" xr:uid="{1598EBC2-6593-4DD7-9439-D363AA5382B2}"/>
    <cellStyle name="Normal 8 2 3 6 2 4" xfId="20904" xr:uid="{4A2466ED-E4F4-4D3D-9428-FFD3DDCD3A90}"/>
    <cellStyle name="Normal 8 2 3 6 3" xfId="6092" xr:uid="{00000000-0005-0000-0000-0000DB1C0000}"/>
    <cellStyle name="Normal 8 2 3 6 3 2" xfId="14542" xr:uid="{E829035C-8CD4-42D8-A05F-AC5B84B8CE0C}"/>
    <cellStyle name="Normal 8 2 3 6 3 3" xfId="22976" xr:uid="{0E4F4BF5-7A55-41B8-92CD-42D8FEE6615D}"/>
    <cellStyle name="Normal 8 2 3 6 4" xfId="10324" xr:uid="{FC406EE0-540A-486B-B1B8-419413EB939D}"/>
    <cellStyle name="Normal 8 2 3 6 5" xfId="18759" xr:uid="{4E67EB33-FA54-4D45-B905-B581EBB88CD6}"/>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3A334BF2-27B3-4343-B9A4-77768538279C}"/>
    <cellStyle name="Normal 8 2 3 7 2 2 3" xfId="25534" xr:uid="{C6295024-5752-4B6D-8D45-72FA0BE31B9C}"/>
    <cellStyle name="Normal 8 2 3 7 2 3" xfId="12882" xr:uid="{C4E358C6-8532-4E11-9B98-927B0CE2CF71}"/>
    <cellStyle name="Normal 8 2 3 7 2 4" xfId="21317" xr:uid="{D0B6E4D1-36AE-4E24-BF68-272B83EBF68C}"/>
    <cellStyle name="Normal 8 2 3 7 3" xfId="6505" xr:uid="{00000000-0005-0000-0000-0000DF1C0000}"/>
    <cellStyle name="Normal 8 2 3 7 3 2" xfId="14955" xr:uid="{2433C980-C0C8-4518-B906-EDFF703E7295}"/>
    <cellStyle name="Normal 8 2 3 7 3 3" xfId="23389" xr:uid="{6658F48D-4379-4235-83E8-C9B90C40C923}"/>
    <cellStyle name="Normal 8 2 3 7 4" xfId="10737" xr:uid="{43B4006B-8ED9-4C9C-9EE6-023B1A7592EC}"/>
    <cellStyle name="Normal 8 2 3 7 5" xfId="19172" xr:uid="{1AD074C9-F645-4947-ACA0-961BCC026C08}"/>
    <cellStyle name="Normal 8 2 3 8" xfId="2635" xr:uid="{00000000-0005-0000-0000-0000E01C0000}"/>
    <cellStyle name="Normal 8 2 3 8 2" xfId="6918" xr:uid="{00000000-0005-0000-0000-0000E11C0000}"/>
    <cellStyle name="Normal 8 2 3 8 2 2" xfId="15368" xr:uid="{F655983E-A055-4F88-8814-D4AB42D25C2F}"/>
    <cellStyle name="Normal 8 2 3 8 2 3" xfId="23802" xr:uid="{43EDC32E-E808-406E-BBC3-C4ADA53EBA9B}"/>
    <cellStyle name="Normal 8 2 3 8 3" xfId="11150" xr:uid="{145DAEF5-9CFD-435E-B18E-E08AB915F6C1}"/>
    <cellStyle name="Normal 8 2 3 8 4" xfId="19585" xr:uid="{4A63446B-D1AE-4327-AB68-71692BCF1A07}"/>
    <cellStyle name="Normal 8 2 3 9" xfId="4853" xr:uid="{00000000-0005-0000-0000-0000E21C0000}"/>
    <cellStyle name="Normal 8 2 3 9 2" xfId="13303" xr:uid="{7F0669E9-6EC3-44FE-944A-64F6A237A4D9}"/>
    <cellStyle name="Normal 8 2 3 9 3" xfId="21737" xr:uid="{B97F22D3-9E7E-4A0D-9287-16A5EEAC349F}"/>
    <cellStyle name="Normal 8 2 4" xfId="492" xr:uid="{00000000-0005-0000-0000-0000E31C0000}"/>
    <cellStyle name="Normal 8 2 4 10" xfId="17524" xr:uid="{8BC44FAF-7EEC-4791-932B-3E0C04B8F4CD}"/>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FB25B0EE-92D0-4102-B023-BFF11AFA8CB7}"/>
    <cellStyle name="Normal 8 2 4 2 2 2 2 3" xfId="24300" xr:uid="{55C2E5BD-6D19-46BA-A1F8-28218DA9FB51}"/>
    <cellStyle name="Normal 8 2 4 2 2 2 3" xfId="11648" xr:uid="{B351382D-9F41-49BF-8877-F6F073C9EDFA}"/>
    <cellStyle name="Normal 8 2 4 2 2 2 4" xfId="20083" xr:uid="{F85B75A1-2C60-46B8-863E-0194EC4080F0}"/>
    <cellStyle name="Normal 8 2 4 2 2 3" xfId="5271" xr:uid="{00000000-0005-0000-0000-0000E81C0000}"/>
    <cellStyle name="Normal 8 2 4 2 2 3 2" xfId="13721" xr:uid="{FADE4185-8F6C-44A5-B0F9-14977651C997}"/>
    <cellStyle name="Normal 8 2 4 2 2 3 3" xfId="22155" xr:uid="{F06A2A7F-8177-4C6D-BF31-24CC9DBD28B8}"/>
    <cellStyle name="Normal 8 2 4 2 2 4" xfId="9503" xr:uid="{B55FBB70-CE9A-4260-AE7F-FE13170F7766}"/>
    <cellStyle name="Normal 8 2 4 2 2 5" xfId="17938" xr:uid="{E255373F-A3AF-42E8-A720-D4A60BD8447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1A587216-63AC-460F-9A8A-721B3A9457C4}"/>
    <cellStyle name="Normal 8 2 4 2 3 2 2 3" xfId="24713" xr:uid="{3AA2FB04-74EF-4628-8842-8CDCB7D33B7E}"/>
    <cellStyle name="Normal 8 2 4 2 3 2 3" xfId="12061" xr:uid="{D93A2489-3E00-4032-8D43-3ED387678BB4}"/>
    <cellStyle name="Normal 8 2 4 2 3 2 4" xfId="20496" xr:uid="{2F068041-35B5-42C2-91F9-251E71A604D0}"/>
    <cellStyle name="Normal 8 2 4 2 3 3" xfId="5684" xr:uid="{00000000-0005-0000-0000-0000EC1C0000}"/>
    <cellStyle name="Normal 8 2 4 2 3 3 2" xfId="14134" xr:uid="{1869B75E-ADEE-43F9-A108-0310E151AC4B}"/>
    <cellStyle name="Normal 8 2 4 2 3 3 3" xfId="22568" xr:uid="{970C11CC-63A4-4107-8B53-BD36E308CBA5}"/>
    <cellStyle name="Normal 8 2 4 2 3 4" xfId="9916" xr:uid="{F5803B9E-0570-4733-8DAD-0BD79144574B}"/>
    <cellStyle name="Normal 8 2 4 2 3 5" xfId="18351" xr:uid="{4D6607E6-2FBF-4364-90C7-A05CE7162E5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6B0C1D9A-D14A-476F-AC5D-A9F3F3DBD7F3}"/>
    <cellStyle name="Normal 8 2 4 2 4 2 2 3" xfId="25126" xr:uid="{D51F8A68-EABA-4D04-A394-8F21F7F9DA9D}"/>
    <cellStyle name="Normal 8 2 4 2 4 2 3" xfId="12474" xr:uid="{BCDFDBB3-C50B-44B7-A26C-978EEC46F7EC}"/>
    <cellStyle name="Normal 8 2 4 2 4 2 4" xfId="20909" xr:uid="{43ACA10E-EC38-4C7A-B3F8-255AF41D162C}"/>
    <cellStyle name="Normal 8 2 4 2 4 3" xfId="6097" xr:uid="{00000000-0005-0000-0000-0000F01C0000}"/>
    <cellStyle name="Normal 8 2 4 2 4 3 2" xfId="14547" xr:uid="{823A3A38-9ECC-4568-A919-60C168AAF1AD}"/>
    <cellStyle name="Normal 8 2 4 2 4 3 3" xfId="22981" xr:uid="{8AB42E27-8F27-48D9-8BC1-893969B23DF7}"/>
    <cellStyle name="Normal 8 2 4 2 4 4" xfId="10329" xr:uid="{791A492A-25E5-4EF6-9C56-BAD343690A88}"/>
    <cellStyle name="Normal 8 2 4 2 4 5" xfId="18764" xr:uid="{4384CFF2-1EEB-4437-9EC8-07B1E500BC4D}"/>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7C21FC7C-2915-4BC3-BF49-991CB51CE28C}"/>
    <cellStyle name="Normal 8 2 4 2 5 2 2 3" xfId="25539" xr:uid="{A36E6AB7-B093-4C11-9F95-EF90CCCD11AB}"/>
    <cellStyle name="Normal 8 2 4 2 5 2 3" xfId="12887" xr:uid="{11E5D2BA-E10E-4FD3-B962-3CC8430B6044}"/>
    <cellStyle name="Normal 8 2 4 2 5 2 4" xfId="21322" xr:uid="{0A001E70-980B-4191-9274-6F2454D515CA}"/>
    <cellStyle name="Normal 8 2 4 2 5 3" xfId="6510" xr:uid="{00000000-0005-0000-0000-0000F41C0000}"/>
    <cellStyle name="Normal 8 2 4 2 5 3 2" xfId="14960" xr:uid="{62D97D52-6AE1-43BE-BC39-30ABE332CB6B}"/>
    <cellStyle name="Normal 8 2 4 2 5 3 3" xfId="23394" xr:uid="{1CCDB9D9-BB54-4050-89FD-DF1A38419142}"/>
    <cellStyle name="Normal 8 2 4 2 5 4" xfId="10742" xr:uid="{F018C655-7A0B-4A6B-8498-5679DA45DD0D}"/>
    <cellStyle name="Normal 8 2 4 2 5 5" xfId="19177" xr:uid="{2A7FE8FF-B5F9-4BA9-94C1-0280A45A1BD8}"/>
    <cellStyle name="Normal 8 2 4 2 6" xfId="2640" xr:uid="{00000000-0005-0000-0000-0000F51C0000}"/>
    <cellStyle name="Normal 8 2 4 2 6 2" xfId="6923" xr:uid="{00000000-0005-0000-0000-0000F61C0000}"/>
    <cellStyle name="Normal 8 2 4 2 6 2 2" xfId="15373" xr:uid="{6CFCC193-01F0-4D46-A9AE-7A0B4E8AED34}"/>
    <cellStyle name="Normal 8 2 4 2 6 2 3" xfId="23807" xr:uid="{C57AD05B-05A6-42CF-B40B-1B0B04814DFD}"/>
    <cellStyle name="Normal 8 2 4 2 6 3" xfId="11155" xr:uid="{A6BF7639-8E55-4013-8D0F-D21B8A07F0AF}"/>
    <cellStyle name="Normal 8 2 4 2 6 4" xfId="19590" xr:uid="{E901C00D-BB69-4FD2-B4AC-9DBFDD353507}"/>
    <cellStyle name="Normal 8 2 4 2 7" xfId="4858" xr:uid="{00000000-0005-0000-0000-0000F71C0000}"/>
    <cellStyle name="Normal 8 2 4 2 7 2" xfId="13308" xr:uid="{86123D77-CF9D-4B10-9195-663AD871EBDC}"/>
    <cellStyle name="Normal 8 2 4 2 7 3" xfId="21742" xr:uid="{6C6A68AE-DB80-4D91-9206-F1A301D499E6}"/>
    <cellStyle name="Normal 8 2 4 2 8" xfId="9090" xr:uid="{3E2D82EE-F424-4169-B31B-F1CC7BBCC2C8}"/>
    <cellStyle name="Normal 8 2 4 2 9" xfId="17525" xr:uid="{A4A94DD2-EDF7-4860-8A38-B2BA5482F61C}"/>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3FD7BD91-2C6E-433F-A22E-187734E89BE4}"/>
    <cellStyle name="Normal 8 2 4 3 2 2 3" xfId="24299" xr:uid="{CED95F2F-854E-4337-A0D1-F85E949B7320}"/>
    <cellStyle name="Normal 8 2 4 3 2 3" xfId="11647" xr:uid="{CBD50CF9-6EAE-4CB7-AFB0-8BF3EEE8BB90}"/>
    <cellStyle name="Normal 8 2 4 3 2 4" xfId="20082" xr:uid="{3482CF6A-F4DC-4F26-8C6F-53EFD2BFC95E}"/>
    <cellStyle name="Normal 8 2 4 3 3" xfId="5270" xr:uid="{00000000-0005-0000-0000-0000FB1C0000}"/>
    <cellStyle name="Normal 8 2 4 3 3 2" xfId="13720" xr:uid="{646CD4F0-DAE3-4350-93AB-606297281F02}"/>
    <cellStyle name="Normal 8 2 4 3 3 3" xfId="22154" xr:uid="{8D431B75-11F1-4918-9B5B-66422E91F974}"/>
    <cellStyle name="Normal 8 2 4 3 4" xfId="9502" xr:uid="{0842F866-D16D-44C3-8A4F-A108C4FE359B}"/>
    <cellStyle name="Normal 8 2 4 3 5" xfId="17937" xr:uid="{D1CCA578-8A21-42EF-8946-83556CE0EE6C}"/>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155F2576-9E32-4D94-A1D2-53D77E11B16D}"/>
    <cellStyle name="Normal 8 2 4 4 2 2 3" xfId="24712" xr:uid="{4B3B4E60-EFCF-4E56-8240-BC80553699DD}"/>
    <cellStyle name="Normal 8 2 4 4 2 3" xfId="12060" xr:uid="{74FE586A-18A6-4103-AACA-EEB69BA6BD5D}"/>
    <cellStyle name="Normal 8 2 4 4 2 4" xfId="20495" xr:uid="{747855CA-BD2C-4673-A1E6-8DDEEA29720D}"/>
    <cellStyle name="Normal 8 2 4 4 3" xfId="5683" xr:uid="{00000000-0005-0000-0000-0000FF1C0000}"/>
    <cellStyle name="Normal 8 2 4 4 3 2" xfId="14133" xr:uid="{E2506A40-C550-484F-B137-1659737BAA55}"/>
    <cellStyle name="Normal 8 2 4 4 3 3" xfId="22567" xr:uid="{F610755C-BCAB-4428-94E0-AC1B96282AD6}"/>
    <cellStyle name="Normal 8 2 4 4 4" xfId="9915" xr:uid="{3601B26A-B963-494E-B819-877A6220A71B}"/>
    <cellStyle name="Normal 8 2 4 4 5" xfId="18350" xr:uid="{A130297D-9B12-4DEF-B1EC-863650713418}"/>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34B9DABD-8B21-4515-9E44-FA91F484F315}"/>
    <cellStyle name="Normal 8 2 4 5 2 2 3" xfId="25125" xr:uid="{51863D92-9700-4DAA-8CF3-E7899DEA3154}"/>
    <cellStyle name="Normal 8 2 4 5 2 3" xfId="12473" xr:uid="{8C41EADE-DA6C-494E-8877-B9E4501F25F0}"/>
    <cellStyle name="Normal 8 2 4 5 2 4" xfId="20908" xr:uid="{C52A1C4D-2F6E-4241-AF7C-0DD147295F41}"/>
    <cellStyle name="Normal 8 2 4 5 3" xfId="6096" xr:uid="{00000000-0005-0000-0000-0000031D0000}"/>
    <cellStyle name="Normal 8 2 4 5 3 2" xfId="14546" xr:uid="{8BFB61A0-EB70-46DC-98A0-54C34F8BD8BF}"/>
    <cellStyle name="Normal 8 2 4 5 3 3" xfId="22980" xr:uid="{300CA2AA-0789-422A-BECB-B3E8F899CF06}"/>
    <cellStyle name="Normal 8 2 4 5 4" xfId="10328" xr:uid="{DCC18118-06A2-4FA4-99A9-795175578228}"/>
    <cellStyle name="Normal 8 2 4 5 5" xfId="18763" xr:uid="{63507695-7F56-47A7-AA2C-163F28697487}"/>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53566858-8BD1-421F-9C90-E11AF0C24948}"/>
    <cellStyle name="Normal 8 2 4 6 2 2 3" xfId="25538" xr:uid="{8683E208-504B-420F-9C04-87574DC4146B}"/>
    <cellStyle name="Normal 8 2 4 6 2 3" xfId="12886" xr:uid="{BA1E46B3-754F-43E0-87DF-7430AD1FB98D}"/>
    <cellStyle name="Normal 8 2 4 6 2 4" xfId="21321" xr:uid="{2015CA03-5D3B-4584-86D5-F8F63C386947}"/>
    <cellStyle name="Normal 8 2 4 6 3" xfId="6509" xr:uid="{00000000-0005-0000-0000-0000071D0000}"/>
    <cellStyle name="Normal 8 2 4 6 3 2" xfId="14959" xr:uid="{46B54C1B-1D90-4420-A8AF-B541BF735883}"/>
    <cellStyle name="Normal 8 2 4 6 3 3" xfId="23393" xr:uid="{1015C169-7AEC-44F8-8A31-C204B5C0704A}"/>
    <cellStyle name="Normal 8 2 4 6 4" xfId="10741" xr:uid="{D85A100E-AF3D-467B-A9AD-79515F7A5CE1}"/>
    <cellStyle name="Normal 8 2 4 6 5" xfId="19176" xr:uid="{9B36A0D6-E612-419A-93E7-067FE8A1F126}"/>
    <cellStyle name="Normal 8 2 4 7" xfId="2639" xr:uid="{00000000-0005-0000-0000-0000081D0000}"/>
    <cellStyle name="Normal 8 2 4 7 2" xfId="6922" xr:uid="{00000000-0005-0000-0000-0000091D0000}"/>
    <cellStyle name="Normal 8 2 4 7 2 2" xfId="15372" xr:uid="{8F2309E3-4CA6-476B-B10C-E20AF9E388AD}"/>
    <cellStyle name="Normal 8 2 4 7 2 3" xfId="23806" xr:uid="{A0324CDD-B01F-4406-AB88-215DE6A12EDF}"/>
    <cellStyle name="Normal 8 2 4 7 3" xfId="11154" xr:uid="{9A375588-C8BD-4E6A-9C80-172087E25BE0}"/>
    <cellStyle name="Normal 8 2 4 7 4" xfId="19589" xr:uid="{32198F19-C3F2-406F-9C44-D0409DB9597E}"/>
    <cellStyle name="Normal 8 2 4 8" xfId="4857" xr:uid="{00000000-0005-0000-0000-00000A1D0000}"/>
    <cellStyle name="Normal 8 2 4 8 2" xfId="13307" xr:uid="{8180E52E-EAE0-4D01-A3C4-A85B3A28EC48}"/>
    <cellStyle name="Normal 8 2 4 8 3" xfId="21741" xr:uid="{C9A71871-B038-46B8-92AC-668E2006191C}"/>
    <cellStyle name="Normal 8 2 4 9" xfId="9089" xr:uid="{F691052D-E60E-4A71-A398-63DAE4D9FAA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34A421C3-FFB8-4368-B627-51720016BC77}"/>
    <cellStyle name="Normal 8 2 5 2 2 2 3" xfId="24301" xr:uid="{A96E0B29-CBD2-434B-A939-59DA508A1C39}"/>
    <cellStyle name="Normal 8 2 5 2 2 3" xfId="11649" xr:uid="{76B86B8D-7324-44FD-85F2-761AA1C6E339}"/>
    <cellStyle name="Normal 8 2 5 2 2 4" xfId="20084" xr:uid="{78390DAF-93F4-4F33-8CAD-C1FA6D759D8B}"/>
    <cellStyle name="Normal 8 2 5 2 3" xfId="5272" xr:uid="{00000000-0005-0000-0000-00000F1D0000}"/>
    <cellStyle name="Normal 8 2 5 2 3 2" xfId="13722" xr:uid="{76868F16-E69E-4AD9-878D-D284D606336E}"/>
    <cellStyle name="Normal 8 2 5 2 3 3" xfId="22156" xr:uid="{782B0983-C255-48C7-BF08-B61A1ADAEBE2}"/>
    <cellStyle name="Normal 8 2 5 2 4" xfId="9504" xr:uid="{F3BC2E50-0C15-45C7-8368-959D7AA54004}"/>
    <cellStyle name="Normal 8 2 5 2 5" xfId="17939" xr:uid="{A18CBA3F-6F4A-4D86-B160-2815B5CC4AE8}"/>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5CFE2158-D509-4FBF-B1DB-3C872A7A1305}"/>
    <cellStyle name="Normal 8 2 5 3 2 2 3" xfId="24714" xr:uid="{1EA1F6C4-9BF9-4ABA-BA4B-05C671BC650F}"/>
    <cellStyle name="Normal 8 2 5 3 2 3" xfId="12062" xr:uid="{37037A2C-BF42-4D1E-9FEC-0753297EB7CC}"/>
    <cellStyle name="Normal 8 2 5 3 2 4" xfId="20497" xr:uid="{EC5A03FC-DD10-4687-A1BF-FF80870D4F98}"/>
    <cellStyle name="Normal 8 2 5 3 3" xfId="5685" xr:uid="{00000000-0005-0000-0000-0000131D0000}"/>
    <cellStyle name="Normal 8 2 5 3 3 2" xfId="14135" xr:uid="{90EE4EBE-C6CF-4929-A78F-1CC98D9F1A9F}"/>
    <cellStyle name="Normal 8 2 5 3 3 3" xfId="22569" xr:uid="{A99F51F2-3D89-423A-A587-88010EF01E61}"/>
    <cellStyle name="Normal 8 2 5 3 4" xfId="9917" xr:uid="{BF76FAB9-B92C-4CCA-BA27-817F7D8489C3}"/>
    <cellStyle name="Normal 8 2 5 3 5" xfId="18352" xr:uid="{4AF78285-C520-4823-AAC1-989E0B33A139}"/>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F21614D9-A612-4A46-ACA2-FA07B2A95F27}"/>
    <cellStyle name="Normal 8 2 5 4 2 2 3" xfId="25127" xr:uid="{5813F97F-7FCF-4F1B-B631-77C5693CACC0}"/>
    <cellStyle name="Normal 8 2 5 4 2 3" xfId="12475" xr:uid="{E6A8CFA8-B072-45A5-A86C-DD0DC53D1BDE}"/>
    <cellStyle name="Normal 8 2 5 4 2 4" xfId="20910" xr:uid="{70C3E14D-8FA8-4F8D-883E-EBCBD5D93273}"/>
    <cellStyle name="Normal 8 2 5 4 3" xfId="6098" xr:uid="{00000000-0005-0000-0000-0000171D0000}"/>
    <cellStyle name="Normal 8 2 5 4 3 2" xfId="14548" xr:uid="{95C56ABC-CF57-4D01-932A-CF6A3F65F8EE}"/>
    <cellStyle name="Normal 8 2 5 4 3 3" xfId="22982" xr:uid="{5D3B83CA-2F4B-41FD-9F4C-E64C92068A0D}"/>
    <cellStyle name="Normal 8 2 5 4 4" xfId="10330" xr:uid="{4894DD2A-EA9F-4CC6-AC4D-54FC16899CB5}"/>
    <cellStyle name="Normal 8 2 5 4 5" xfId="18765" xr:uid="{9FD29E25-4B92-4E6E-8E1D-AD049DE5B025}"/>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C6902002-1BF4-41DC-9187-A7E45641DAA9}"/>
    <cellStyle name="Normal 8 2 5 5 2 2 3" xfId="25540" xr:uid="{E5EA9620-2533-4EBD-B76C-A3B722E0C31A}"/>
    <cellStyle name="Normal 8 2 5 5 2 3" xfId="12888" xr:uid="{CD7A9F79-19AB-4F7A-9A6B-9C65D0C91917}"/>
    <cellStyle name="Normal 8 2 5 5 2 4" xfId="21323" xr:uid="{27F9AD7C-3D77-4D51-8101-6BA0988A3C79}"/>
    <cellStyle name="Normal 8 2 5 5 3" xfId="6511" xr:uid="{00000000-0005-0000-0000-00001B1D0000}"/>
    <cellStyle name="Normal 8 2 5 5 3 2" xfId="14961" xr:uid="{C18C88D7-17DE-48EB-B2AB-548176C93803}"/>
    <cellStyle name="Normal 8 2 5 5 3 3" xfId="23395" xr:uid="{DBA630C8-7CB0-4D1E-BE6F-DEB9A76BA91C}"/>
    <cellStyle name="Normal 8 2 5 5 4" xfId="10743" xr:uid="{D3909E15-AF29-4AEA-9A5E-76470FA03805}"/>
    <cellStyle name="Normal 8 2 5 5 5" xfId="19178" xr:uid="{45855521-5756-4C07-852C-3E8ADD04C007}"/>
    <cellStyle name="Normal 8 2 5 6" xfId="2641" xr:uid="{00000000-0005-0000-0000-00001C1D0000}"/>
    <cellStyle name="Normal 8 2 5 6 2" xfId="6924" xr:uid="{00000000-0005-0000-0000-00001D1D0000}"/>
    <cellStyle name="Normal 8 2 5 6 2 2" xfId="15374" xr:uid="{5FDE0D1A-02C1-4D0B-8B00-960D5EBD9A6C}"/>
    <cellStyle name="Normal 8 2 5 6 2 3" xfId="23808" xr:uid="{43ECAF83-C9E9-4EB3-9506-61CDF1C171CC}"/>
    <cellStyle name="Normal 8 2 5 6 3" xfId="11156" xr:uid="{B19E7B50-381F-4CE9-98FD-8A46D4BACF49}"/>
    <cellStyle name="Normal 8 2 5 6 4" xfId="19591" xr:uid="{C0D52A79-82D5-40AB-9942-AE5F728425F4}"/>
    <cellStyle name="Normal 8 2 5 7" xfId="4859" xr:uid="{00000000-0005-0000-0000-00001E1D0000}"/>
    <cellStyle name="Normal 8 2 5 7 2" xfId="13309" xr:uid="{03D788FB-8D29-4F12-B7C9-900BF68251A6}"/>
    <cellStyle name="Normal 8 2 5 7 3" xfId="21743" xr:uid="{5FD1A2C2-119B-4E2E-818F-9BEC4C093757}"/>
    <cellStyle name="Normal 8 2 5 8" xfId="9091" xr:uid="{840B435C-1B28-4D63-9B40-9BF9EEB14A06}"/>
    <cellStyle name="Normal 8 2 5 9" xfId="17526" xr:uid="{A920669A-4160-4050-BC8F-D17576FDE285}"/>
    <cellStyle name="Normal 8 2 6" xfId="946" xr:uid="{00000000-0005-0000-0000-00001F1D0000}"/>
    <cellStyle name="Normal 8 2 6 2" xfId="3180" xr:uid="{00000000-0005-0000-0000-0000201D0000}"/>
    <cellStyle name="Normal 8 2 6 2 2" xfId="7402" xr:uid="{00000000-0005-0000-0000-0000211D0000}"/>
    <cellStyle name="Normal 8 2 6 2 2 2" xfId="15852" xr:uid="{EA8C95C0-56E4-40F2-B040-939567B19A36}"/>
    <cellStyle name="Normal 8 2 6 2 2 3" xfId="24286" xr:uid="{A2A48E25-005E-493C-87BA-0CA51F0D6933}"/>
    <cellStyle name="Normal 8 2 6 2 3" xfId="11634" xr:uid="{03261557-A3EA-4B98-9488-1605B2F74439}"/>
    <cellStyle name="Normal 8 2 6 2 4" xfId="20069" xr:uid="{205A8E7B-9E93-4922-B5F4-AF1F8FB7CC47}"/>
    <cellStyle name="Normal 8 2 6 3" xfId="5257" xr:uid="{00000000-0005-0000-0000-0000221D0000}"/>
    <cellStyle name="Normal 8 2 6 3 2" xfId="13707" xr:uid="{0D491E3C-F0B3-4D0A-A9FA-7FD8F771D49B}"/>
    <cellStyle name="Normal 8 2 6 3 3" xfId="22141" xr:uid="{15DB404F-F794-4800-95C6-E4235CE95539}"/>
    <cellStyle name="Normal 8 2 6 4" xfId="9489" xr:uid="{2D0C3ADF-E9C8-4809-BCA8-A720FEF72F2F}"/>
    <cellStyle name="Normal 8 2 6 5" xfId="17924" xr:uid="{76483EDF-4876-41C1-9FFB-9D43D719EE31}"/>
    <cellStyle name="Normal 8 2 7" xfId="1363" xr:uid="{00000000-0005-0000-0000-0000231D0000}"/>
    <cellStyle name="Normal 8 2 7 2" xfId="3593" xr:uid="{00000000-0005-0000-0000-0000241D0000}"/>
    <cellStyle name="Normal 8 2 7 2 2" xfId="7815" xr:uid="{00000000-0005-0000-0000-0000251D0000}"/>
    <cellStyle name="Normal 8 2 7 2 2 2" xfId="16265" xr:uid="{46CA2B4F-77E3-421F-B1E4-13463DA760F6}"/>
    <cellStyle name="Normal 8 2 7 2 2 3" xfId="24699" xr:uid="{E6AEE4FF-B862-4A7A-BEC9-220B2F7D6AEA}"/>
    <cellStyle name="Normal 8 2 7 2 3" xfId="12047" xr:uid="{E7D2919E-2171-4855-82EC-7C00A18E1E9F}"/>
    <cellStyle name="Normal 8 2 7 2 4" xfId="20482" xr:uid="{CFEE419A-6BC1-4574-9042-B67C8C9BBB36}"/>
    <cellStyle name="Normal 8 2 7 3" xfId="5670" xr:uid="{00000000-0005-0000-0000-0000261D0000}"/>
    <cellStyle name="Normal 8 2 7 3 2" xfId="14120" xr:uid="{44ED2C39-F32F-4142-AF6C-7CAA9BDC78F1}"/>
    <cellStyle name="Normal 8 2 7 3 3" xfId="22554" xr:uid="{254DDB04-753E-4E19-ABC4-5AAA0721C4B2}"/>
    <cellStyle name="Normal 8 2 7 4" xfId="9902" xr:uid="{4E77FA20-2E53-451C-BF65-0BBEDD93627A}"/>
    <cellStyle name="Normal 8 2 7 5" xfId="18337" xr:uid="{5CEA18BC-1C9E-40E9-908A-CD77CE1F1EB9}"/>
    <cellStyle name="Normal 8 2 8" xfId="1776" xr:uid="{00000000-0005-0000-0000-0000271D0000}"/>
    <cellStyle name="Normal 8 2 8 2" xfId="4006" xr:uid="{00000000-0005-0000-0000-0000281D0000}"/>
    <cellStyle name="Normal 8 2 8 2 2" xfId="8228" xr:uid="{00000000-0005-0000-0000-0000291D0000}"/>
    <cellStyle name="Normal 8 2 8 2 2 2" xfId="16678" xr:uid="{0B18C3C9-3D96-4CE2-A548-CDE580527425}"/>
    <cellStyle name="Normal 8 2 8 2 2 3" xfId="25112" xr:uid="{0F281652-F45B-415E-93BB-02EF7DE53FAB}"/>
    <cellStyle name="Normal 8 2 8 2 3" xfId="12460" xr:uid="{B6877D1E-2D4F-466E-84ED-41631F505F06}"/>
    <cellStyle name="Normal 8 2 8 2 4" xfId="20895" xr:uid="{CEBA7B81-F001-4185-B1CA-759A4ECF27AD}"/>
    <cellStyle name="Normal 8 2 8 3" xfId="6083" xr:uid="{00000000-0005-0000-0000-00002A1D0000}"/>
    <cellStyle name="Normal 8 2 8 3 2" xfId="14533" xr:uid="{6C7A9D58-B179-4D40-90BA-EE4DC2DC94AC}"/>
    <cellStyle name="Normal 8 2 8 3 3" xfId="22967" xr:uid="{F4ACCAC8-F358-4344-8821-7A8BEFB4130D}"/>
    <cellStyle name="Normal 8 2 8 4" xfId="10315" xr:uid="{FCF2459B-D8D1-416F-A0F1-3971DAD3B15B}"/>
    <cellStyle name="Normal 8 2 8 5" xfId="18750" xr:uid="{135C1198-46A8-4C8E-AE5E-962C4BB23551}"/>
    <cellStyle name="Normal 8 2 9" xfId="2190" xr:uid="{00000000-0005-0000-0000-00002B1D0000}"/>
    <cellStyle name="Normal 8 2 9 2" xfId="4419" xr:uid="{00000000-0005-0000-0000-00002C1D0000}"/>
    <cellStyle name="Normal 8 2 9 2 2" xfId="8641" xr:uid="{00000000-0005-0000-0000-00002D1D0000}"/>
    <cellStyle name="Normal 8 2 9 2 2 2" xfId="17091" xr:uid="{5F1F7022-6D2E-424E-84E3-15EC7966BEE5}"/>
    <cellStyle name="Normal 8 2 9 2 2 3" xfId="25525" xr:uid="{835F53BA-C23F-4286-9DB3-89AC5FD4ABC8}"/>
    <cellStyle name="Normal 8 2 9 2 3" xfId="12873" xr:uid="{5DABD06C-AB05-47EF-96DC-0FF6AAEA7CBC}"/>
    <cellStyle name="Normal 8 2 9 2 4" xfId="21308" xr:uid="{1326690A-1F7B-4E17-8850-16A5AFD3DFEC}"/>
    <cellStyle name="Normal 8 2 9 3" xfId="6496" xr:uid="{00000000-0005-0000-0000-00002E1D0000}"/>
    <cellStyle name="Normal 8 2 9 3 2" xfId="14946" xr:uid="{AB8D4CC5-F8F2-4B7E-9084-A58AB3C458FE}"/>
    <cellStyle name="Normal 8 2 9 3 3" xfId="23380" xr:uid="{A205F12B-B7C8-420A-95C9-70B5AF288BDE}"/>
    <cellStyle name="Normal 8 2 9 4" xfId="10728" xr:uid="{FDE96C8E-9A80-4881-BFF5-90AD53B0D45D}"/>
    <cellStyle name="Normal 8 2 9 5" xfId="19163" xr:uid="{3BC00858-FABE-4B99-8641-74A4CF9A5B1D}"/>
    <cellStyle name="Normal 8 3" xfId="495" xr:uid="{00000000-0005-0000-0000-00002F1D0000}"/>
    <cellStyle name="Normal 8 3 10" xfId="4860" xr:uid="{00000000-0005-0000-0000-0000301D0000}"/>
    <cellStyle name="Normal 8 3 10 2" xfId="13310" xr:uid="{E09F76CD-B05A-4DA6-BC5A-8CFE2D2BFF97}"/>
    <cellStyle name="Normal 8 3 10 3" xfId="21744" xr:uid="{59CE4601-BF79-4410-A860-BBFC11B18850}"/>
    <cellStyle name="Normal 8 3 11" xfId="9092" xr:uid="{229220B3-9F32-4494-AC1A-ED0EB5C3204E}"/>
    <cellStyle name="Normal 8 3 12" xfId="17527" xr:uid="{1F16568F-43B3-4E2C-9A60-6093D016BF9D}"/>
    <cellStyle name="Normal 8 3 2" xfId="496" xr:uid="{00000000-0005-0000-0000-0000311D0000}"/>
    <cellStyle name="Normal 8 3 2 10" xfId="9093" xr:uid="{628617DE-B0A0-43E3-B367-4CC78F4BF41C}"/>
    <cellStyle name="Normal 8 3 2 11" xfId="17528" xr:uid="{FD8ACAB7-1374-4899-9AFF-0AF583049E1F}"/>
    <cellStyle name="Normal 8 3 2 2" xfId="497" xr:uid="{00000000-0005-0000-0000-0000321D0000}"/>
    <cellStyle name="Normal 8 3 2 2 10" xfId="17529" xr:uid="{D9F96E2E-F18C-4D02-98C9-CFE65B43284F}"/>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D6C4D066-BD0B-49AF-8619-0AADEA5165F7}"/>
    <cellStyle name="Normal 8 3 2 2 2 2 2 2 3" xfId="24305" xr:uid="{8B664F4E-09B2-4547-B932-9D2C4DD345B9}"/>
    <cellStyle name="Normal 8 3 2 2 2 2 2 3" xfId="11653" xr:uid="{043A0D88-1168-4513-A20C-95838FD791E0}"/>
    <cellStyle name="Normal 8 3 2 2 2 2 2 4" xfId="20088" xr:uid="{2F604B43-7CDB-48B7-9640-C09DFA2331F4}"/>
    <cellStyle name="Normal 8 3 2 2 2 2 3" xfId="5276" xr:uid="{00000000-0005-0000-0000-0000371D0000}"/>
    <cellStyle name="Normal 8 3 2 2 2 2 3 2" xfId="13726" xr:uid="{8CD45CC8-1C79-4A6C-B4EB-A1E1F1F8865C}"/>
    <cellStyle name="Normal 8 3 2 2 2 2 3 3" xfId="22160" xr:uid="{2782BA03-1E72-4277-884E-AD12D7187D5B}"/>
    <cellStyle name="Normal 8 3 2 2 2 2 4" xfId="9508" xr:uid="{D3458714-C8CA-4F5B-8381-041764F79A37}"/>
    <cellStyle name="Normal 8 3 2 2 2 2 5" xfId="17943" xr:uid="{AB95C867-7B7D-4A80-9BCE-56F7DE73653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AFD92D92-9819-494A-9C69-0A54145166CD}"/>
    <cellStyle name="Normal 8 3 2 2 2 3 2 2 3" xfId="24718" xr:uid="{90591A7C-F005-48C4-82B6-E8AA54EA0CFC}"/>
    <cellStyle name="Normal 8 3 2 2 2 3 2 3" xfId="12066" xr:uid="{622DA462-E420-41E0-8ED8-7279A334C1AC}"/>
    <cellStyle name="Normal 8 3 2 2 2 3 2 4" xfId="20501" xr:uid="{4ADC6432-3E56-4574-9138-BAF178D3AAB9}"/>
    <cellStyle name="Normal 8 3 2 2 2 3 3" xfId="5689" xr:uid="{00000000-0005-0000-0000-00003B1D0000}"/>
    <cellStyle name="Normal 8 3 2 2 2 3 3 2" xfId="14139" xr:uid="{E43B4B83-0918-43DA-BB7C-B3BE43A42F82}"/>
    <cellStyle name="Normal 8 3 2 2 2 3 3 3" xfId="22573" xr:uid="{F41249F2-6B99-481A-A6FD-42B5A11F01EB}"/>
    <cellStyle name="Normal 8 3 2 2 2 3 4" xfId="9921" xr:uid="{67855045-28F7-4A54-844C-59596140490C}"/>
    <cellStyle name="Normal 8 3 2 2 2 3 5" xfId="18356" xr:uid="{56598F0C-AC8E-4198-A0F4-158A5956C94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61C83126-652D-4B40-8F31-DB1F422B0CA6}"/>
    <cellStyle name="Normal 8 3 2 2 2 4 2 2 3" xfId="25131" xr:uid="{FDB0DA85-BA81-480C-B549-37396FB09A70}"/>
    <cellStyle name="Normal 8 3 2 2 2 4 2 3" xfId="12479" xr:uid="{CA99ED7A-532F-4F5B-A9EC-FF67AE19F803}"/>
    <cellStyle name="Normal 8 3 2 2 2 4 2 4" xfId="20914" xr:uid="{9D9A9835-8C19-4CD6-92E8-6D5868608A04}"/>
    <cellStyle name="Normal 8 3 2 2 2 4 3" xfId="6102" xr:uid="{00000000-0005-0000-0000-00003F1D0000}"/>
    <cellStyle name="Normal 8 3 2 2 2 4 3 2" xfId="14552" xr:uid="{D5BACCBB-4A96-422B-AE24-F562F7E971E0}"/>
    <cellStyle name="Normal 8 3 2 2 2 4 3 3" xfId="22986" xr:uid="{5E6BF50A-DCF3-4EE9-9D73-78D3C4228D5B}"/>
    <cellStyle name="Normal 8 3 2 2 2 4 4" xfId="10334" xr:uid="{7A6C66C2-5B97-4991-8339-1FF61D2C2F14}"/>
    <cellStyle name="Normal 8 3 2 2 2 4 5" xfId="18769" xr:uid="{584A8E87-54A2-4B50-859D-131260BFB8C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48812434-0BE4-4F39-BF2C-B9C6BC3B12E4}"/>
    <cellStyle name="Normal 8 3 2 2 2 5 2 2 3" xfId="25544" xr:uid="{41F15137-D670-4F53-A266-FE31C338813C}"/>
    <cellStyle name="Normal 8 3 2 2 2 5 2 3" xfId="12892" xr:uid="{7984BD1C-EC24-4516-BB15-6E9E9B07643F}"/>
    <cellStyle name="Normal 8 3 2 2 2 5 2 4" xfId="21327" xr:uid="{195B04AD-289A-420D-BB08-DC751DFD8DAB}"/>
    <cellStyle name="Normal 8 3 2 2 2 5 3" xfId="6515" xr:uid="{00000000-0005-0000-0000-0000431D0000}"/>
    <cellStyle name="Normal 8 3 2 2 2 5 3 2" xfId="14965" xr:uid="{7D559F80-C473-4D3C-AA1A-4EB785E0BA0A}"/>
    <cellStyle name="Normal 8 3 2 2 2 5 3 3" xfId="23399" xr:uid="{63317005-EEA0-4D1B-A0A0-9A8307D0E4C9}"/>
    <cellStyle name="Normal 8 3 2 2 2 5 4" xfId="10747" xr:uid="{6943D789-30CC-441D-8395-BE44DF7A1557}"/>
    <cellStyle name="Normal 8 3 2 2 2 5 5" xfId="19182" xr:uid="{83FBC5FB-1429-4BE5-9855-B2514BF50EE8}"/>
    <cellStyle name="Normal 8 3 2 2 2 6" xfId="2645" xr:uid="{00000000-0005-0000-0000-0000441D0000}"/>
    <cellStyle name="Normal 8 3 2 2 2 6 2" xfId="6928" xr:uid="{00000000-0005-0000-0000-0000451D0000}"/>
    <cellStyle name="Normal 8 3 2 2 2 6 2 2" xfId="15378" xr:uid="{744A083D-D977-4884-A531-1290864A7CAC}"/>
    <cellStyle name="Normal 8 3 2 2 2 6 2 3" xfId="23812" xr:uid="{A93E52B3-C551-4F47-B470-CF08F5461E78}"/>
    <cellStyle name="Normal 8 3 2 2 2 6 3" xfId="11160" xr:uid="{7DA71D34-9E28-4B6A-A3DC-703B9D3DC52F}"/>
    <cellStyle name="Normal 8 3 2 2 2 6 4" xfId="19595" xr:uid="{ED262ECE-2D41-4D7D-A0CA-9DA4F12F4EC4}"/>
    <cellStyle name="Normal 8 3 2 2 2 7" xfId="4863" xr:uid="{00000000-0005-0000-0000-0000461D0000}"/>
    <cellStyle name="Normal 8 3 2 2 2 7 2" xfId="13313" xr:uid="{AAD88D7B-4AA8-4AA7-8B6F-DD2B3BC595D4}"/>
    <cellStyle name="Normal 8 3 2 2 2 7 3" xfId="21747" xr:uid="{99A8F59F-36BA-4408-B69B-C96DEE50015F}"/>
    <cellStyle name="Normal 8 3 2 2 2 8" xfId="9095" xr:uid="{D296CCD7-8759-4B37-9D03-01D7B4E503E3}"/>
    <cellStyle name="Normal 8 3 2 2 2 9" xfId="17530" xr:uid="{3A3A0216-3F36-4D1D-9C61-61B239F1E621}"/>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FEDC3D4F-6354-45AB-A98A-487B347362E7}"/>
    <cellStyle name="Normal 8 3 2 2 3 2 2 3" xfId="24304" xr:uid="{7E199D8F-F23E-4717-BC1B-F29AEC080EE9}"/>
    <cellStyle name="Normal 8 3 2 2 3 2 3" xfId="11652" xr:uid="{210C76E1-7849-4F1F-B9FE-C72F4062FE0E}"/>
    <cellStyle name="Normal 8 3 2 2 3 2 4" xfId="20087" xr:uid="{BBA1D60D-ED5B-40CC-BD96-0BF5E60EAC6B}"/>
    <cellStyle name="Normal 8 3 2 2 3 3" xfId="5275" xr:uid="{00000000-0005-0000-0000-00004A1D0000}"/>
    <cellStyle name="Normal 8 3 2 2 3 3 2" xfId="13725" xr:uid="{A5316DEF-9F46-44A9-8090-B271175048CA}"/>
    <cellStyle name="Normal 8 3 2 2 3 3 3" xfId="22159" xr:uid="{83A6D33B-84CB-444C-AC27-9CBE441ECB06}"/>
    <cellStyle name="Normal 8 3 2 2 3 4" xfId="9507" xr:uid="{2CACBB36-48C6-4F17-A85E-35B8D06FD39D}"/>
    <cellStyle name="Normal 8 3 2 2 3 5" xfId="17942" xr:uid="{93E8721B-A80F-4C40-95DE-E37D78DA5E3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CE818D19-056E-46AD-8B13-6ED4CB019601}"/>
    <cellStyle name="Normal 8 3 2 2 4 2 2 3" xfId="24717" xr:uid="{CA10FBCD-045B-4660-B8B1-E8CC865D9AAE}"/>
    <cellStyle name="Normal 8 3 2 2 4 2 3" xfId="12065" xr:uid="{4EC3B4E3-B343-46F5-AA21-30525582C8D3}"/>
    <cellStyle name="Normal 8 3 2 2 4 2 4" xfId="20500" xr:uid="{5B141A36-5E53-4C14-A3C7-62C97FD5C56C}"/>
    <cellStyle name="Normal 8 3 2 2 4 3" xfId="5688" xr:uid="{00000000-0005-0000-0000-00004E1D0000}"/>
    <cellStyle name="Normal 8 3 2 2 4 3 2" xfId="14138" xr:uid="{0414DC88-14F7-43CB-ADC6-896C5C994B4D}"/>
    <cellStyle name="Normal 8 3 2 2 4 3 3" xfId="22572" xr:uid="{BC750C31-1982-4F3C-A9AE-1FE6933ED0C0}"/>
    <cellStyle name="Normal 8 3 2 2 4 4" xfId="9920" xr:uid="{FDF0B741-DA8F-4EB3-8E72-825F80ABC1C3}"/>
    <cellStyle name="Normal 8 3 2 2 4 5" xfId="18355" xr:uid="{FBE3D393-8232-4536-BF90-133FC28B915B}"/>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625DBF01-AED0-4429-A347-BACB7832404F}"/>
    <cellStyle name="Normal 8 3 2 2 5 2 2 3" xfId="25130" xr:uid="{C7CB20EB-DEB7-4CBC-8FAC-6FCDB8E62F47}"/>
    <cellStyle name="Normal 8 3 2 2 5 2 3" xfId="12478" xr:uid="{67396828-1838-420D-A579-604A5A31AD38}"/>
    <cellStyle name="Normal 8 3 2 2 5 2 4" xfId="20913" xr:uid="{5A17C40A-6B7E-483F-A2DF-1DC2BED850C2}"/>
    <cellStyle name="Normal 8 3 2 2 5 3" xfId="6101" xr:uid="{00000000-0005-0000-0000-0000521D0000}"/>
    <cellStyle name="Normal 8 3 2 2 5 3 2" xfId="14551" xr:uid="{E41D8484-45B7-4293-B607-E1DAD74282A2}"/>
    <cellStyle name="Normal 8 3 2 2 5 3 3" xfId="22985" xr:uid="{B8A6356F-EC41-46B7-B43A-FB1C3A795CF6}"/>
    <cellStyle name="Normal 8 3 2 2 5 4" xfId="10333" xr:uid="{B955BEB1-8D25-4359-B3E5-A19A9C208170}"/>
    <cellStyle name="Normal 8 3 2 2 5 5" xfId="18768" xr:uid="{EBE018CF-B223-473B-BE04-F703A1D87879}"/>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DCBA7AA7-D590-430A-9BBD-D21D0C1D565E}"/>
    <cellStyle name="Normal 8 3 2 2 6 2 2 3" xfId="25543" xr:uid="{B3D31D88-6AB0-4D27-8D45-93BE27B786EF}"/>
    <cellStyle name="Normal 8 3 2 2 6 2 3" xfId="12891" xr:uid="{4A9DB199-F4B1-4890-BC7A-91E180DED361}"/>
    <cellStyle name="Normal 8 3 2 2 6 2 4" xfId="21326" xr:uid="{7CFCD960-3849-4E7D-9793-51E1E0A39FF2}"/>
    <cellStyle name="Normal 8 3 2 2 6 3" xfId="6514" xr:uid="{00000000-0005-0000-0000-0000561D0000}"/>
    <cellStyle name="Normal 8 3 2 2 6 3 2" xfId="14964" xr:uid="{DDED96F3-C7DC-4FED-9D4D-B14B4E5C4D43}"/>
    <cellStyle name="Normal 8 3 2 2 6 3 3" xfId="23398" xr:uid="{DE8AFEBE-581A-4152-A7D0-F42D4D241C7D}"/>
    <cellStyle name="Normal 8 3 2 2 6 4" xfId="10746" xr:uid="{5A16689D-3446-438A-979E-2CBF18CA07AC}"/>
    <cellStyle name="Normal 8 3 2 2 6 5" xfId="19181" xr:uid="{C01E10A4-09B0-4013-93BC-CE31E912D602}"/>
    <cellStyle name="Normal 8 3 2 2 7" xfId="2644" xr:uid="{00000000-0005-0000-0000-0000571D0000}"/>
    <cellStyle name="Normal 8 3 2 2 7 2" xfId="6927" xr:uid="{00000000-0005-0000-0000-0000581D0000}"/>
    <cellStyle name="Normal 8 3 2 2 7 2 2" xfId="15377" xr:uid="{1503ED21-62A1-4A4F-B904-51136AB5C57F}"/>
    <cellStyle name="Normal 8 3 2 2 7 2 3" xfId="23811" xr:uid="{77206EE8-B7DC-4D10-9E13-836FAE117E5D}"/>
    <cellStyle name="Normal 8 3 2 2 7 3" xfId="11159" xr:uid="{CF8CCB69-9B45-408A-BAE3-A66C45A8E10F}"/>
    <cellStyle name="Normal 8 3 2 2 7 4" xfId="19594" xr:uid="{A277BD96-40D8-4DE6-B746-BA0C14569ACE}"/>
    <cellStyle name="Normal 8 3 2 2 8" xfId="4862" xr:uid="{00000000-0005-0000-0000-0000591D0000}"/>
    <cellStyle name="Normal 8 3 2 2 8 2" xfId="13312" xr:uid="{643FBE77-2A50-4134-95C7-4C12CBA10015}"/>
    <cellStyle name="Normal 8 3 2 2 8 3" xfId="21746" xr:uid="{4827BB82-E0DF-4734-826A-3327445E946A}"/>
    <cellStyle name="Normal 8 3 2 2 9" xfId="9094" xr:uid="{E46A96A1-8D7C-40DC-8AA0-34EFAB002E67}"/>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7E628561-3A74-403E-AC87-0CCB1DF43422}"/>
    <cellStyle name="Normal 8 3 2 3 2 2 2 3" xfId="24306" xr:uid="{8C36FC85-08C7-4B16-BEE3-C35B0DBADB87}"/>
    <cellStyle name="Normal 8 3 2 3 2 2 3" xfId="11654" xr:uid="{255A891E-AB52-45D5-8BBC-89F28FA2FE97}"/>
    <cellStyle name="Normal 8 3 2 3 2 2 4" xfId="20089" xr:uid="{BE832F09-FBA1-4828-A909-11E0639A83E6}"/>
    <cellStyle name="Normal 8 3 2 3 2 3" xfId="5277" xr:uid="{00000000-0005-0000-0000-00005E1D0000}"/>
    <cellStyle name="Normal 8 3 2 3 2 3 2" xfId="13727" xr:uid="{30D2658F-BF50-401A-B17A-0FBBB1B27B7B}"/>
    <cellStyle name="Normal 8 3 2 3 2 3 3" xfId="22161" xr:uid="{030B6757-C027-4EBD-B907-E6E341728F60}"/>
    <cellStyle name="Normal 8 3 2 3 2 4" xfId="9509" xr:uid="{E7CCEA72-43C9-4420-8785-F071C0AD5CB2}"/>
    <cellStyle name="Normal 8 3 2 3 2 5" xfId="17944" xr:uid="{12CF6B1F-3CE3-4C76-8045-085686448D3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E29A732C-4568-459E-8BB9-8865BE4EBFF4}"/>
    <cellStyle name="Normal 8 3 2 3 3 2 2 3" xfId="24719" xr:uid="{A3E46DB6-A532-4989-874A-030B150391AF}"/>
    <cellStyle name="Normal 8 3 2 3 3 2 3" xfId="12067" xr:uid="{DE7147D0-82E4-49AE-9C99-E9E2AE60C889}"/>
    <cellStyle name="Normal 8 3 2 3 3 2 4" xfId="20502" xr:uid="{CEB0BB3C-793D-4656-B396-16955FF502E3}"/>
    <cellStyle name="Normal 8 3 2 3 3 3" xfId="5690" xr:uid="{00000000-0005-0000-0000-0000621D0000}"/>
    <cellStyle name="Normal 8 3 2 3 3 3 2" xfId="14140" xr:uid="{732BC5FF-7299-4F14-80E4-1AC1159FEBCC}"/>
    <cellStyle name="Normal 8 3 2 3 3 3 3" xfId="22574" xr:uid="{FBE3626C-025B-4928-939A-A4A80C4016FB}"/>
    <cellStyle name="Normal 8 3 2 3 3 4" xfId="9922" xr:uid="{7AFA9569-DC9B-4755-87FD-DC284FFF934A}"/>
    <cellStyle name="Normal 8 3 2 3 3 5" xfId="18357" xr:uid="{F6AD3EBA-A7F5-4BD1-8832-E1D30A92E00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3E65AD25-100C-45D8-959E-5F4FBA47413B}"/>
    <cellStyle name="Normal 8 3 2 3 4 2 2 3" xfId="25132" xr:uid="{53F3AA37-AD7D-4837-B7D3-DF38F4E08700}"/>
    <cellStyle name="Normal 8 3 2 3 4 2 3" xfId="12480" xr:uid="{0C647314-8F99-484B-8250-F1CC96CD5A99}"/>
    <cellStyle name="Normal 8 3 2 3 4 2 4" xfId="20915" xr:uid="{BBF7BE4B-9BBC-4399-BD54-C01F6F2E70D8}"/>
    <cellStyle name="Normal 8 3 2 3 4 3" xfId="6103" xr:uid="{00000000-0005-0000-0000-0000661D0000}"/>
    <cellStyle name="Normal 8 3 2 3 4 3 2" xfId="14553" xr:uid="{ECA9DFB0-CB49-43F3-A99F-54D509B21A9D}"/>
    <cellStyle name="Normal 8 3 2 3 4 3 3" xfId="22987" xr:uid="{57F3A971-67D1-4343-AC1D-2472721186B5}"/>
    <cellStyle name="Normal 8 3 2 3 4 4" xfId="10335" xr:uid="{A246F01A-6BA3-4DE9-87E3-5CBF556BA0D3}"/>
    <cellStyle name="Normal 8 3 2 3 4 5" xfId="18770" xr:uid="{56BEED48-C487-4BFB-B602-64089484723C}"/>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85758A1F-8769-44A0-88B4-2A05C0AB9D91}"/>
    <cellStyle name="Normal 8 3 2 3 5 2 2 3" xfId="25545" xr:uid="{04CCD345-4001-46F9-88D5-F4CF7FC6BBFF}"/>
    <cellStyle name="Normal 8 3 2 3 5 2 3" xfId="12893" xr:uid="{7F80DC9C-7F4A-463D-BC49-A69543239E51}"/>
    <cellStyle name="Normal 8 3 2 3 5 2 4" xfId="21328" xr:uid="{51D5F647-C630-43BF-857B-39546127BDA3}"/>
    <cellStyle name="Normal 8 3 2 3 5 3" xfId="6516" xr:uid="{00000000-0005-0000-0000-00006A1D0000}"/>
    <cellStyle name="Normal 8 3 2 3 5 3 2" xfId="14966" xr:uid="{908612E1-48FF-4A28-B126-605159E9408F}"/>
    <cellStyle name="Normal 8 3 2 3 5 3 3" xfId="23400" xr:uid="{ED3DD4A5-3299-4B0E-A71F-075ED3277030}"/>
    <cellStyle name="Normal 8 3 2 3 5 4" xfId="10748" xr:uid="{0E8D49F6-84B3-4E5A-81D8-F9CE8FDA5F71}"/>
    <cellStyle name="Normal 8 3 2 3 5 5" xfId="19183" xr:uid="{9516DF6D-E942-4A07-B305-6118FC334C10}"/>
    <cellStyle name="Normal 8 3 2 3 6" xfId="2646" xr:uid="{00000000-0005-0000-0000-00006B1D0000}"/>
    <cellStyle name="Normal 8 3 2 3 6 2" xfId="6929" xr:uid="{00000000-0005-0000-0000-00006C1D0000}"/>
    <cellStyle name="Normal 8 3 2 3 6 2 2" xfId="15379" xr:uid="{1A83DE32-5006-4945-8852-E23E2935478F}"/>
    <cellStyle name="Normal 8 3 2 3 6 2 3" xfId="23813" xr:uid="{035A9DFC-5598-4FC1-BF5D-D6A0708BD7BF}"/>
    <cellStyle name="Normal 8 3 2 3 6 3" xfId="11161" xr:uid="{75395002-373A-4C33-B69A-4301C3B33C0B}"/>
    <cellStyle name="Normal 8 3 2 3 6 4" xfId="19596" xr:uid="{1D61B02B-DB20-4885-8FC9-D1CFD12C291C}"/>
    <cellStyle name="Normal 8 3 2 3 7" xfId="4864" xr:uid="{00000000-0005-0000-0000-00006D1D0000}"/>
    <cellStyle name="Normal 8 3 2 3 7 2" xfId="13314" xr:uid="{A6EFBB9A-2CFB-41A1-B12A-747071FB190A}"/>
    <cellStyle name="Normal 8 3 2 3 7 3" xfId="21748" xr:uid="{BACBB812-6CE8-4E7D-8F1A-4194FEF2949E}"/>
    <cellStyle name="Normal 8 3 2 3 8" xfId="9096" xr:uid="{0361AFFA-7EF9-4609-880C-5895489128DF}"/>
    <cellStyle name="Normal 8 3 2 3 9" xfId="17531" xr:uid="{8FEF735D-C97E-4FF6-9A2E-2F4DEE8EBB72}"/>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AC7D6AFD-24DA-49C7-8DEE-D83D2FDBB6A7}"/>
    <cellStyle name="Normal 8 3 2 4 2 2 3" xfId="24303" xr:uid="{45852E60-4DCF-410C-8004-AE59E66EF47C}"/>
    <cellStyle name="Normal 8 3 2 4 2 3" xfId="11651" xr:uid="{A3B0ECF0-9569-4D59-BE48-17A88A441854}"/>
    <cellStyle name="Normal 8 3 2 4 2 4" xfId="20086" xr:uid="{067281D7-81B9-488F-98F5-FB129075FFA1}"/>
    <cellStyle name="Normal 8 3 2 4 3" xfId="5274" xr:uid="{00000000-0005-0000-0000-0000711D0000}"/>
    <cellStyle name="Normal 8 3 2 4 3 2" xfId="13724" xr:uid="{42125A6F-1FCE-4AD8-8A67-EA4623E4F291}"/>
    <cellStyle name="Normal 8 3 2 4 3 3" xfId="22158" xr:uid="{C2FFDF0E-1226-43CE-9B64-D340F57FB1BB}"/>
    <cellStyle name="Normal 8 3 2 4 4" xfId="9506" xr:uid="{BF3421A2-0CA6-4E4A-A0E9-3C36D1FF8486}"/>
    <cellStyle name="Normal 8 3 2 4 5" xfId="17941" xr:uid="{89D38A14-BB61-4DA4-8F56-401D7219871E}"/>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116761E4-BF60-40F0-A633-63674DA18F99}"/>
    <cellStyle name="Normal 8 3 2 5 2 2 3" xfId="24716" xr:uid="{402095B3-B98F-4E28-939F-F2A0B6DCDB5B}"/>
    <cellStyle name="Normal 8 3 2 5 2 3" xfId="12064" xr:uid="{BB572716-9BA4-4FF3-BEDC-00C84AA4149C}"/>
    <cellStyle name="Normal 8 3 2 5 2 4" xfId="20499" xr:uid="{31449FDF-37E2-444F-BCD1-0E57F3A14445}"/>
    <cellStyle name="Normal 8 3 2 5 3" xfId="5687" xr:uid="{00000000-0005-0000-0000-0000751D0000}"/>
    <cellStyle name="Normal 8 3 2 5 3 2" xfId="14137" xr:uid="{4DF9C4E2-60EA-4139-B3A9-E57A80CBC263}"/>
    <cellStyle name="Normal 8 3 2 5 3 3" xfId="22571" xr:uid="{22E76F5D-F0FF-4802-B716-48CD078C37D6}"/>
    <cellStyle name="Normal 8 3 2 5 4" xfId="9919" xr:uid="{5A08A571-B0C0-4A9A-991E-52542DA4F502}"/>
    <cellStyle name="Normal 8 3 2 5 5" xfId="18354" xr:uid="{FA7253D0-6143-4741-A432-1826900C72A6}"/>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2C128542-E299-450D-A8CB-2BD5AD0AD63E}"/>
    <cellStyle name="Normal 8 3 2 6 2 2 3" xfId="25129" xr:uid="{42F5B744-ABCA-4A24-A853-94C006DB3D52}"/>
    <cellStyle name="Normal 8 3 2 6 2 3" xfId="12477" xr:uid="{90D9A005-D063-4D67-A4AB-DD4AB5BFAC20}"/>
    <cellStyle name="Normal 8 3 2 6 2 4" xfId="20912" xr:uid="{B22AA276-31C3-4CA2-A554-6381D0613767}"/>
    <cellStyle name="Normal 8 3 2 6 3" xfId="6100" xr:uid="{00000000-0005-0000-0000-0000791D0000}"/>
    <cellStyle name="Normal 8 3 2 6 3 2" xfId="14550" xr:uid="{2D36E2E5-DACB-408C-A382-EAA3BAFEA67D}"/>
    <cellStyle name="Normal 8 3 2 6 3 3" xfId="22984" xr:uid="{8909533C-55D2-488B-BE0E-E0E1631E2E45}"/>
    <cellStyle name="Normal 8 3 2 6 4" xfId="10332" xr:uid="{04B755FF-163C-48B9-93EE-5AFB617D11F4}"/>
    <cellStyle name="Normal 8 3 2 6 5" xfId="18767" xr:uid="{EC1926AB-DD7F-4C4A-A8EE-9F09EECB709B}"/>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51C0D735-F00F-4D0F-B885-9E1A0F5E517A}"/>
    <cellStyle name="Normal 8 3 2 7 2 2 3" xfId="25542" xr:uid="{41794D07-5750-41E0-B038-307A11A9D724}"/>
    <cellStyle name="Normal 8 3 2 7 2 3" xfId="12890" xr:uid="{43B1FE82-AD28-4DEB-8B2D-8198C2A6B740}"/>
    <cellStyle name="Normal 8 3 2 7 2 4" xfId="21325" xr:uid="{D56C9F64-8A9B-4314-B977-2EEA454AE5A9}"/>
    <cellStyle name="Normal 8 3 2 7 3" xfId="6513" xr:uid="{00000000-0005-0000-0000-00007D1D0000}"/>
    <cellStyle name="Normal 8 3 2 7 3 2" xfId="14963" xr:uid="{F08BEA25-6D58-4A11-A16A-3774AAE08FBE}"/>
    <cellStyle name="Normal 8 3 2 7 3 3" xfId="23397" xr:uid="{475F021B-41D9-4E2B-A5AF-93C415C8021D}"/>
    <cellStyle name="Normal 8 3 2 7 4" xfId="10745" xr:uid="{83DF3881-EAF9-4EAA-A801-722B1F29DBBA}"/>
    <cellStyle name="Normal 8 3 2 7 5" xfId="19180" xr:uid="{3BF0AF4D-7FF1-4223-A87B-5F17C0C37A81}"/>
    <cellStyle name="Normal 8 3 2 8" xfId="2643" xr:uid="{00000000-0005-0000-0000-00007E1D0000}"/>
    <cellStyle name="Normal 8 3 2 8 2" xfId="6926" xr:uid="{00000000-0005-0000-0000-00007F1D0000}"/>
    <cellStyle name="Normal 8 3 2 8 2 2" xfId="15376" xr:uid="{C0E07962-8C76-4B17-B8A9-D0280C7A6300}"/>
    <cellStyle name="Normal 8 3 2 8 2 3" xfId="23810" xr:uid="{794E495E-554A-41A3-B5A3-492E32C23932}"/>
    <cellStyle name="Normal 8 3 2 8 3" xfId="11158" xr:uid="{A91244D9-8E93-4EBD-83A3-99F666E991E4}"/>
    <cellStyle name="Normal 8 3 2 8 4" xfId="19593" xr:uid="{C39BB87E-F17A-4FEB-869A-A694892082C1}"/>
    <cellStyle name="Normal 8 3 2 9" xfId="4861" xr:uid="{00000000-0005-0000-0000-0000801D0000}"/>
    <cellStyle name="Normal 8 3 2 9 2" xfId="13311" xr:uid="{8946BAEC-17F2-4CE8-A7E7-8E0BE330356E}"/>
    <cellStyle name="Normal 8 3 2 9 3" xfId="21745" xr:uid="{5EDDE5D1-D964-4138-BE8A-3417ACF0164B}"/>
    <cellStyle name="Normal 8 3 3" xfId="500" xr:uid="{00000000-0005-0000-0000-0000811D0000}"/>
    <cellStyle name="Normal 8 3 3 10" xfId="17532" xr:uid="{369BC526-CEFD-4E14-AA30-5C12D91F6442}"/>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5720B747-2ACF-4876-8064-3DAF9ED0A9C2}"/>
    <cellStyle name="Normal 8 3 3 2 2 2 2 3" xfId="24308" xr:uid="{F76AEC87-94CA-48C5-8EE6-9F46FF079720}"/>
    <cellStyle name="Normal 8 3 3 2 2 2 3" xfId="11656" xr:uid="{DCFE1F76-7657-4A08-9884-056831E159F5}"/>
    <cellStyle name="Normal 8 3 3 2 2 2 4" xfId="20091" xr:uid="{9464255D-1E29-406D-A53A-C177894A1114}"/>
    <cellStyle name="Normal 8 3 3 2 2 3" xfId="5279" xr:uid="{00000000-0005-0000-0000-0000861D0000}"/>
    <cellStyle name="Normal 8 3 3 2 2 3 2" xfId="13729" xr:uid="{C7FA95D5-45C7-42CD-98E1-9E94DB25C200}"/>
    <cellStyle name="Normal 8 3 3 2 2 3 3" xfId="22163" xr:uid="{9D7E48AC-A069-44C2-91F7-7E95CAF3FF49}"/>
    <cellStyle name="Normal 8 3 3 2 2 4" xfId="9511" xr:uid="{0BC22E3E-78D7-452A-A2D8-CAFA9F605C36}"/>
    <cellStyle name="Normal 8 3 3 2 2 5" xfId="17946" xr:uid="{F002D677-5B56-44AB-968F-3C7A291A793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7744F57E-372C-43B7-91E1-7E7900E5E2A8}"/>
    <cellStyle name="Normal 8 3 3 2 3 2 2 3" xfId="24721" xr:uid="{725675ED-BFF0-4424-9A00-7999C54522C4}"/>
    <cellStyle name="Normal 8 3 3 2 3 2 3" xfId="12069" xr:uid="{330FF703-5FB2-4559-BC7F-4785B4E5302B}"/>
    <cellStyle name="Normal 8 3 3 2 3 2 4" xfId="20504" xr:uid="{AAA3D8A1-9CC6-4129-8437-B01C5C7C5F5F}"/>
    <cellStyle name="Normal 8 3 3 2 3 3" xfId="5692" xr:uid="{00000000-0005-0000-0000-00008A1D0000}"/>
    <cellStyle name="Normal 8 3 3 2 3 3 2" xfId="14142" xr:uid="{986935DA-9589-418C-8EBA-16709283AC47}"/>
    <cellStyle name="Normal 8 3 3 2 3 3 3" xfId="22576" xr:uid="{F4934893-53FB-40C5-9490-21D3E9380B27}"/>
    <cellStyle name="Normal 8 3 3 2 3 4" xfId="9924" xr:uid="{BBA8EA79-A129-4ACA-8915-963EAB1DCC23}"/>
    <cellStyle name="Normal 8 3 3 2 3 5" xfId="18359" xr:uid="{46D310D2-3A03-4BDC-A26E-1F7D4EDAC13D}"/>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E46D5C6A-7A7A-4C13-90EF-B3AA3011A51B}"/>
    <cellStyle name="Normal 8 3 3 2 4 2 2 3" xfId="25134" xr:uid="{FD943A01-0079-4DA8-9631-BED4E75A1667}"/>
    <cellStyle name="Normal 8 3 3 2 4 2 3" xfId="12482" xr:uid="{4B35910A-FE61-4023-8AAD-00101DC84C54}"/>
    <cellStyle name="Normal 8 3 3 2 4 2 4" xfId="20917" xr:uid="{1FC77654-CB79-4013-8C17-6CC86D1517B3}"/>
    <cellStyle name="Normal 8 3 3 2 4 3" xfId="6105" xr:uid="{00000000-0005-0000-0000-00008E1D0000}"/>
    <cellStyle name="Normal 8 3 3 2 4 3 2" xfId="14555" xr:uid="{A37011D8-0E6E-46DB-8505-D601201A3DAD}"/>
    <cellStyle name="Normal 8 3 3 2 4 3 3" xfId="22989" xr:uid="{12CE53CE-2327-41EB-B91F-7B217F182309}"/>
    <cellStyle name="Normal 8 3 3 2 4 4" xfId="10337" xr:uid="{76044FB5-AE9E-470F-8AC4-3292F6F26A8F}"/>
    <cellStyle name="Normal 8 3 3 2 4 5" xfId="18772" xr:uid="{B8465EBB-B169-43BB-A0BB-414BBEBAA376}"/>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EDECA501-3D97-4F0C-B10B-33FF2D728586}"/>
    <cellStyle name="Normal 8 3 3 2 5 2 2 3" xfId="25547" xr:uid="{C9421569-71F2-453E-8D6C-2FB6E580F420}"/>
    <cellStyle name="Normal 8 3 3 2 5 2 3" xfId="12895" xr:uid="{53A16627-F2E2-4B9E-9EDE-AC04B8DD2A5A}"/>
    <cellStyle name="Normal 8 3 3 2 5 2 4" xfId="21330" xr:uid="{CF3CAEC0-A426-4695-BDE9-BD512D4BE87F}"/>
    <cellStyle name="Normal 8 3 3 2 5 3" xfId="6518" xr:uid="{00000000-0005-0000-0000-0000921D0000}"/>
    <cellStyle name="Normal 8 3 3 2 5 3 2" xfId="14968" xr:uid="{41ECF4B9-0317-461F-9297-45E48588E673}"/>
    <cellStyle name="Normal 8 3 3 2 5 3 3" xfId="23402" xr:uid="{BD8FBC68-A6E4-49A4-A456-E97731D03338}"/>
    <cellStyle name="Normal 8 3 3 2 5 4" xfId="10750" xr:uid="{A1CF4036-A516-49B7-B25E-86C49F420E9A}"/>
    <cellStyle name="Normal 8 3 3 2 5 5" xfId="19185" xr:uid="{09A28A4B-8901-4F9D-A4CF-1E8BD5573CCB}"/>
    <cellStyle name="Normal 8 3 3 2 6" xfId="2648" xr:uid="{00000000-0005-0000-0000-0000931D0000}"/>
    <cellStyle name="Normal 8 3 3 2 6 2" xfId="6931" xr:uid="{00000000-0005-0000-0000-0000941D0000}"/>
    <cellStyle name="Normal 8 3 3 2 6 2 2" xfId="15381" xr:uid="{FAB7038C-48D8-45BF-8C68-29D79634FE3C}"/>
    <cellStyle name="Normal 8 3 3 2 6 2 3" xfId="23815" xr:uid="{668BB7DA-137A-4A0D-ADEE-E987F307F181}"/>
    <cellStyle name="Normal 8 3 3 2 6 3" xfId="11163" xr:uid="{ED9AFC81-1522-4BA2-8AE0-AB4A511F4DD4}"/>
    <cellStyle name="Normal 8 3 3 2 6 4" xfId="19598" xr:uid="{C4AB0829-C963-476E-9759-4FE919B015C2}"/>
    <cellStyle name="Normal 8 3 3 2 7" xfId="4866" xr:uid="{00000000-0005-0000-0000-0000951D0000}"/>
    <cellStyle name="Normal 8 3 3 2 7 2" xfId="13316" xr:uid="{2834E89B-9052-44C1-B9E8-87E5E283DAD2}"/>
    <cellStyle name="Normal 8 3 3 2 7 3" xfId="21750" xr:uid="{D5C6A64C-7385-45DC-9AE5-3E318B15B986}"/>
    <cellStyle name="Normal 8 3 3 2 8" xfId="9098" xr:uid="{AFF660BA-AFB7-449D-BAC8-2CB33B855E7D}"/>
    <cellStyle name="Normal 8 3 3 2 9" xfId="17533" xr:uid="{1546B178-14B5-4C88-86CB-81748D99FB69}"/>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08486FA7-E716-41E5-A30D-00121FFEA986}"/>
    <cellStyle name="Normal 8 3 3 3 2 2 3" xfId="24307" xr:uid="{1EC393AF-B2C4-4C97-8D91-AE76B41D2224}"/>
    <cellStyle name="Normal 8 3 3 3 2 3" xfId="11655" xr:uid="{6D9E1F2D-5604-4C73-9E45-AA9DCFEB5EB3}"/>
    <cellStyle name="Normal 8 3 3 3 2 4" xfId="20090" xr:uid="{D2E3C52E-0372-4A26-BE3E-E459C5C0BFE5}"/>
    <cellStyle name="Normal 8 3 3 3 3" xfId="5278" xr:uid="{00000000-0005-0000-0000-0000991D0000}"/>
    <cellStyle name="Normal 8 3 3 3 3 2" xfId="13728" xr:uid="{64AC63DA-0BB7-48BE-A793-40D905968E70}"/>
    <cellStyle name="Normal 8 3 3 3 3 3" xfId="22162" xr:uid="{A4A98AB0-EDE6-4C7A-A94B-DC518ADADB04}"/>
    <cellStyle name="Normal 8 3 3 3 4" xfId="9510" xr:uid="{8EADD9BE-F61F-40EC-A9BE-63251A4E9FCA}"/>
    <cellStyle name="Normal 8 3 3 3 5" xfId="17945" xr:uid="{2CB1EE20-20CB-4F5A-990D-BD1018817274}"/>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9807FCAC-C651-411C-85AF-0E40A67D1010}"/>
    <cellStyle name="Normal 8 3 3 4 2 2 3" xfId="24720" xr:uid="{1351551F-4BE3-4ED5-B3F5-928589D7CB62}"/>
    <cellStyle name="Normal 8 3 3 4 2 3" xfId="12068" xr:uid="{C719F77A-B9E4-4C2B-A68E-06BD628FAC29}"/>
    <cellStyle name="Normal 8 3 3 4 2 4" xfId="20503" xr:uid="{91766941-1DCD-4497-815D-24E375E5A7E2}"/>
    <cellStyle name="Normal 8 3 3 4 3" xfId="5691" xr:uid="{00000000-0005-0000-0000-00009D1D0000}"/>
    <cellStyle name="Normal 8 3 3 4 3 2" xfId="14141" xr:uid="{64E8BD8D-8AC7-4097-AEF9-7545F5A2D541}"/>
    <cellStyle name="Normal 8 3 3 4 3 3" xfId="22575" xr:uid="{C6A65E5F-A99F-4CC8-80F0-DCD304D32892}"/>
    <cellStyle name="Normal 8 3 3 4 4" xfId="9923" xr:uid="{5E648700-3F36-49F0-A4C0-F978438A5F93}"/>
    <cellStyle name="Normal 8 3 3 4 5" xfId="18358" xr:uid="{971C481B-FD9F-48BF-9F37-16BBB36742A6}"/>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A35A69A6-8B67-48B5-AD36-700E1DD2F2C9}"/>
    <cellStyle name="Normal 8 3 3 5 2 2 3" xfId="25133" xr:uid="{C7767D21-2BF2-420A-ACE6-BE32C66ACF6E}"/>
    <cellStyle name="Normal 8 3 3 5 2 3" xfId="12481" xr:uid="{6380BD16-935C-444B-960B-3ED040B41B3B}"/>
    <cellStyle name="Normal 8 3 3 5 2 4" xfId="20916" xr:uid="{1D7E880E-E141-451F-82CF-C321F3B13329}"/>
    <cellStyle name="Normal 8 3 3 5 3" xfId="6104" xr:uid="{00000000-0005-0000-0000-0000A11D0000}"/>
    <cellStyle name="Normal 8 3 3 5 3 2" xfId="14554" xr:uid="{5710D465-8CE4-4DC8-A7D6-E64BD3FFE06D}"/>
    <cellStyle name="Normal 8 3 3 5 3 3" xfId="22988" xr:uid="{BBAB1050-1163-4776-A05D-2C4D0A26BCE6}"/>
    <cellStyle name="Normal 8 3 3 5 4" xfId="10336" xr:uid="{30CB1121-0D46-4423-B472-93609C7C88FE}"/>
    <cellStyle name="Normal 8 3 3 5 5" xfId="18771" xr:uid="{B20B33D8-17F5-4262-BE07-5153AF59C20A}"/>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BD80A43B-DCCB-4D66-9D1A-CD990EF30044}"/>
    <cellStyle name="Normal 8 3 3 6 2 2 3" xfId="25546" xr:uid="{0C0CBC21-9944-4D8B-BDB3-0937CFE74667}"/>
    <cellStyle name="Normal 8 3 3 6 2 3" xfId="12894" xr:uid="{DCD0EA61-43C9-4537-9441-E0FDBD766CF8}"/>
    <cellStyle name="Normal 8 3 3 6 2 4" xfId="21329" xr:uid="{CC86E0C0-22B5-4686-9122-79B715A70FDA}"/>
    <cellStyle name="Normal 8 3 3 6 3" xfId="6517" xr:uid="{00000000-0005-0000-0000-0000A51D0000}"/>
    <cellStyle name="Normal 8 3 3 6 3 2" xfId="14967" xr:uid="{FEDD46BC-FEED-49B3-B4D1-52B29CFFBF4F}"/>
    <cellStyle name="Normal 8 3 3 6 3 3" xfId="23401" xr:uid="{EEE46585-839C-45C8-B539-4227EA68EB77}"/>
    <cellStyle name="Normal 8 3 3 6 4" xfId="10749" xr:uid="{AE9226BF-761B-4045-BF5A-798C4FCCAE77}"/>
    <cellStyle name="Normal 8 3 3 6 5" xfId="19184" xr:uid="{421FF436-F69D-481F-99BF-FE5D36D004B0}"/>
    <cellStyle name="Normal 8 3 3 7" xfId="2647" xr:uid="{00000000-0005-0000-0000-0000A61D0000}"/>
    <cellStyle name="Normal 8 3 3 7 2" xfId="6930" xr:uid="{00000000-0005-0000-0000-0000A71D0000}"/>
    <cellStyle name="Normal 8 3 3 7 2 2" xfId="15380" xr:uid="{C16A5CEE-1338-46C5-B56D-DDF07DBC4876}"/>
    <cellStyle name="Normal 8 3 3 7 2 3" xfId="23814" xr:uid="{A83AD57B-5AC7-48D5-A35B-404E1D041C64}"/>
    <cellStyle name="Normal 8 3 3 7 3" xfId="11162" xr:uid="{E37FE0D1-F433-4930-85FD-BE791E450693}"/>
    <cellStyle name="Normal 8 3 3 7 4" xfId="19597" xr:uid="{FFFE9305-32ED-420E-AE74-E1A563EE8D3A}"/>
    <cellStyle name="Normal 8 3 3 8" xfId="4865" xr:uid="{00000000-0005-0000-0000-0000A81D0000}"/>
    <cellStyle name="Normal 8 3 3 8 2" xfId="13315" xr:uid="{4776690E-78FB-43C2-BFDF-9A3460EE0478}"/>
    <cellStyle name="Normal 8 3 3 8 3" xfId="21749" xr:uid="{D8200F13-A9AE-4FEA-829C-15FB2197B012}"/>
    <cellStyle name="Normal 8 3 3 9" xfId="9097" xr:uid="{DF4F950D-505C-44FB-8135-45F826E3653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31790589-9B54-4132-AB9C-A77697C59395}"/>
    <cellStyle name="Normal 8 3 4 2 2 2 3" xfId="24309" xr:uid="{7ECDA843-D966-4636-88A8-6F79AAF2F991}"/>
    <cellStyle name="Normal 8 3 4 2 2 3" xfId="11657" xr:uid="{3C5D8015-FBF9-4D07-9D5D-E3172C7E1944}"/>
    <cellStyle name="Normal 8 3 4 2 2 4" xfId="20092" xr:uid="{B286AA2D-7193-41C4-958D-D569BCE269FD}"/>
    <cellStyle name="Normal 8 3 4 2 3" xfId="5280" xr:uid="{00000000-0005-0000-0000-0000AD1D0000}"/>
    <cellStyle name="Normal 8 3 4 2 3 2" xfId="13730" xr:uid="{A5E87EAE-5EE0-4309-8DA2-535ACD715755}"/>
    <cellStyle name="Normal 8 3 4 2 3 3" xfId="22164" xr:uid="{2C98C285-489A-408C-BEAA-3AC5A336E161}"/>
    <cellStyle name="Normal 8 3 4 2 4" xfId="9512" xr:uid="{7522E9F5-9D62-41FB-8BD8-075EAE007A9C}"/>
    <cellStyle name="Normal 8 3 4 2 5" xfId="17947" xr:uid="{42B08D11-7F97-437E-B9A7-71FCF9EB3F09}"/>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C798DB96-66F6-4642-8191-922744EAFB08}"/>
    <cellStyle name="Normal 8 3 4 3 2 2 3" xfId="24722" xr:uid="{0DA8D413-97A1-4CA1-9643-189D5900E163}"/>
    <cellStyle name="Normal 8 3 4 3 2 3" xfId="12070" xr:uid="{08428463-7BED-42D2-9C8F-7131E72D2034}"/>
    <cellStyle name="Normal 8 3 4 3 2 4" xfId="20505" xr:uid="{F97A322D-68A0-484B-AF44-59FEB4D359D2}"/>
    <cellStyle name="Normal 8 3 4 3 3" xfId="5693" xr:uid="{00000000-0005-0000-0000-0000B11D0000}"/>
    <cellStyle name="Normal 8 3 4 3 3 2" xfId="14143" xr:uid="{360EF4AE-BA88-43DB-943B-AA63F2883DEF}"/>
    <cellStyle name="Normal 8 3 4 3 3 3" xfId="22577" xr:uid="{1639FCD6-7B96-43C9-B88A-E1D01493913E}"/>
    <cellStyle name="Normal 8 3 4 3 4" xfId="9925" xr:uid="{884FDAE9-A402-48DF-A5B5-1CB33BBDDB76}"/>
    <cellStyle name="Normal 8 3 4 3 5" xfId="18360" xr:uid="{37B01974-E683-4D56-AFBE-390527E1095C}"/>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ABF0BF98-8766-4735-80B0-A9A6ED41F523}"/>
    <cellStyle name="Normal 8 3 4 4 2 2 3" xfId="25135" xr:uid="{BB6AD1C9-C1E6-40F8-B74E-F8A40E184259}"/>
    <cellStyle name="Normal 8 3 4 4 2 3" xfId="12483" xr:uid="{64CAA63D-B1E0-4F07-A6C3-E79AC9108A14}"/>
    <cellStyle name="Normal 8 3 4 4 2 4" xfId="20918" xr:uid="{B3C43776-4EB8-4A57-A70D-08757A4C25F7}"/>
    <cellStyle name="Normal 8 3 4 4 3" xfId="6106" xr:uid="{00000000-0005-0000-0000-0000B51D0000}"/>
    <cellStyle name="Normal 8 3 4 4 3 2" xfId="14556" xr:uid="{40F7435E-3E2C-4008-99FB-0778A4C142EB}"/>
    <cellStyle name="Normal 8 3 4 4 3 3" xfId="22990" xr:uid="{D9B78AC9-9EFA-4FFF-A62C-3610AEFBA38A}"/>
    <cellStyle name="Normal 8 3 4 4 4" xfId="10338" xr:uid="{B4A198CD-695F-450F-8E6B-7AF423FF5F9F}"/>
    <cellStyle name="Normal 8 3 4 4 5" xfId="18773" xr:uid="{D9955776-7B52-41F0-BC7D-8C617DD37EF1}"/>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EC7D93B1-4D63-464F-91D0-BE74D8A5E654}"/>
    <cellStyle name="Normal 8 3 4 5 2 2 3" xfId="25548" xr:uid="{9F75FDB9-4B2C-4158-AC20-363F83BB7DCA}"/>
    <cellStyle name="Normal 8 3 4 5 2 3" xfId="12896" xr:uid="{1B30659A-A780-4023-A273-D797FBBCFE42}"/>
    <cellStyle name="Normal 8 3 4 5 2 4" xfId="21331" xr:uid="{F7AEA3B4-1E0B-4C7C-A8C5-24A3F5CE64C8}"/>
    <cellStyle name="Normal 8 3 4 5 3" xfId="6519" xr:uid="{00000000-0005-0000-0000-0000B91D0000}"/>
    <cellStyle name="Normal 8 3 4 5 3 2" xfId="14969" xr:uid="{B1FB79D9-B0E5-43EB-8520-66258DF8932D}"/>
    <cellStyle name="Normal 8 3 4 5 3 3" xfId="23403" xr:uid="{E8EAF8F9-DF6D-4ECD-9EC1-1366A5D5A1BC}"/>
    <cellStyle name="Normal 8 3 4 5 4" xfId="10751" xr:uid="{FAAE8EEE-E598-4F82-AF0E-F758F280D64E}"/>
    <cellStyle name="Normal 8 3 4 5 5" xfId="19186" xr:uid="{6C0F7598-63CA-47AC-ADCC-7DB379BE296B}"/>
    <cellStyle name="Normal 8 3 4 6" xfId="2649" xr:uid="{00000000-0005-0000-0000-0000BA1D0000}"/>
    <cellStyle name="Normal 8 3 4 6 2" xfId="6932" xr:uid="{00000000-0005-0000-0000-0000BB1D0000}"/>
    <cellStyle name="Normal 8 3 4 6 2 2" xfId="15382" xr:uid="{4BC323CF-7CC6-460E-BB23-683EFA501A31}"/>
    <cellStyle name="Normal 8 3 4 6 2 3" xfId="23816" xr:uid="{6827FD92-5A95-4425-ABC4-AB1BE3609DF6}"/>
    <cellStyle name="Normal 8 3 4 6 3" xfId="11164" xr:uid="{6EDD5885-3FFC-4E5D-8AD6-72EE4207C4F7}"/>
    <cellStyle name="Normal 8 3 4 6 4" xfId="19599" xr:uid="{AEB355CE-233F-43C2-AEC0-42C8AE6446D7}"/>
    <cellStyle name="Normal 8 3 4 7" xfId="4867" xr:uid="{00000000-0005-0000-0000-0000BC1D0000}"/>
    <cellStyle name="Normal 8 3 4 7 2" xfId="13317" xr:uid="{07E69A28-5232-4B01-97BA-86AAFFDADCB1}"/>
    <cellStyle name="Normal 8 3 4 7 3" xfId="21751" xr:uid="{2F21419F-73F4-4F61-94FD-8146A03CDE17}"/>
    <cellStyle name="Normal 8 3 4 8" xfId="9099" xr:uid="{CF458927-665E-45E3-98B0-41A6EBB89058}"/>
    <cellStyle name="Normal 8 3 4 9" xfId="17534" xr:uid="{70D63127-C97E-4BA7-A310-6E28EE7FBCD1}"/>
    <cellStyle name="Normal 8 3 5" xfId="962" xr:uid="{00000000-0005-0000-0000-0000BD1D0000}"/>
    <cellStyle name="Normal 8 3 5 2" xfId="3196" xr:uid="{00000000-0005-0000-0000-0000BE1D0000}"/>
    <cellStyle name="Normal 8 3 5 2 2" xfId="7418" xr:uid="{00000000-0005-0000-0000-0000BF1D0000}"/>
    <cellStyle name="Normal 8 3 5 2 2 2" xfId="15868" xr:uid="{DCAD40A5-BB67-45AA-AA76-8F410F09A967}"/>
    <cellStyle name="Normal 8 3 5 2 2 3" xfId="24302" xr:uid="{8A52FB92-E810-4E26-BAE2-24D18A88C9F6}"/>
    <cellStyle name="Normal 8 3 5 2 3" xfId="11650" xr:uid="{6E3C7D0D-D171-4FA9-8EFF-8096EAC9B956}"/>
    <cellStyle name="Normal 8 3 5 2 4" xfId="20085" xr:uid="{868107E1-62C1-4B83-AACE-122C90E40209}"/>
    <cellStyle name="Normal 8 3 5 3" xfId="5273" xr:uid="{00000000-0005-0000-0000-0000C01D0000}"/>
    <cellStyle name="Normal 8 3 5 3 2" xfId="13723" xr:uid="{D3AF969B-023F-451E-BAA8-5B540CB3036E}"/>
    <cellStyle name="Normal 8 3 5 3 3" xfId="22157" xr:uid="{E419C77D-59D9-451C-B27E-06403323B880}"/>
    <cellStyle name="Normal 8 3 5 4" xfId="9505" xr:uid="{0B84C17F-F187-46CE-AF75-CBA0C221E19D}"/>
    <cellStyle name="Normal 8 3 5 5" xfId="17940" xr:uid="{EE5036DB-9B6D-4191-9521-EC11C946DA49}"/>
    <cellStyle name="Normal 8 3 6" xfId="1379" xr:uid="{00000000-0005-0000-0000-0000C11D0000}"/>
    <cellStyle name="Normal 8 3 6 2" xfId="3609" xr:uid="{00000000-0005-0000-0000-0000C21D0000}"/>
    <cellStyle name="Normal 8 3 6 2 2" xfId="7831" xr:uid="{00000000-0005-0000-0000-0000C31D0000}"/>
    <cellStyle name="Normal 8 3 6 2 2 2" xfId="16281" xr:uid="{7CC9DE09-64F0-4DE9-AC76-91C480F48553}"/>
    <cellStyle name="Normal 8 3 6 2 2 3" xfId="24715" xr:uid="{76EE7753-9B7E-4443-8F4A-02345850D172}"/>
    <cellStyle name="Normal 8 3 6 2 3" xfId="12063" xr:uid="{CDD0E303-19CE-43D9-8D9C-494D083F5806}"/>
    <cellStyle name="Normal 8 3 6 2 4" xfId="20498" xr:uid="{5AD97E18-F282-45C3-84F1-C36F7BEBD6A6}"/>
    <cellStyle name="Normal 8 3 6 3" xfId="5686" xr:uid="{00000000-0005-0000-0000-0000C41D0000}"/>
    <cellStyle name="Normal 8 3 6 3 2" xfId="14136" xr:uid="{AD297903-47ED-46D4-8509-D37E9AF4308A}"/>
    <cellStyle name="Normal 8 3 6 3 3" xfId="22570" xr:uid="{BA953B1A-9398-490B-B183-0408C914ED07}"/>
    <cellStyle name="Normal 8 3 6 4" xfId="9918" xr:uid="{F10171EF-3F45-4460-A486-BCCFCD301880}"/>
    <cellStyle name="Normal 8 3 6 5" xfId="18353" xr:uid="{38556E6D-5DD2-4E28-B04D-AB2DEACD9C5D}"/>
    <cellStyle name="Normal 8 3 7" xfId="1792" xr:uid="{00000000-0005-0000-0000-0000C51D0000}"/>
    <cellStyle name="Normal 8 3 7 2" xfId="4022" xr:uid="{00000000-0005-0000-0000-0000C61D0000}"/>
    <cellStyle name="Normal 8 3 7 2 2" xfId="8244" xr:uid="{00000000-0005-0000-0000-0000C71D0000}"/>
    <cellStyle name="Normal 8 3 7 2 2 2" xfId="16694" xr:uid="{6012965E-D3B1-42F4-8F28-6657346AC9DB}"/>
    <cellStyle name="Normal 8 3 7 2 2 3" xfId="25128" xr:uid="{7E66B72F-E90A-42B6-B1F5-7F9F037BF42C}"/>
    <cellStyle name="Normal 8 3 7 2 3" xfId="12476" xr:uid="{7A7BE089-F575-4223-B351-0AA70241D4B8}"/>
    <cellStyle name="Normal 8 3 7 2 4" xfId="20911" xr:uid="{EEAD7C1A-C856-414B-BBA7-66ECE1E114ED}"/>
    <cellStyle name="Normal 8 3 7 3" xfId="6099" xr:uid="{00000000-0005-0000-0000-0000C81D0000}"/>
    <cellStyle name="Normal 8 3 7 3 2" xfId="14549" xr:uid="{AD9E0B73-9A11-486F-B79A-98A5362B122F}"/>
    <cellStyle name="Normal 8 3 7 3 3" xfId="22983" xr:uid="{213C66D3-9F78-4359-9263-A5D24682CD74}"/>
    <cellStyle name="Normal 8 3 7 4" xfId="10331" xr:uid="{EA942DA6-A07C-4ABC-8DB1-83C9B4FDFC1F}"/>
    <cellStyle name="Normal 8 3 7 5" xfId="18766" xr:uid="{D86BCA77-D399-456C-B62F-F45BA25F1E66}"/>
    <cellStyle name="Normal 8 3 8" xfId="2206" xr:uid="{00000000-0005-0000-0000-0000C91D0000}"/>
    <cellStyle name="Normal 8 3 8 2" xfId="4435" xr:uid="{00000000-0005-0000-0000-0000CA1D0000}"/>
    <cellStyle name="Normal 8 3 8 2 2" xfId="8657" xr:uid="{00000000-0005-0000-0000-0000CB1D0000}"/>
    <cellStyle name="Normal 8 3 8 2 2 2" xfId="17107" xr:uid="{AC75ACDE-EBA0-4DE0-B4FC-4D1E57453DC1}"/>
    <cellStyle name="Normal 8 3 8 2 2 3" xfId="25541" xr:uid="{A6E29642-169A-4420-AB13-FF22FEF0086E}"/>
    <cellStyle name="Normal 8 3 8 2 3" xfId="12889" xr:uid="{01C5D72C-2DF0-4E3F-964E-171E16C09111}"/>
    <cellStyle name="Normal 8 3 8 2 4" xfId="21324" xr:uid="{41490E22-E65E-4D9C-B382-4C5F1B81B623}"/>
    <cellStyle name="Normal 8 3 8 3" xfId="6512" xr:uid="{00000000-0005-0000-0000-0000CC1D0000}"/>
    <cellStyle name="Normal 8 3 8 3 2" xfId="14962" xr:uid="{3CF1665D-0EDD-42C2-B2B1-3301F6FD0F06}"/>
    <cellStyle name="Normal 8 3 8 3 3" xfId="23396" xr:uid="{1B14E66B-4450-4008-BF37-9925C47C439F}"/>
    <cellStyle name="Normal 8 3 8 4" xfId="10744" xr:uid="{7F8C8217-3EB6-48C0-A178-34F12E7113BF}"/>
    <cellStyle name="Normal 8 3 8 5" xfId="19179" xr:uid="{E3845452-2171-4776-BDBE-1071E3CE6DFB}"/>
    <cellStyle name="Normal 8 3 9" xfId="2642" xr:uid="{00000000-0005-0000-0000-0000CD1D0000}"/>
    <cellStyle name="Normal 8 3 9 2" xfId="6925" xr:uid="{00000000-0005-0000-0000-0000CE1D0000}"/>
    <cellStyle name="Normal 8 3 9 2 2" xfId="15375" xr:uid="{1D02E626-F786-435E-BF54-32EDED3C6034}"/>
    <cellStyle name="Normal 8 3 9 2 3" xfId="23809" xr:uid="{60C142A5-0251-4CD3-81EE-F2390251862B}"/>
    <cellStyle name="Normal 8 3 9 3" xfId="11157" xr:uid="{7EBA58B5-D54F-41C2-B9DC-DCDCA444FFCD}"/>
    <cellStyle name="Normal 8 3 9 4" xfId="19592" xr:uid="{42B1275E-3A86-4D7E-A0F0-D50D7B476168}"/>
    <cellStyle name="Normal 8 4" xfId="503" xr:uid="{00000000-0005-0000-0000-0000CF1D0000}"/>
    <cellStyle name="Normal 8 4 10" xfId="9100" xr:uid="{B8E023F4-D2A4-48D5-AC92-0205FB30BA8C}"/>
    <cellStyle name="Normal 8 4 11" xfId="17535" xr:uid="{10A67112-4046-44A1-B1F7-017C8A828936}"/>
    <cellStyle name="Normal 8 4 2" xfId="504" xr:uid="{00000000-0005-0000-0000-0000D01D0000}"/>
    <cellStyle name="Normal 8 4 2 10" xfId="17536" xr:uid="{673C7671-3791-4C87-97F0-B140DC755C33}"/>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2F56F7C2-E372-490A-984F-F89BAAB9D762}"/>
    <cellStyle name="Normal 8 4 2 2 2 2 2 3" xfId="24312" xr:uid="{24E6E907-E98C-49D1-817B-339C96CB450B}"/>
    <cellStyle name="Normal 8 4 2 2 2 2 3" xfId="11660" xr:uid="{54CFB53E-0FCF-4E02-A7B5-DA335554D316}"/>
    <cellStyle name="Normal 8 4 2 2 2 2 4" xfId="20095" xr:uid="{F907D532-0CB8-4D03-B936-AC90C5D4427E}"/>
    <cellStyle name="Normal 8 4 2 2 2 3" xfId="5283" xr:uid="{00000000-0005-0000-0000-0000D51D0000}"/>
    <cellStyle name="Normal 8 4 2 2 2 3 2" xfId="13733" xr:uid="{1253821E-08EA-4E70-8B41-CD74D103B3A7}"/>
    <cellStyle name="Normal 8 4 2 2 2 3 3" xfId="22167" xr:uid="{AF6C6776-B1A7-47E5-9D49-0E8FF71EC7F4}"/>
    <cellStyle name="Normal 8 4 2 2 2 4" xfId="9515" xr:uid="{FBAF7D64-D6A3-4CC9-B757-59250D0CBEBF}"/>
    <cellStyle name="Normal 8 4 2 2 2 5" xfId="17950" xr:uid="{486A7588-6D51-493E-9821-862940BAAB1D}"/>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8DF19468-B561-43B5-8E91-92C1DE3AF1FF}"/>
    <cellStyle name="Normal 8 4 2 2 3 2 2 3" xfId="24725" xr:uid="{7811724D-0453-47D4-9849-980FD5301E97}"/>
    <cellStyle name="Normal 8 4 2 2 3 2 3" xfId="12073" xr:uid="{FE945D6E-1D73-4757-836F-1C210E1D90E8}"/>
    <cellStyle name="Normal 8 4 2 2 3 2 4" xfId="20508" xr:uid="{701F7763-C53C-4C31-B15A-CBB3D2A94BF4}"/>
    <cellStyle name="Normal 8 4 2 2 3 3" xfId="5696" xr:uid="{00000000-0005-0000-0000-0000D91D0000}"/>
    <cellStyle name="Normal 8 4 2 2 3 3 2" xfId="14146" xr:uid="{C0643455-D8C2-4600-BBF2-CDA8BF1DB99B}"/>
    <cellStyle name="Normal 8 4 2 2 3 3 3" xfId="22580" xr:uid="{7E767898-B7B7-4084-A38B-C1AEF691FCAC}"/>
    <cellStyle name="Normal 8 4 2 2 3 4" xfId="9928" xr:uid="{B9460CD1-BC74-466A-8D57-AC96D19F80BE}"/>
    <cellStyle name="Normal 8 4 2 2 3 5" xfId="18363" xr:uid="{B966013D-2FC8-4542-A5BA-2EB60E7DE9A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9026F8FE-CD81-45CF-A3BD-94F5CED3A7D7}"/>
    <cellStyle name="Normal 8 4 2 2 4 2 2 3" xfId="25138" xr:uid="{B2EC9E6A-77B0-47C1-84C7-48B2DC9C4DDD}"/>
    <cellStyle name="Normal 8 4 2 2 4 2 3" xfId="12486" xr:uid="{C1C7CCF5-FD64-49AF-9663-9FE144EDDF85}"/>
    <cellStyle name="Normal 8 4 2 2 4 2 4" xfId="20921" xr:uid="{318F43D1-9BDA-4D8A-9D9C-2A01EC0D9C28}"/>
    <cellStyle name="Normal 8 4 2 2 4 3" xfId="6109" xr:uid="{00000000-0005-0000-0000-0000DD1D0000}"/>
    <cellStyle name="Normal 8 4 2 2 4 3 2" xfId="14559" xr:uid="{3CD3AB59-8432-4115-AFD8-EA34B28E3079}"/>
    <cellStyle name="Normal 8 4 2 2 4 3 3" xfId="22993" xr:uid="{2B7979D9-5B66-4F47-9C2B-EFF1B1C91E42}"/>
    <cellStyle name="Normal 8 4 2 2 4 4" xfId="10341" xr:uid="{22EA2A89-A585-4466-99C9-7197552A6F14}"/>
    <cellStyle name="Normal 8 4 2 2 4 5" xfId="18776" xr:uid="{B5DF5B1C-E998-49D0-8A9C-53160B0B01B7}"/>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06A8176B-E6B3-4014-805B-2C1053C2515A}"/>
    <cellStyle name="Normal 8 4 2 2 5 2 2 3" xfId="25551" xr:uid="{5B6BDA1B-1DD1-4E53-BAAC-A21362676BBD}"/>
    <cellStyle name="Normal 8 4 2 2 5 2 3" xfId="12899" xr:uid="{2757B4DB-4D6A-4320-822F-A41AE6BB35D0}"/>
    <cellStyle name="Normal 8 4 2 2 5 2 4" xfId="21334" xr:uid="{25B30242-ABE4-48BA-8DAC-03E67A82D22E}"/>
    <cellStyle name="Normal 8 4 2 2 5 3" xfId="6522" xr:uid="{00000000-0005-0000-0000-0000E11D0000}"/>
    <cellStyle name="Normal 8 4 2 2 5 3 2" xfId="14972" xr:uid="{84E5186D-677C-4DBE-B8F1-96C52F653196}"/>
    <cellStyle name="Normal 8 4 2 2 5 3 3" xfId="23406" xr:uid="{24F6E3FC-3B9D-4AA1-A78A-5B9B4C22A869}"/>
    <cellStyle name="Normal 8 4 2 2 5 4" xfId="10754" xr:uid="{F3E4602C-DE64-415D-AE35-66C697A5E4C9}"/>
    <cellStyle name="Normal 8 4 2 2 5 5" xfId="19189" xr:uid="{9460B310-172B-44EF-8664-2DE5D0395C6D}"/>
    <cellStyle name="Normal 8 4 2 2 6" xfId="2652" xr:uid="{00000000-0005-0000-0000-0000E21D0000}"/>
    <cellStyle name="Normal 8 4 2 2 6 2" xfId="6935" xr:uid="{00000000-0005-0000-0000-0000E31D0000}"/>
    <cellStyle name="Normal 8 4 2 2 6 2 2" xfId="15385" xr:uid="{F9702800-901F-45B6-A548-4687A86DF8FA}"/>
    <cellStyle name="Normal 8 4 2 2 6 2 3" xfId="23819" xr:uid="{F1E79729-7E9E-442A-B580-6C8C2E7E51B8}"/>
    <cellStyle name="Normal 8 4 2 2 6 3" xfId="11167" xr:uid="{76AFD31C-2817-4D06-858E-039E4C368756}"/>
    <cellStyle name="Normal 8 4 2 2 6 4" xfId="19602" xr:uid="{CB5C74F1-7D8E-4BA8-999F-06DFB6A19C52}"/>
    <cellStyle name="Normal 8 4 2 2 7" xfId="4870" xr:uid="{00000000-0005-0000-0000-0000E41D0000}"/>
    <cellStyle name="Normal 8 4 2 2 7 2" xfId="13320" xr:uid="{1B42361A-3521-44BA-8884-2816F159F887}"/>
    <cellStyle name="Normal 8 4 2 2 7 3" xfId="21754" xr:uid="{689206EA-A4A0-4AFA-9D82-4D5835723D25}"/>
    <cellStyle name="Normal 8 4 2 2 8" xfId="9102" xr:uid="{6517295E-55E7-40FC-8A3B-BC95D2302E48}"/>
    <cellStyle name="Normal 8 4 2 2 9" xfId="17537" xr:uid="{B0F2B24B-9C64-4046-A9E0-B22BADC521DA}"/>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450880AA-FB10-4118-8188-B545FDC2A8EA}"/>
    <cellStyle name="Normal 8 4 2 3 2 2 3" xfId="24311" xr:uid="{1431DCF5-7386-445D-893E-6575800E398D}"/>
    <cellStyle name="Normal 8 4 2 3 2 3" xfId="11659" xr:uid="{57A18079-98B3-4649-9175-6BAB52AEE7D8}"/>
    <cellStyle name="Normal 8 4 2 3 2 4" xfId="20094" xr:uid="{54B24B37-535E-493C-98DB-E6CDDF6270D6}"/>
    <cellStyle name="Normal 8 4 2 3 3" xfId="5282" xr:uid="{00000000-0005-0000-0000-0000E81D0000}"/>
    <cellStyle name="Normal 8 4 2 3 3 2" xfId="13732" xr:uid="{E20C5833-FBC6-45E8-9BA6-C0DC9982D7D3}"/>
    <cellStyle name="Normal 8 4 2 3 3 3" xfId="22166" xr:uid="{D3689B96-5278-4801-852C-12E360A8809D}"/>
    <cellStyle name="Normal 8 4 2 3 4" xfId="9514" xr:uid="{9210410D-2615-4EC8-9B5E-72751FBF8881}"/>
    <cellStyle name="Normal 8 4 2 3 5" xfId="17949" xr:uid="{DE43D563-369A-401B-B471-6B111D03E721}"/>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16C7F321-904C-46C0-812C-6210A0D0F78D}"/>
    <cellStyle name="Normal 8 4 2 4 2 2 3" xfId="24724" xr:uid="{9CF31761-4ADA-40F0-8CE2-0E8B74CE6A43}"/>
    <cellStyle name="Normal 8 4 2 4 2 3" xfId="12072" xr:uid="{5BFDDC38-1138-417D-8F76-BCF4A7B4BFC9}"/>
    <cellStyle name="Normal 8 4 2 4 2 4" xfId="20507" xr:uid="{F84ECC7F-40B2-48D6-AFE0-D043F1BDEA5D}"/>
    <cellStyle name="Normal 8 4 2 4 3" xfId="5695" xr:uid="{00000000-0005-0000-0000-0000EC1D0000}"/>
    <cellStyle name="Normal 8 4 2 4 3 2" xfId="14145" xr:uid="{A68F16BA-4FB6-4019-BD0E-A0866B93E853}"/>
    <cellStyle name="Normal 8 4 2 4 3 3" xfId="22579" xr:uid="{A09953EB-04DC-4A3D-BF9C-867893D65309}"/>
    <cellStyle name="Normal 8 4 2 4 4" xfId="9927" xr:uid="{84CB551F-EB74-45F8-9F23-F94A9226E87C}"/>
    <cellStyle name="Normal 8 4 2 4 5" xfId="18362" xr:uid="{3A2907F8-3E82-4578-A55D-1DCEB0058FAD}"/>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F016D9F4-51CC-495F-8443-BA9E412E9C6B}"/>
    <cellStyle name="Normal 8 4 2 5 2 2 3" xfId="25137" xr:uid="{FE11501B-1B98-45DA-97DC-FD67C51BC65F}"/>
    <cellStyle name="Normal 8 4 2 5 2 3" xfId="12485" xr:uid="{8A5BCBB1-5330-429A-BE46-8F0A66FDFB69}"/>
    <cellStyle name="Normal 8 4 2 5 2 4" xfId="20920" xr:uid="{9A85BA6E-B478-492A-BF7F-8F60CBFDED25}"/>
    <cellStyle name="Normal 8 4 2 5 3" xfId="6108" xr:uid="{00000000-0005-0000-0000-0000F01D0000}"/>
    <cellStyle name="Normal 8 4 2 5 3 2" xfId="14558" xr:uid="{7E2506E5-714E-4B2A-ABAF-56B47AB058EF}"/>
    <cellStyle name="Normal 8 4 2 5 3 3" xfId="22992" xr:uid="{81BCCB4F-B2CC-4903-AD1B-D9244DC635C5}"/>
    <cellStyle name="Normal 8 4 2 5 4" xfId="10340" xr:uid="{054D3DFA-495B-4660-9E05-9EADEC0752F9}"/>
    <cellStyle name="Normal 8 4 2 5 5" xfId="18775" xr:uid="{6137752C-7CB9-49F0-8444-BC3CAEB8882B}"/>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A4957759-7F81-4475-83EC-7DD5BFD1C567}"/>
    <cellStyle name="Normal 8 4 2 6 2 2 3" xfId="25550" xr:uid="{B5A6246F-C71B-4A61-B981-D250B2F9A9B1}"/>
    <cellStyle name="Normal 8 4 2 6 2 3" xfId="12898" xr:uid="{646B541F-B5BE-4D41-9D67-FF77CF24298C}"/>
    <cellStyle name="Normal 8 4 2 6 2 4" xfId="21333" xr:uid="{8E83F9B2-E32D-4C15-B97D-7A79C8B630AD}"/>
    <cellStyle name="Normal 8 4 2 6 3" xfId="6521" xr:uid="{00000000-0005-0000-0000-0000F41D0000}"/>
    <cellStyle name="Normal 8 4 2 6 3 2" xfId="14971" xr:uid="{0A6964E4-989A-4034-AE47-E010A2AE87A0}"/>
    <cellStyle name="Normal 8 4 2 6 3 3" xfId="23405" xr:uid="{FB2E7BD7-9B23-491B-B7C5-8ECA0D0F7EF1}"/>
    <cellStyle name="Normal 8 4 2 6 4" xfId="10753" xr:uid="{DDB9E76B-7EE1-4D98-AB20-56E27BFE6C62}"/>
    <cellStyle name="Normal 8 4 2 6 5" xfId="19188" xr:uid="{01667D51-0C88-42A1-B71D-A032A6089919}"/>
    <cellStyle name="Normal 8 4 2 7" xfId="2651" xr:uid="{00000000-0005-0000-0000-0000F51D0000}"/>
    <cellStyle name="Normal 8 4 2 7 2" xfId="6934" xr:uid="{00000000-0005-0000-0000-0000F61D0000}"/>
    <cellStyle name="Normal 8 4 2 7 2 2" xfId="15384" xr:uid="{EB7451FF-4510-4A4F-BA31-3F60BFE11BD7}"/>
    <cellStyle name="Normal 8 4 2 7 2 3" xfId="23818" xr:uid="{1988A2EB-C929-4A03-B9D5-6EAFE61EF845}"/>
    <cellStyle name="Normal 8 4 2 7 3" xfId="11166" xr:uid="{BC2EC280-92B2-4CE5-BCE7-FA7B1749B296}"/>
    <cellStyle name="Normal 8 4 2 7 4" xfId="19601" xr:uid="{E85E225F-169A-464C-B513-4393E74B43D0}"/>
    <cellStyle name="Normal 8 4 2 8" xfId="4869" xr:uid="{00000000-0005-0000-0000-0000F71D0000}"/>
    <cellStyle name="Normal 8 4 2 8 2" xfId="13319" xr:uid="{8E9421BE-6242-4FC6-B163-4845545C8ADC}"/>
    <cellStyle name="Normal 8 4 2 8 3" xfId="21753" xr:uid="{B7A577B6-B859-457C-9732-5336E8975B54}"/>
    <cellStyle name="Normal 8 4 2 9" xfId="9101" xr:uid="{213B3CEF-2BD1-448F-99FC-180D55FB0747}"/>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DE33540F-9CEC-4E78-AC1E-7A70A8388B77}"/>
    <cellStyle name="Normal 8 4 3 2 2 2 3" xfId="24313" xr:uid="{A271DB3E-F041-4FE6-88E7-AADDA643CF02}"/>
    <cellStyle name="Normal 8 4 3 2 2 3" xfId="11661" xr:uid="{71E1E6EA-4E8C-46D7-99ED-4D93F111ED35}"/>
    <cellStyle name="Normal 8 4 3 2 2 4" xfId="20096" xr:uid="{0CA151B8-DA41-49CC-9003-BEDE6FF4969A}"/>
    <cellStyle name="Normal 8 4 3 2 3" xfId="5284" xr:uid="{00000000-0005-0000-0000-0000FC1D0000}"/>
    <cellStyle name="Normal 8 4 3 2 3 2" xfId="13734" xr:uid="{D6724F85-4A3E-4965-8B62-F71B3AE9EFB0}"/>
    <cellStyle name="Normal 8 4 3 2 3 3" xfId="22168" xr:uid="{CC588299-EA54-4860-B6AE-611A5B790669}"/>
    <cellStyle name="Normal 8 4 3 2 4" xfId="9516" xr:uid="{3B68FC10-ECAD-4606-A2F9-D5356B8B27B8}"/>
    <cellStyle name="Normal 8 4 3 2 5" xfId="17951" xr:uid="{678F6743-0B68-4823-AFD5-ECEE04DA50C6}"/>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E5CE173B-556B-4E4B-AA13-59B58D5FA71D}"/>
    <cellStyle name="Normal 8 4 3 3 2 2 3" xfId="24726" xr:uid="{02D15848-2D1C-4410-BC63-73E68CB89749}"/>
    <cellStyle name="Normal 8 4 3 3 2 3" xfId="12074" xr:uid="{36F74C82-2DDF-4801-8167-10DE2021CC77}"/>
    <cellStyle name="Normal 8 4 3 3 2 4" xfId="20509" xr:uid="{606D5A73-424B-4AF3-A040-AEFF254E2973}"/>
    <cellStyle name="Normal 8 4 3 3 3" xfId="5697" xr:uid="{00000000-0005-0000-0000-0000001E0000}"/>
    <cellStyle name="Normal 8 4 3 3 3 2" xfId="14147" xr:uid="{D65736E5-F6CB-4CDD-A60A-9B9EDD5C41AC}"/>
    <cellStyle name="Normal 8 4 3 3 3 3" xfId="22581" xr:uid="{1156DBBB-F0BB-4597-95F6-14D99866D208}"/>
    <cellStyle name="Normal 8 4 3 3 4" xfId="9929" xr:uid="{5187A839-AD58-440F-87CD-03A9E723EB4B}"/>
    <cellStyle name="Normal 8 4 3 3 5" xfId="18364" xr:uid="{ED28C27A-71DC-4E91-8F19-1139CC32CB50}"/>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BA1A2E02-D5F4-44E0-ADE1-BFF7FBF0909B}"/>
    <cellStyle name="Normal 8 4 3 4 2 2 3" xfId="25139" xr:uid="{EDD63C08-35B3-47F0-BDEA-00A889D17AF4}"/>
    <cellStyle name="Normal 8 4 3 4 2 3" xfId="12487" xr:uid="{144D5A13-3AFD-4240-9430-B25797928E56}"/>
    <cellStyle name="Normal 8 4 3 4 2 4" xfId="20922" xr:uid="{00E55F70-6930-4C8F-A6F5-E652C70BA0D2}"/>
    <cellStyle name="Normal 8 4 3 4 3" xfId="6110" xr:uid="{00000000-0005-0000-0000-0000041E0000}"/>
    <cellStyle name="Normal 8 4 3 4 3 2" xfId="14560" xr:uid="{8AB5D1CA-0D6D-4738-82BE-C177A27555EB}"/>
    <cellStyle name="Normal 8 4 3 4 3 3" xfId="22994" xr:uid="{4A803BF3-C3F6-4A29-B3C6-88115C47BB61}"/>
    <cellStyle name="Normal 8 4 3 4 4" xfId="10342" xr:uid="{C435555C-982D-4B5E-9315-5643842E8606}"/>
    <cellStyle name="Normal 8 4 3 4 5" xfId="18777" xr:uid="{D1A20FEB-AC8B-45D4-8EE7-10CF58F9CCF3}"/>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D25C028-C826-4B0D-AC6B-CBDC23605DA8}"/>
    <cellStyle name="Normal 8 4 3 5 2 2 3" xfId="25552" xr:uid="{AE6B9897-A621-4490-B780-7ECDFB0431BD}"/>
    <cellStyle name="Normal 8 4 3 5 2 3" xfId="12900" xr:uid="{09FBF31F-4256-457D-8234-05B8D865CAA0}"/>
    <cellStyle name="Normal 8 4 3 5 2 4" xfId="21335" xr:uid="{3B8DCAB7-69CA-4D66-9CCB-0926A96DFA0C}"/>
    <cellStyle name="Normal 8 4 3 5 3" xfId="6523" xr:uid="{00000000-0005-0000-0000-0000081E0000}"/>
    <cellStyle name="Normal 8 4 3 5 3 2" xfId="14973" xr:uid="{06CC96BA-E648-4DAE-8054-52A7B40E16E2}"/>
    <cellStyle name="Normal 8 4 3 5 3 3" xfId="23407" xr:uid="{EEC7744B-AAE8-4D74-8A61-B8D073076996}"/>
    <cellStyle name="Normal 8 4 3 5 4" xfId="10755" xr:uid="{F9CBE74E-D9D0-42B8-996A-CCB71DD389D8}"/>
    <cellStyle name="Normal 8 4 3 5 5" xfId="19190" xr:uid="{B8579DE7-1E92-4805-9C50-85287B376DE8}"/>
    <cellStyle name="Normal 8 4 3 6" xfId="2653" xr:uid="{00000000-0005-0000-0000-0000091E0000}"/>
    <cellStyle name="Normal 8 4 3 6 2" xfId="6936" xr:uid="{00000000-0005-0000-0000-00000A1E0000}"/>
    <cellStyle name="Normal 8 4 3 6 2 2" xfId="15386" xr:uid="{B82D0EED-3AE6-4354-86C2-0CE3B3C1142B}"/>
    <cellStyle name="Normal 8 4 3 6 2 3" xfId="23820" xr:uid="{318F75E9-5386-4B95-8C30-ED7B353658DB}"/>
    <cellStyle name="Normal 8 4 3 6 3" xfId="11168" xr:uid="{4034EEBA-B74E-4CF2-A3C5-1FF7418377A9}"/>
    <cellStyle name="Normal 8 4 3 6 4" xfId="19603" xr:uid="{50EF1466-9736-4B77-8A18-920E1C393BCF}"/>
    <cellStyle name="Normal 8 4 3 7" xfId="4871" xr:uid="{00000000-0005-0000-0000-00000B1E0000}"/>
    <cellStyle name="Normal 8 4 3 7 2" xfId="13321" xr:uid="{B94C0E74-F285-432A-ABE1-A45132356AA7}"/>
    <cellStyle name="Normal 8 4 3 7 3" xfId="21755" xr:uid="{8EDA245F-B82B-4ACE-8256-759A218B226F}"/>
    <cellStyle name="Normal 8 4 3 8" xfId="9103" xr:uid="{7D76D0D6-B04F-405C-9080-0BCCF65555DF}"/>
    <cellStyle name="Normal 8 4 3 9" xfId="17538" xr:uid="{39B4EBF6-9F96-4798-9376-B7FDA0AB9436}"/>
    <cellStyle name="Normal 8 4 4" xfId="970" xr:uid="{00000000-0005-0000-0000-00000C1E0000}"/>
    <cellStyle name="Normal 8 4 4 2" xfId="3204" xr:uid="{00000000-0005-0000-0000-00000D1E0000}"/>
    <cellStyle name="Normal 8 4 4 2 2" xfId="7426" xr:uid="{00000000-0005-0000-0000-00000E1E0000}"/>
    <cellStyle name="Normal 8 4 4 2 2 2" xfId="15876" xr:uid="{556137E8-F7FA-4096-A62B-284D169F933B}"/>
    <cellStyle name="Normal 8 4 4 2 2 3" xfId="24310" xr:uid="{69256001-DD09-4406-B35A-DF0873B8568E}"/>
    <cellStyle name="Normal 8 4 4 2 3" xfId="11658" xr:uid="{253B2A1A-C7AC-4116-8207-0FC336727B75}"/>
    <cellStyle name="Normal 8 4 4 2 4" xfId="20093" xr:uid="{F0F3572E-5FD2-437C-96EA-D14C4A48F69E}"/>
    <cellStyle name="Normal 8 4 4 3" xfId="5281" xr:uid="{00000000-0005-0000-0000-00000F1E0000}"/>
    <cellStyle name="Normal 8 4 4 3 2" xfId="13731" xr:uid="{1908CE80-7FB6-4C38-B7F5-CDEAEFDAFC58}"/>
    <cellStyle name="Normal 8 4 4 3 3" xfId="22165" xr:uid="{267102DF-97B0-4725-8FEF-8F589468A895}"/>
    <cellStyle name="Normal 8 4 4 4" xfId="9513" xr:uid="{72964F76-234D-4901-B397-9D82C5574929}"/>
    <cellStyle name="Normal 8 4 4 5" xfId="17948" xr:uid="{868C53FC-BDBC-442F-BBED-1A549F7433F5}"/>
    <cellStyle name="Normal 8 4 5" xfId="1387" xr:uid="{00000000-0005-0000-0000-0000101E0000}"/>
    <cellStyle name="Normal 8 4 5 2" xfId="3617" xr:uid="{00000000-0005-0000-0000-0000111E0000}"/>
    <cellStyle name="Normal 8 4 5 2 2" xfId="7839" xr:uid="{00000000-0005-0000-0000-0000121E0000}"/>
    <cellStyle name="Normal 8 4 5 2 2 2" xfId="16289" xr:uid="{2DEAD337-0C32-4CA5-8832-61FEA7EB3188}"/>
    <cellStyle name="Normal 8 4 5 2 2 3" xfId="24723" xr:uid="{6441BB7F-E13A-4D0B-9885-52B3EEEA5DF4}"/>
    <cellStyle name="Normal 8 4 5 2 3" xfId="12071" xr:uid="{91DB225E-2F57-46DC-873E-747A3129497C}"/>
    <cellStyle name="Normal 8 4 5 2 4" xfId="20506" xr:uid="{2FCAFBF1-1833-4B53-8300-4BAFA6F569C0}"/>
    <cellStyle name="Normal 8 4 5 3" xfId="5694" xr:uid="{00000000-0005-0000-0000-0000131E0000}"/>
    <cellStyle name="Normal 8 4 5 3 2" xfId="14144" xr:uid="{684E3E8B-A87F-4CB9-B520-E0B0A3A20CCC}"/>
    <cellStyle name="Normal 8 4 5 3 3" xfId="22578" xr:uid="{D704835B-DAF8-4927-8964-79EC8C579929}"/>
    <cellStyle name="Normal 8 4 5 4" xfId="9926" xr:uid="{13E1673C-6D23-43D5-B42F-D758EB2CC812}"/>
    <cellStyle name="Normal 8 4 5 5" xfId="18361" xr:uid="{A58797AB-8852-4DF7-9D5E-5373F6ED758F}"/>
    <cellStyle name="Normal 8 4 6" xfId="1800" xr:uid="{00000000-0005-0000-0000-0000141E0000}"/>
    <cellStyle name="Normal 8 4 6 2" xfId="4030" xr:uid="{00000000-0005-0000-0000-0000151E0000}"/>
    <cellStyle name="Normal 8 4 6 2 2" xfId="8252" xr:uid="{00000000-0005-0000-0000-0000161E0000}"/>
    <cellStyle name="Normal 8 4 6 2 2 2" xfId="16702" xr:uid="{FCAB4F14-AAFF-4882-B32F-82DFF511A7CC}"/>
    <cellStyle name="Normal 8 4 6 2 2 3" xfId="25136" xr:uid="{30809387-A2D7-4205-A559-15FF491180C2}"/>
    <cellStyle name="Normal 8 4 6 2 3" xfId="12484" xr:uid="{8AA224EB-6974-4F62-A60E-B1F6863A59C0}"/>
    <cellStyle name="Normal 8 4 6 2 4" xfId="20919" xr:uid="{78F13D04-C35C-473E-8D14-F5A34828DD01}"/>
    <cellStyle name="Normal 8 4 6 3" xfId="6107" xr:uid="{00000000-0005-0000-0000-0000171E0000}"/>
    <cellStyle name="Normal 8 4 6 3 2" xfId="14557" xr:uid="{2027B345-6D20-4427-9F67-59B11111F68B}"/>
    <cellStyle name="Normal 8 4 6 3 3" xfId="22991" xr:uid="{080280EA-F6BC-4CBE-9348-E956B979CCD9}"/>
    <cellStyle name="Normal 8 4 6 4" xfId="10339" xr:uid="{9129E712-6B5D-4B4A-9078-5518F0C5AC6C}"/>
    <cellStyle name="Normal 8 4 6 5" xfId="18774" xr:uid="{69B689DE-52FE-4876-BBE2-8E69D3DF7D36}"/>
    <cellStyle name="Normal 8 4 7" xfId="2214" xr:uid="{00000000-0005-0000-0000-0000181E0000}"/>
    <cellStyle name="Normal 8 4 7 2" xfId="4443" xr:uid="{00000000-0005-0000-0000-0000191E0000}"/>
    <cellStyle name="Normal 8 4 7 2 2" xfId="8665" xr:uid="{00000000-0005-0000-0000-00001A1E0000}"/>
    <cellStyle name="Normal 8 4 7 2 2 2" xfId="17115" xr:uid="{9B098211-1A31-4AE1-A65B-72EB1DF48E25}"/>
    <cellStyle name="Normal 8 4 7 2 2 3" xfId="25549" xr:uid="{711AA039-EDF0-48DC-8A19-9480CE0B9A3A}"/>
    <cellStyle name="Normal 8 4 7 2 3" xfId="12897" xr:uid="{6459D310-90A6-490B-85B9-B4A84FC2946B}"/>
    <cellStyle name="Normal 8 4 7 2 4" xfId="21332" xr:uid="{389187E7-EC81-4970-9711-DDEAA5EFC6A2}"/>
    <cellStyle name="Normal 8 4 7 3" xfId="6520" xr:uid="{00000000-0005-0000-0000-00001B1E0000}"/>
    <cellStyle name="Normal 8 4 7 3 2" xfId="14970" xr:uid="{EBDF8A86-C725-4708-A9D9-7D59176901F7}"/>
    <cellStyle name="Normal 8 4 7 3 3" xfId="23404" xr:uid="{3C3FA9DE-D8B5-4377-8FD1-5AC50CCF507F}"/>
    <cellStyle name="Normal 8 4 7 4" xfId="10752" xr:uid="{18021F96-6788-4603-B681-BD7FB2EA6F5E}"/>
    <cellStyle name="Normal 8 4 7 5" xfId="19187" xr:uid="{3CE44719-C7C4-4188-948F-651BF14D9790}"/>
    <cellStyle name="Normal 8 4 8" xfId="2650" xr:uid="{00000000-0005-0000-0000-00001C1E0000}"/>
    <cellStyle name="Normal 8 4 8 2" xfId="6933" xr:uid="{00000000-0005-0000-0000-00001D1E0000}"/>
    <cellStyle name="Normal 8 4 8 2 2" xfId="15383" xr:uid="{8182C82A-3149-4FBC-8FD2-291B6FBF8D97}"/>
    <cellStyle name="Normal 8 4 8 2 3" xfId="23817" xr:uid="{71D03BFD-CE61-4955-8180-EB1D554C0073}"/>
    <cellStyle name="Normal 8 4 8 3" xfId="11165" xr:uid="{76993D02-26CE-4780-B6DB-6C6157BD4504}"/>
    <cellStyle name="Normal 8 4 8 4" xfId="19600" xr:uid="{77DA1D7E-A717-4320-A455-F1A7A519C3DA}"/>
    <cellStyle name="Normal 8 4 9" xfId="4868" xr:uid="{00000000-0005-0000-0000-00001E1E0000}"/>
    <cellStyle name="Normal 8 4 9 2" xfId="13318" xr:uid="{ABDA9C04-AC96-4A36-B96F-40FF959412BF}"/>
    <cellStyle name="Normal 8 4 9 3" xfId="21752" xr:uid="{287B6F9A-7BD1-4519-B30C-FA1607DA7887}"/>
    <cellStyle name="Normal 8 5" xfId="507" xr:uid="{00000000-0005-0000-0000-00001F1E0000}"/>
    <cellStyle name="Normal 8 5 10" xfId="17539" xr:uid="{3F46504F-1E98-4820-AB7A-141A56A822DB}"/>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F119B760-0919-4565-A1AF-1540FA998D0A}"/>
    <cellStyle name="Normal 8 5 2 2 2 2 3" xfId="24315" xr:uid="{D00717BF-690F-4D7A-8F21-5A9617F3CF3E}"/>
    <cellStyle name="Normal 8 5 2 2 2 3" xfId="11663" xr:uid="{B8526AFF-E003-498E-9892-148334F5D379}"/>
    <cellStyle name="Normal 8 5 2 2 2 4" xfId="20098" xr:uid="{566DAD2E-0D56-4756-9FBE-A9DF6F5402A1}"/>
    <cellStyle name="Normal 8 5 2 2 3" xfId="5286" xr:uid="{00000000-0005-0000-0000-0000241E0000}"/>
    <cellStyle name="Normal 8 5 2 2 3 2" xfId="13736" xr:uid="{3EACF147-0F8D-4BDB-82D6-BF07972E8C4C}"/>
    <cellStyle name="Normal 8 5 2 2 3 3" xfId="22170" xr:uid="{283FF870-0FE9-4832-BE43-40FFA22C27B9}"/>
    <cellStyle name="Normal 8 5 2 2 4" xfId="9518" xr:uid="{8CD7A8FF-F985-465F-BA69-6AA123E61751}"/>
    <cellStyle name="Normal 8 5 2 2 5" xfId="17953" xr:uid="{8032782B-31CE-42A3-B45A-F2B127503A3E}"/>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7F69E1F5-F9FB-43FE-8FA4-2CB6EDC2F9EF}"/>
    <cellStyle name="Normal 8 5 2 3 2 2 3" xfId="24728" xr:uid="{F20BC54B-D5BD-4806-9428-A443960531C1}"/>
    <cellStyle name="Normal 8 5 2 3 2 3" xfId="12076" xr:uid="{56AA5C8A-7F10-4695-B3E7-7F49FE047869}"/>
    <cellStyle name="Normal 8 5 2 3 2 4" xfId="20511" xr:uid="{443FAE3A-23B2-4CEB-85A2-B74A079B9C08}"/>
    <cellStyle name="Normal 8 5 2 3 3" xfId="5699" xr:uid="{00000000-0005-0000-0000-0000281E0000}"/>
    <cellStyle name="Normal 8 5 2 3 3 2" xfId="14149" xr:uid="{AC3B023F-3079-40BB-859E-D034063682B5}"/>
    <cellStyle name="Normal 8 5 2 3 3 3" xfId="22583" xr:uid="{A3D5E78A-1068-45A0-ABD9-CE56F7C3909F}"/>
    <cellStyle name="Normal 8 5 2 3 4" xfId="9931" xr:uid="{9AD8130E-F804-4A93-BE71-5ED46F07720A}"/>
    <cellStyle name="Normal 8 5 2 3 5" xfId="18366" xr:uid="{066038E1-AADF-4538-9048-93E8B52F941F}"/>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87525265-DFEA-41E9-9726-F8F35D294984}"/>
    <cellStyle name="Normal 8 5 2 4 2 2 3" xfId="25141" xr:uid="{C89A7070-181D-4540-A1FE-4817C460F6CD}"/>
    <cellStyle name="Normal 8 5 2 4 2 3" xfId="12489" xr:uid="{14F9851C-6367-4B11-B6A4-2665309C3CE1}"/>
    <cellStyle name="Normal 8 5 2 4 2 4" xfId="20924" xr:uid="{50C89D89-A03C-4BE6-BAAC-DB14C3B64B8D}"/>
    <cellStyle name="Normal 8 5 2 4 3" xfId="6112" xr:uid="{00000000-0005-0000-0000-00002C1E0000}"/>
    <cellStyle name="Normal 8 5 2 4 3 2" xfId="14562" xr:uid="{D0F661B0-73D5-43A0-981A-37FAF0ABBD4D}"/>
    <cellStyle name="Normal 8 5 2 4 3 3" xfId="22996" xr:uid="{D9E1CCE2-DBB6-479B-96F5-0F176541573F}"/>
    <cellStyle name="Normal 8 5 2 4 4" xfId="10344" xr:uid="{B852BDD0-E3A4-473E-9736-14940C2692BB}"/>
    <cellStyle name="Normal 8 5 2 4 5" xfId="18779" xr:uid="{EF39FB30-86EC-4C6F-A72B-73D00EC07CE0}"/>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792DF017-AF0F-4E38-AB2D-DBF41787A416}"/>
    <cellStyle name="Normal 8 5 2 5 2 2 3" xfId="25554" xr:uid="{C7B54E6E-831C-4692-95B6-A96AA77DACFD}"/>
    <cellStyle name="Normal 8 5 2 5 2 3" xfId="12902" xr:uid="{4BFFFAB9-ED50-406E-A187-657C30B143EF}"/>
    <cellStyle name="Normal 8 5 2 5 2 4" xfId="21337" xr:uid="{60614F8C-01AC-451F-9766-03AF8461B45F}"/>
    <cellStyle name="Normal 8 5 2 5 3" xfId="6525" xr:uid="{00000000-0005-0000-0000-0000301E0000}"/>
    <cellStyle name="Normal 8 5 2 5 3 2" xfId="14975" xr:uid="{D47932FF-CC4B-4669-9C08-1B53B0555445}"/>
    <cellStyle name="Normal 8 5 2 5 3 3" xfId="23409" xr:uid="{D4E1141A-01DB-4E3F-9440-FEDEF4601863}"/>
    <cellStyle name="Normal 8 5 2 5 4" xfId="10757" xr:uid="{F7FB681E-8683-4379-971D-000F8E1C2E97}"/>
    <cellStyle name="Normal 8 5 2 5 5" xfId="19192" xr:uid="{AF5C52D1-1C01-4956-B90B-43D4E22BDD8C}"/>
    <cellStyle name="Normal 8 5 2 6" xfId="2655" xr:uid="{00000000-0005-0000-0000-0000311E0000}"/>
    <cellStyle name="Normal 8 5 2 6 2" xfId="6938" xr:uid="{00000000-0005-0000-0000-0000321E0000}"/>
    <cellStyle name="Normal 8 5 2 6 2 2" xfId="15388" xr:uid="{46391CEA-0B00-48A7-856F-91EF061355E2}"/>
    <cellStyle name="Normal 8 5 2 6 2 3" xfId="23822" xr:uid="{F3798D8B-BF9C-445E-903C-B5DDBD6B7090}"/>
    <cellStyle name="Normal 8 5 2 6 3" xfId="11170" xr:uid="{055D83BF-C934-4871-B5A6-E496F6FF1004}"/>
    <cellStyle name="Normal 8 5 2 6 4" xfId="19605" xr:uid="{D4288799-0F60-4393-84DF-B1A862BD0ADF}"/>
    <cellStyle name="Normal 8 5 2 7" xfId="4873" xr:uid="{00000000-0005-0000-0000-0000331E0000}"/>
    <cellStyle name="Normal 8 5 2 7 2" xfId="13323" xr:uid="{72DD498D-B8E9-4181-AEFD-4ABD19182647}"/>
    <cellStyle name="Normal 8 5 2 7 3" xfId="21757" xr:uid="{0D7E589E-5154-4EFA-8218-39078E4DF88C}"/>
    <cellStyle name="Normal 8 5 2 8" xfId="9105" xr:uid="{18B559E5-EDD3-40DF-A8F6-8CB870237427}"/>
    <cellStyle name="Normal 8 5 2 9" xfId="17540" xr:uid="{436B5A49-383A-4186-B0C0-9277E6DECEA5}"/>
    <cellStyle name="Normal 8 5 3" xfId="974" xr:uid="{00000000-0005-0000-0000-0000341E0000}"/>
    <cellStyle name="Normal 8 5 3 2" xfId="3208" xr:uid="{00000000-0005-0000-0000-0000351E0000}"/>
    <cellStyle name="Normal 8 5 3 2 2" xfId="7430" xr:uid="{00000000-0005-0000-0000-0000361E0000}"/>
    <cellStyle name="Normal 8 5 3 2 2 2" xfId="15880" xr:uid="{D8A5D545-FE56-4A8C-B0BF-D1FA7A231F95}"/>
    <cellStyle name="Normal 8 5 3 2 2 3" xfId="24314" xr:uid="{BCB512F6-AF5E-406A-A1D2-D2A3F51E8CBE}"/>
    <cellStyle name="Normal 8 5 3 2 3" xfId="11662" xr:uid="{709C73B9-8BEA-4FD3-8BDA-3A3BF43D018D}"/>
    <cellStyle name="Normal 8 5 3 2 4" xfId="20097" xr:uid="{14E8C59C-89E6-4123-BA7D-9C41D71C7E9C}"/>
    <cellStyle name="Normal 8 5 3 3" xfId="5285" xr:uid="{00000000-0005-0000-0000-0000371E0000}"/>
    <cellStyle name="Normal 8 5 3 3 2" xfId="13735" xr:uid="{6665DBBA-36B7-4AD2-97CF-C2B54C5DBF52}"/>
    <cellStyle name="Normal 8 5 3 3 3" xfId="22169" xr:uid="{213078A2-D0DE-4714-9882-A52F37971426}"/>
    <cellStyle name="Normal 8 5 3 4" xfId="9517" xr:uid="{54E3BCCF-EF1E-4F7B-BAEB-440B337F9F0F}"/>
    <cellStyle name="Normal 8 5 3 5" xfId="17952" xr:uid="{05A4D024-B116-4DBD-938C-9F7C8989E576}"/>
    <cellStyle name="Normal 8 5 4" xfId="1391" xr:uid="{00000000-0005-0000-0000-0000381E0000}"/>
    <cellStyle name="Normal 8 5 4 2" xfId="3621" xr:uid="{00000000-0005-0000-0000-0000391E0000}"/>
    <cellStyle name="Normal 8 5 4 2 2" xfId="7843" xr:uid="{00000000-0005-0000-0000-00003A1E0000}"/>
    <cellStyle name="Normal 8 5 4 2 2 2" xfId="16293" xr:uid="{092E66E6-16E9-40B9-99D2-3157D4EB91E4}"/>
    <cellStyle name="Normal 8 5 4 2 2 3" xfId="24727" xr:uid="{961C329E-3417-49F2-99FF-F347B68F637D}"/>
    <cellStyle name="Normal 8 5 4 2 3" xfId="12075" xr:uid="{A5E214FF-C124-4C6A-96AB-0C1AB80DC103}"/>
    <cellStyle name="Normal 8 5 4 2 4" xfId="20510" xr:uid="{2B97A57F-7658-4337-B839-73CBD95C0174}"/>
    <cellStyle name="Normal 8 5 4 3" xfId="5698" xr:uid="{00000000-0005-0000-0000-00003B1E0000}"/>
    <cellStyle name="Normal 8 5 4 3 2" xfId="14148" xr:uid="{B54817EC-86B4-4F28-930E-BD33B0D509BD}"/>
    <cellStyle name="Normal 8 5 4 3 3" xfId="22582" xr:uid="{F486EA14-F097-49E3-AD95-02B5550895A9}"/>
    <cellStyle name="Normal 8 5 4 4" xfId="9930" xr:uid="{19D923BA-7A2D-4F84-804B-9A06CD7B490F}"/>
    <cellStyle name="Normal 8 5 4 5" xfId="18365" xr:uid="{64C88596-EA05-495A-8C59-918587F74B91}"/>
    <cellStyle name="Normal 8 5 5" xfId="1804" xr:uid="{00000000-0005-0000-0000-00003C1E0000}"/>
    <cellStyle name="Normal 8 5 5 2" xfId="4034" xr:uid="{00000000-0005-0000-0000-00003D1E0000}"/>
    <cellStyle name="Normal 8 5 5 2 2" xfId="8256" xr:uid="{00000000-0005-0000-0000-00003E1E0000}"/>
    <cellStyle name="Normal 8 5 5 2 2 2" xfId="16706" xr:uid="{339FC12A-304F-4573-8766-C342CC585F57}"/>
    <cellStyle name="Normal 8 5 5 2 2 3" xfId="25140" xr:uid="{F9748D30-65C4-4B9D-9AF9-5C4184693D4C}"/>
    <cellStyle name="Normal 8 5 5 2 3" xfId="12488" xr:uid="{0E04206D-9B5C-4BFF-ABC7-7F3DAF085999}"/>
    <cellStyle name="Normal 8 5 5 2 4" xfId="20923" xr:uid="{5D2854FB-2110-4F3C-BEDC-1094B5C3D668}"/>
    <cellStyle name="Normal 8 5 5 3" xfId="6111" xr:uid="{00000000-0005-0000-0000-00003F1E0000}"/>
    <cellStyle name="Normal 8 5 5 3 2" xfId="14561" xr:uid="{3D3EA2AF-36B0-4B6D-B596-133C7D9F3350}"/>
    <cellStyle name="Normal 8 5 5 3 3" xfId="22995" xr:uid="{0D6C5B76-4BBD-484F-AA15-7414CEF595D7}"/>
    <cellStyle name="Normal 8 5 5 4" xfId="10343" xr:uid="{57AB4048-B50F-4D4C-85B1-BFA8B3A6E2B8}"/>
    <cellStyle name="Normal 8 5 5 5" xfId="18778" xr:uid="{48A119A9-D3F6-4A10-928D-D0B00A8CC0C6}"/>
    <cellStyle name="Normal 8 5 6" xfId="2218" xr:uid="{00000000-0005-0000-0000-0000401E0000}"/>
    <cellStyle name="Normal 8 5 6 2" xfId="4447" xr:uid="{00000000-0005-0000-0000-0000411E0000}"/>
    <cellStyle name="Normal 8 5 6 2 2" xfId="8669" xr:uid="{00000000-0005-0000-0000-0000421E0000}"/>
    <cellStyle name="Normal 8 5 6 2 2 2" xfId="17119" xr:uid="{5EF07018-680F-4672-9BC7-600ABAC03CF6}"/>
    <cellStyle name="Normal 8 5 6 2 2 3" xfId="25553" xr:uid="{13F9A82E-B56F-47B1-ABCF-BE02D032708A}"/>
    <cellStyle name="Normal 8 5 6 2 3" xfId="12901" xr:uid="{15698CC8-60A9-4FA6-9DE5-7583161AE70B}"/>
    <cellStyle name="Normal 8 5 6 2 4" xfId="21336" xr:uid="{8DBE5726-D8A9-455E-B0F8-F6CC9748CE5D}"/>
    <cellStyle name="Normal 8 5 6 3" xfId="6524" xr:uid="{00000000-0005-0000-0000-0000431E0000}"/>
    <cellStyle name="Normal 8 5 6 3 2" xfId="14974" xr:uid="{226802B5-07A9-4DF0-B27A-1B752133A726}"/>
    <cellStyle name="Normal 8 5 6 3 3" xfId="23408" xr:uid="{985E273B-FA97-46F4-BF72-527CDC705482}"/>
    <cellStyle name="Normal 8 5 6 4" xfId="10756" xr:uid="{FD9F1204-FC9E-45D6-BA93-62C22EA1ED71}"/>
    <cellStyle name="Normal 8 5 6 5" xfId="19191" xr:uid="{E193AD46-7CBB-4E0B-B5C1-487D94B40DE6}"/>
    <cellStyle name="Normal 8 5 7" xfId="2654" xr:uid="{00000000-0005-0000-0000-0000441E0000}"/>
    <cellStyle name="Normal 8 5 7 2" xfId="6937" xr:uid="{00000000-0005-0000-0000-0000451E0000}"/>
    <cellStyle name="Normal 8 5 7 2 2" xfId="15387" xr:uid="{05ED1079-8479-4DBF-A646-A1FA063CF7F6}"/>
    <cellStyle name="Normal 8 5 7 2 3" xfId="23821" xr:uid="{A8A48DB7-231E-4A30-875A-87EE7BD856E6}"/>
    <cellStyle name="Normal 8 5 7 3" xfId="11169" xr:uid="{4671E985-F9BD-4701-A970-DB5C7C96E6D7}"/>
    <cellStyle name="Normal 8 5 7 4" xfId="19604" xr:uid="{C3C92BA3-5753-4919-83B6-85704E794141}"/>
    <cellStyle name="Normal 8 5 8" xfId="4872" xr:uid="{00000000-0005-0000-0000-0000461E0000}"/>
    <cellStyle name="Normal 8 5 8 2" xfId="13322" xr:uid="{90BA872F-ECB9-4C7A-83B6-9885C3F8F614}"/>
    <cellStyle name="Normal 8 5 8 3" xfId="21756" xr:uid="{C792B108-8567-4D75-8445-E1E7D169062C}"/>
    <cellStyle name="Normal 8 5 9" xfId="9104" xr:uid="{209A5D1E-3E7C-45FD-B109-BA729DFABB9E}"/>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4683C422-FD65-4DF7-B302-CE650C6AABE1}"/>
    <cellStyle name="Normal 8 6 2 2 2 3" xfId="24316" xr:uid="{F1BFC162-ADB9-4F43-8C10-7A20CECC166C}"/>
    <cellStyle name="Normal 8 6 2 2 3" xfId="11664" xr:uid="{673F8406-D3C0-4941-A7E5-559D96B0E052}"/>
    <cellStyle name="Normal 8 6 2 2 4" xfId="20099" xr:uid="{98107FA0-BAF0-4EE7-9D53-D4CCFB87ABF9}"/>
    <cellStyle name="Normal 8 6 2 3" xfId="5287" xr:uid="{00000000-0005-0000-0000-00004B1E0000}"/>
    <cellStyle name="Normal 8 6 2 3 2" xfId="13737" xr:uid="{84D8DDFF-FDBA-4F22-AD82-1F300D55C8DE}"/>
    <cellStyle name="Normal 8 6 2 3 3" xfId="22171" xr:uid="{80ACFBBA-E16D-41E6-964C-43E39EFDC671}"/>
    <cellStyle name="Normal 8 6 2 4" xfId="9519" xr:uid="{2FB97D5E-A8FE-421E-A314-7E4B07E78FD4}"/>
    <cellStyle name="Normal 8 6 2 5" xfId="17954" xr:uid="{1A85C79F-E5C8-4240-805A-29D7395B1C83}"/>
    <cellStyle name="Normal 8 6 3" xfId="1393" xr:uid="{00000000-0005-0000-0000-00004C1E0000}"/>
    <cellStyle name="Normal 8 6 3 2" xfId="3623" xr:uid="{00000000-0005-0000-0000-00004D1E0000}"/>
    <cellStyle name="Normal 8 6 3 2 2" xfId="7845" xr:uid="{00000000-0005-0000-0000-00004E1E0000}"/>
    <cellStyle name="Normal 8 6 3 2 2 2" xfId="16295" xr:uid="{541E1334-787B-4EFA-9457-C0F6D7EC43B6}"/>
    <cellStyle name="Normal 8 6 3 2 2 3" xfId="24729" xr:uid="{369445ED-4EC2-4D5F-A1CC-EBBC6A254E6A}"/>
    <cellStyle name="Normal 8 6 3 2 3" xfId="12077" xr:uid="{0E48AE46-8662-4C49-A468-E357C2B03134}"/>
    <cellStyle name="Normal 8 6 3 2 4" xfId="20512" xr:uid="{69FDCB24-DFE1-4C3E-A9F0-F9AC02D6B0DE}"/>
    <cellStyle name="Normal 8 6 3 3" xfId="5700" xr:uid="{00000000-0005-0000-0000-00004F1E0000}"/>
    <cellStyle name="Normal 8 6 3 3 2" xfId="14150" xr:uid="{2FAE9945-3914-4A2C-9D5F-85BFD76B3318}"/>
    <cellStyle name="Normal 8 6 3 3 3" xfId="22584" xr:uid="{CB259D35-7EE5-4220-862D-48F55CE777A7}"/>
    <cellStyle name="Normal 8 6 3 4" xfId="9932" xr:uid="{6B3D1B56-BCBE-4946-87E4-E7D032581A76}"/>
    <cellStyle name="Normal 8 6 3 5" xfId="18367" xr:uid="{A5DC65F0-5BBA-478B-BA82-42867ED269C8}"/>
    <cellStyle name="Normal 8 6 4" xfId="1806" xr:uid="{00000000-0005-0000-0000-0000501E0000}"/>
    <cellStyle name="Normal 8 6 4 2" xfId="4036" xr:uid="{00000000-0005-0000-0000-0000511E0000}"/>
    <cellStyle name="Normal 8 6 4 2 2" xfId="8258" xr:uid="{00000000-0005-0000-0000-0000521E0000}"/>
    <cellStyle name="Normal 8 6 4 2 2 2" xfId="16708" xr:uid="{2B25E8B9-18E8-4371-944E-7F2F8879252E}"/>
    <cellStyle name="Normal 8 6 4 2 2 3" xfId="25142" xr:uid="{E5761D1A-6B8D-4416-9064-7E245270AEC8}"/>
    <cellStyle name="Normal 8 6 4 2 3" xfId="12490" xr:uid="{9C775513-FDDD-4C30-82C6-193D3BBA4E3F}"/>
    <cellStyle name="Normal 8 6 4 2 4" xfId="20925" xr:uid="{54AA33FD-41BD-4A67-A7F9-38EB1AA96369}"/>
    <cellStyle name="Normal 8 6 4 3" xfId="6113" xr:uid="{00000000-0005-0000-0000-0000531E0000}"/>
    <cellStyle name="Normal 8 6 4 3 2" xfId="14563" xr:uid="{1DDEBC92-AECD-4C25-8F35-E41420253641}"/>
    <cellStyle name="Normal 8 6 4 3 3" xfId="22997" xr:uid="{5D487070-470E-447F-92E1-3E27BF3AAC83}"/>
    <cellStyle name="Normal 8 6 4 4" xfId="10345" xr:uid="{A6B41A4C-A279-4F71-9698-4B807E807D68}"/>
    <cellStyle name="Normal 8 6 4 5" xfId="18780" xr:uid="{D6570827-E516-4E83-B012-E4F05D6DF4D9}"/>
    <cellStyle name="Normal 8 6 5" xfId="2220" xr:uid="{00000000-0005-0000-0000-0000541E0000}"/>
    <cellStyle name="Normal 8 6 5 2" xfId="4449" xr:uid="{00000000-0005-0000-0000-0000551E0000}"/>
    <cellStyle name="Normal 8 6 5 2 2" xfId="8671" xr:uid="{00000000-0005-0000-0000-0000561E0000}"/>
    <cellStyle name="Normal 8 6 5 2 2 2" xfId="17121" xr:uid="{1E51CDE0-5959-4915-9323-DA659E8BD76F}"/>
    <cellStyle name="Normal 8 6 5 2 2 3" xfId="25555" xr:uid="{1BE94F08-A12F-4D97-AC20-34453102F57A}"/>
    <cellStyle name="Normal 8 6 5 2 3" xfId="12903" xr:uid="{A8E5383A-B9A5-4287-9A55-F97A33619C64}"/>
    <cellStyle name="Normal 8 6 5 2 4" xfId="21338" xr:uid="{B50F06D0-1FB4-447E-A9A5-FAFD8CE094CB}"/>
    <cellStyle name="Normal 8 6 5 3" xfId="6526" xr:uid="{00000000-0005-0000-0000-0000571E0000}"/>
    <cellStyle name="Normal 8 6 5 3 2" xfId="14976" xr:uid="{F80BF1FD-980F-4EED-A23F-E9F6451FD9B7}"/>
    <cellStyle name="Normal 8 6 5 3 3" xfId="23410" xr:uid="{66C09C07-49D0-43D4-B1CF-3EDB2243248A}"/>
    <cellStyle name="Normal 8 6 5 4" xfId="10758" xr:uid="{1F876B94-EB23-4784-9E8A-FFA2859FABC0}"/>
    <cellStyle name="Normal 8 6 5 5" xfId="19193" xr:uid="{5D017573-B0CF-482A-A8F9-B23E016350B4}"/>
    <cellStyle name="Normal 8 6 6" xfId="2656" xr:uid="{00000000-0005-0000-0000-0000581E0000}"/>
    <cellStyle name="Normal 8 6 6 2" xfId="6939" xr:uid="{00000000-0005-0000-0000-0000591E0000}"/>
    <cellStyle name="Normal 8 6 6 2 2" xfId="15389" xr:uid="{1E192708-22F2-43E7-B810-8455FBCEA7A1}"/>
    <cellStyle name="Normal 8 6 6 2 3" xfId="23823" xr:uid="{91557E71-28F7-4EAD-AB96-9AB5EDE20241}"/>
    <cellStyle name="Normal 8 6 6 3" xfId="11171" xr:uid="{338C5E38-624F-40C5-A72C-F93CFAE0BD81}"/>
    <cellStyle name="Normal 8 6 6 4" xfId="19606" xr:uid="{229A9FA8-26B7-4ADE-A8C3-8DBD43C78988}"/>
    <cellStyle name="Normal 8 6 7" xfId="4874" xr:uid="{00000000-0005-0000-0000-00005A1E0000}"/>
    <cellStyle name="Normal 8 6 7 2" xfId="13324" xr:uid="{67DDDA88-03DE-404B-98B1-74167CC27C24}"/>
    <cellStyle name="Normal 8 6 7 3" xfId="21758" xr:uid="{2EAFE456-3EA0-410E-9301-68281A4B9E01}"/>
    <cellStyle name="Normal 8 6 8" xfId="9106" xr:uid="{BF637D0A-D3E2-46C6-9B54-89322F77B574}"/>
    <cellStyle name="Normal 8 6 9" xfId="17541" xr:uid="{BEB0166D-D71D-4A57-9CE0-B30D66C9E7F5}"/>
    <cellStyle name="Normal 8 7" xfId="945" xr:uid="{00000000-0005-0000-0000-00005B1E0000}"/>
    <cellStyle name="Normal 8 7 2" xfId="3179" xr:uid="{00000000-0005-0000-0000-00005C1E0000}"/>
    <cellStyle name="Normal 8 7 2 2" xfId="7401" xr:uid="{00000000-0005-0000-0000-00005D1E0000}"/>
    <cellStyle name="Normal 8 7 2 2 2" xfId="15851" xr:uid="{0D131F2F-4EC2-4BEA-A9F3-471C0FFCCF14}"/>
    <cellStyle name="Normal 8 7 2 2 3" xfId="24285" xr:uid="{ECF85506-9ACE-42DB-8E5D-56680DE5AFC7}"/>
    <cellStyle name="Normal 8 7 2 3" xfId="11633" xr:uid="{4B91D297-9BE1-4BA1-BECA-605F945093F6}"/>
    <cellStyle name="Normal 8 7 2 4" xfId="20068" xr:uid="{D5E63570-54EF-4171-BA66-465FF375C08D}"/>
    <cellStyle name="Normal 8 7 3" xfId="5256" xr:uid="{00000000-0005-0000-0000-00005E1E0000}"/>
    <cellStyle name="Normal 8 7 3 2" xfId="13706" xr:uid="{03F3EF52-A077-4014-9DFE-D4CC1B3D30A1}"/>
    <cellStyle name="Normal 8 7 3 3" xfId="22140" xr:uid="{FE1D27C2-6ED7-41F1-9801-5173AC943F66}"/>
    <cellStyle name="Normal 8 7 4" xfId="9488" xr:uid="{990BBA48-028B-467D-92FD-D70573AAA09A}"/>
    <cellStyle name="Normal 8 7 5" xfId="17923" xr:uid="{3A66061B-9799-47A0-B7D5-B25DE59F6D30}"/>
    <cellStyle name="Normal 8 8" xfId="1362" xr:uid="{00000000-0005-0000-0000-00005F1E0000}"/>
    <cellStyle name="Normal 8 8 2" xfId="3592" xr:uid="{00000000-0005-0000-0000-0000601E0000}"/>
    <cellStyle name="Normal 8 8 2 2" xfId="7814" xr:uid="{00000000-0005-0000-0000-0000611E0000}"/>
    <cellStyle name="Normal 8 8 2 2 2" xfId="16264" xr:uid="{6CDAE713-758C-4A60-963E-7AA85A4A9EA3}"/>
    <cellStyle name="Normal 8 8 2 2 3" xfId="24698" xr:uid="{8F247647-4CED-4775-B26C-39F69402262D}"/>
    <cellStyle name="Normal 8 8 2 3" xfId="12046" xr:uid="{36C24EBB-10C0-46A2-A7BA-D9377093AA0F}"/>
    <cellStyle name="Normal 8 8 2 4" xfId="20481" xr:uid="{6D326348-B9F3-48B4-B13C-72B6D5681E45}"/>
    <cellStyle name="Normal 8 8 3" xfId="5669" xr:uid="{00000000-0005-0000-0000-0000621E0000}"/>
    <cellStyle name="Normal 8 8 3 2" xfId="14119" xr:uid="{C55BE3AE-21D4-4C96-B318-2BEEC69E397C}"/>
    <cellStyle name="Normal 8 8 3 3" xfId="22553" xr:uid="{63E829D5-B5F0-4058-8C2A-4EA28D536BB2}"/>
    <cellStyle name="Normal 8 8 4" xfId="9901" xr:uid="{3D572E3C-2C36-473C-B037-0A9A30A75DE3}"/>
    <cellStyle name="Normal 8 8 5" xfId="18336" xr:uid="{AC75302B-321D-4B59-B71E-EC98A3D45709}"/>
    <cellStyle name="Normal 8 9" xfId="1775" xr:uid="{00000000-0005-0000-0000-0000631E0000}"/>
    <cellStyle name="Normal 8 9 2" xfId="4005" xr:uid="{00000000-0005-0000-0000-0000641E0000}"/>
    <cellStyle name="Normal 8 9 2 2" xfId="8227" xr:uid="{00000000-0005-0000-0000-0000651E0000}"/>
    <cellStyle name="Normal 8 9 2 2 2" xfId="16677" xr:uid="{144691A9-7C26-4F66-BC57-0F28EFF820F5}"/>
    <cellStyle name="Normal 8 9 2 2 3" xfId="25111" xr:uid="{DF52BB46-D081-4BA7-A461-5923C2D653B2}"/>
    <cellStyle name="Normal 8 9 2 3" xfId="12459" xr:uid="{E7FD74E0-C273-42A8-98CF-E635E4FADE7E}"/>
    <cellStyle name="Normal 8 9 2 4" xfId="20894" xr:uid="{4E5926FD-50C1-430A-8D21-1EA9E73667AD}"/>
    <cellStyle name="Normal 8 9 3" xfId="6082" xr:uid="{00000000-0005-0000-0000-0000661E0000}"/>
    <cellStyle name="Normal 8 9 3 2" xfId="14532" xr:uid="{B5D90CEB-084D-406C-BE96-0771A12BDC84}"/>
    <cellStyle name="Normal 8 9 3 3" xfId="22966" xr:uid="{F6FCC9E8-BF9A-499E-8C70-6D56206126AC}"/>
    <cellStyle name="Normal 8 9 4" xfId="10314" xr:uid="{BDD0AE0E-4B1D-4F9F-8F23-140330042CED}"/>
    <cellStyle name="Normal 8 9 5" xfId="18749" xr:uid="{9AA9384D-3FDD-4CE8-B864-AA94672E33CB}"/>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9612B69A-6D37-4FA6-BE38-30D4BFFEF09C}"/>
    <cellStyle name="Normal 9 2 10 2 3" xfId="23824" xr:uid="{C6BC61B4-1B49-4A2F-A1FE-EA2B557FFB8D}"/>
    <cellStyle name="Normal 9 2 10 3" xfId="11172" xr:uid="{C8FB81DA-DEE2-4405-AE2E-A5A4F41DA18B}"/>
    <cellStyle name="Normal 9 2 10 4" xfId="19607" xr:uid="{F5F4B22B-2CBD-4B85-B18C-A651D07A60F6}"/>
    <cellStyle name="Normal 9 2 11" xfId="4875" xr:uid="{00000000-0005-0000-0000-00006B1E0000}"/>
    <cellStyle name="Normal 9 2 11 2" xfId="13325" xr:uid="{9B0ACF27-EAA4-4957-9A53-B2335A5E88B8}"/>
    <cellStyle name="Normal 9 2 11 3" xfId="21759" xr:uid="{475ECA4E-566C-47AA-BD7C-1EFB7453991F}"/>
    <cellStyle name="Normal 9 2 12" xfId="9107" xr:uid="{A4670C64-0F7B-4F4D-91EA-00019F4E35D6}"/>
    <cellStyle name="Normal 9 2 13" xfId="17542" xr:uid="{07EF89CB-F84C-4697-B6F3-F715E70071F1}"/>
    <cellStyle name="Normal 9 2 2" xfId="512" xr:uid="{00000000-0005-0000-0000-00006C1E0000}"/>
    <cellStyle name="Normal 9 2 2 10" xfId="4876" xr:uid="{00000000-0005-0000-0000-00006D1E0000}"/>
    <cellStyle name="Normal 9 2 2 10 2" xfId="13326" xr:uid="{2AE2E5BB-0DAC-4ADC-962E-7D00F5E3D553}"/>
    <cellStyle name="Normal 9 2 2 10 3" xfId="21760" xr:uid="{1773DEC4-1412-43E0-8A91-7F27B37E4DA9}"/>
    <cellStyle name="Normal 9 2 2 11" xfId="9108" xr:uid="{26766C75-00F9-44EF-9835-11CAACD3D0B3}"/>
    <cellStyle name="Normal 9 2 2 12" xfId="17543" xr:uid="{A7871AEE-1E77-4389-B1C2-D5987BFDF3F1}"/>
    <cellStyle name="Normal 9 2 2 2" xfId="513" xr:uid="{00000000-0005-0000-0000-00006E1E0000}"/>
    <cellStyle name="Normal 9 2 2 2 10" xfId="9109" xr:uid="{ED4EFE98-6EC7-4FF2-AB38-7D26FFA22C86}"/>
    <cellStyle name="Normal 9 2 2 2 11" xfId="17544" xr:uid="{049AB22C-9D88-4878-9A2C-BE28FD348E55}"/>
    <cellStyle name="Normal 9 2 2 2 2" xfId="514" xr:uid="{00000000-0005-0000-0000-00006F1E0000}"/>
    <cellStyle name="Normal 9 2 2 2 2 10" xfId="17545" xr:uid="{81134E75-1C69-4816-A8A4-939CDCD90276}"/>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EDA21BCD-D506-44DC-8811-22FA56D79027}"/>
    <cellStyle name="Normal 9 2 2 2 2 2 2 2 2 3" xfId="24321" xr:uid="{79B432E9-1704-43BB-9510-5647CBB4D6F7}"/>
    <cellStyle name="Normal 9 2 2 2 2 2 2 2 3" xfId="11669" xr:uid="{C4945868-6690-4651-94CA-468180EEEE57}"/>
    <cellStyle name="Normal 9 2 2 2 2 2 2 2 4" xfId="20104" xr:uid="{49D121CB-3FC6-4978-BA53-DDF29A65153E}"/>
    <cellStyle name="Normal 9 2 2 2 2 2 2 3" xfId="5292" xr:uid="{00000000-0005-0000-0000-0000741E0000}"/>
    <cellStyle name="Normal 9 2 2 2 2 2 2 3 2" xfId="13742" xr:uid="{5A8AB36F-B7FD-4D3C-B5F2-F09C56542532}"/>
    <cellStyle name="Normal 9 2 2 2 2 2 2 3 3" xfId="22176" xr:uid="{0364E547-4C69-4572-AD3E-18AB29554CAC}"/>
    <cellStyle name="Normal 9 2 2 2 2 2 2 4" xfId="9524" xr:uid="{133623DC-A1E6-45CF-B232-16D13CF85DC7}"/>
    <cellStyle name="Normal 9 2 2 2 2 2 2 5" xfId="17959" xr:uid="{71F3EBCA-A399-4A22-B98C-E186B68DDBED}"/>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CCD3003D-63D2-431B-89CA-9959E78B0E95}"/>
    <cellStyle name="Normal 9 2 2 2 2 2 3 2 2 3" xfId="24734" xr:uid="{0CD3E82F-0205-4483-947A-7E520797A8B0}"/>
    <cellStyle name="Normal 9 2 2 2 2 2 3 2 3" xfId="12082" xr:uid="{601249A6-E774-4B06-AC9A-70336823F4AF}"/>
    <cellStyle name="Normal 9 2 2 2 2 2 3 2 4" xfId="20517" xr:uid="{6D09DBD2-6365-4B73-BF2F-79176944216B}"/>
    <cellStyle name="Normal 9 2 2 2 2 2 3 3" xfId="5705" xr:uid="{00000000-0005-0000-0000-0000781E0000}"/>
    <cellStyle name="Normal 9 2 2 2 2 2 3 3 2" xfId="14155" xr:uid="{D940AF28-A200-4237-BC3A-C2D7ECE1CEF7}"/>
    <cellStyle name="Normal 9 2 2 2 2 2 3 3 3" xfId="22589" xr:uid="{8310BB85-8622-4CA4-80BD-60D08C558F06}"/>
    <cellStyle name="Normal 9 2 2 2 2 2 3 4" xfId="9937" xr:uid="{3DCDEF5F-12BD-4C3B-A95D-0336C966C69D}"/>
    <cellStyle name="Normal 9 2 2 2 2 2 3 5" xfId="18372" xr:uid="{30D02F92-0D24-4995-962D-F627327121E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A5DAAF42-BB68-4002-A25C-CC9738EF4AA1}"/>
    <cellStyle name="Normal 9 2 2 2 2 2 4 2 2 3" xfId="25147" xr:uid="{61DCD041-8FCB-4638-99ED-AFADDDF5A09F}"/>
    <cellStyle name="Normal 9 2 2 2 2 2 4 2 3" xfId="12495" xr:uid="{2E60D30F-0571-41EF-802F-3440FD193B4D}"/>
    <cellStyle name="Normal 9 2 2 2 2 2 4 2 4" xfId="20930" xr:uid="{CA2B35B8-EC5C-45A6-98C5-16C3C46470AA}"/>
    <cellStyle name="Normal 9 2 2 2 2 2 4 3" xfId="6118" xr:uid="{00000000-0005-0000-0000-00007C1E0000}"/>
    <cellStyle name="Normal 9 2 2 2 2 2 4 3 2" xfId="14568" xr:uid="{896888FD-BB68-44C0-BE25-FB6437C045EB}"/>
    <cellStyle name="Normal 9 2 2 2 2 2 4 3 3" xfId="23002" xr:uid="{032D7D7A-5EA2-48BC-B875-76AA08AC541B}"/>
    <cellStyle name="Normal 9 2 2 2 2 2 4 4" xfId="10350" xr:uid="{9693A711-322C-4D46-A4AB-B62F00110126}"/>
    <cellStyle name="Normal 9 2 2 2 2 2 4 5" xfId="18785" xr:uid="{64A7F658-694A-4CD9-96B7-F2AB2C033192}"/>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254FA065-D030-4DFA-9515-87A30ED417F4}"/>
    <cellStyle name="Normal 9 2 2 2 2 2 5 2 2 3" xfId="25560" xr:uid="{2EF36860-1052-42FA-B19C-CD164EDC7D55}"/>
    <cellStyle name="Normal 9 2 2 2 2 2 5 2 3" xfId="12908" xr:uid="{F2E60AEA-DE07-4B20-A322-20E503C1737E}"/>
    <cellStyle name="Normal 9 2 2 2 2 2 5 2 4" xfId="21343" xr:uid="{601F5E3F-7F7A-4F6D-9533-0D9043BDC82C}"/>
    <cellStyle name="Normal 9 2 2 2 2 2 5 3" xfId="6531" xr:uid="{00000000-0005-0000-0000-0000801E0000}"/>
    <cellStyle name="Normal 9 2 2 2 2 2 5 3 2" xfId="14981" xr:uid="{76926F5A-D2A6-4192-8E8C-D4F3D27617A9}"/>
    <cellStyle name="Normal 9 2 2 2 2 2 5 3 3" xfId="23415" xr:uid="{1FCB1A5F-6561-468D-93E8-3E76628516B5}"/>
    <cellStyle name="Normal 9 2 2 2 2 2 5 4" xfId="10763" xr:uid="{99E6D2F7-D0B4-4990-8555-86812A9FD33E}"/>
    <cellStyle name="Normal 9 2 2 2 2 2 5 5" xfId="19198" xr:uid="{5623404B-EED3-4963-8BA9-D0A037BD7CF6}"/>
    <cellStyle name="Normal 9 2 2 2 2 2 6" xfId="2661" xr:uid="{00000000-0005-0000-0000-0000811E0000}"/>
    <cellStyle name="Normal 9 2 2 2 2 2 6 2" xfId="6944" xr:uid="{00000000-0005-0000-0000-0000821E0000}"/>
    <cellStyle name="Normal 9 2 2 2 2 2 6 2 2" xfId="15394" xr:uid="{F69F4F39-737F-4064-9ECA-B7EBEA4DEE7A}"/>
    <cellStyle name="Normal 9 2 2 2 2 2 6 2 3" xfId="23828" xr:uid="{9FE6841C-D43C-47AD-A1CE-D436D10A6C49}"/>
    <cellStyle name="Normal 9 2 2 2 2 2 6 3" xfId="11176" xr:uid="{2630E5A2-3B52-47E9-A8E8-24DBD4812C79}"/>
    <cellStyle name="Normal 9 2 2 2 2 2 6 4" xfId="19611" xr:uid="{BDFB36B5-4CBE-4135-9924-EB1E738D0FAC}"/>
    <cellStyle name="Normal 9 2 2 2 2 2 7" xfId="4879" xr:uid="{00000000-0005-0000-0000-0000831E0000}"/>
    <cellStyle name="Normal 9 2 2 2 2 2 7 2" xfId="13329" xr:uid="{1E6EBD45-E703-4BC6-A383-F2A3ECFEB0AF}"/>
    <cellStyle name="Normal 9 2 2 2 2 2 7 3" xfId="21763" xr:uid="{1ED7080A-59CC-47E1-B370-27FEEB007990}"/>
    <cellStyle name="Normal 9 2 2 2 2 2 8" xfId="9111" xr:uid="{061189F8-BA21-4343-A346-7A82F4D37B45}"/>
    <cellStyle name="Normal 9 2 2 2 2 2 9" xfId="17546" xr:uid="{44B392BF-0E74-4C78-9405-D38D77609BF6}"/>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35CC947E-6441-49EE-9016-FF51718900C6}"/>
    <cellStyle name="Normal 9 2 2 2 2 3 2 2 3" xfId="24320" xr:uid="{0D0968A3-7884-463E-BCA8-5F9B4E664ED8}"/>
    <cellStyle name="Normal 9 2 2 2 2 3 2 3" xfId="11668" xr:uid="{33D260B9-8141-4BF1-8BFD-5B85CA6700DE}"/>
    <cellStyle name="Normal 9 2 2 2 2 3 2 4" xfId="20103" xr:uid="{9DE07035-F504-459C-85D6-7FE1BD0CC268}"/>
    <cellStyle name="Normal 9 2 2 2 2 3 3" xfId="5291" xr:uid="{00000000-0005-0000-0000-0000871E0000}"/>
    <cellStyle name="Normal 9 2 2 2 2 3 3 2" xfId="13741" xr:uid="{37DEE903-A52B-4EEC-96AF-599E0A5DFF0A}"/>
    <cellStyle name="Normal 9 2 2 2 2 3 3 3" xfId="22175" xr:uid="{4F62DC94-6D80-4ED5-B77A-C58787A46466}"/>
    <cellStyle name="Normal 9 2 2 2 2 3 4" xfId="9523" xr:uid="{347DD52A-7C5F-450C-895B-0FDA33FC9DAC}"/>
    <cellStyle name="Normal 9 2 2 2 2 3 5" xfId="17958" xr:uid="{E0C83D78-237F-4305-9871-837B16E0DD9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14C70287-16C4-4C2C-8D51-F167BD2679BF}"/>
    <cellStyle name="Normal 9 2 2 2 2 4 2 2 3" xfId="24733" xr:uid="{EA993497-1D64-4745-9DBF-48153CA75D27}"/>
    <cellStyle name="Normal 9 2 2 2 2 4 2 3" xfId="12081" xr:uid="{7FDBB071-6837-4FDC-A462-7BB2D9C3E121}"/>
    <cellStyle name="Normal 9 2 2 2 2 4 2 4" xfId="20516" xr:uid="{C38B784A-5B12-4A06-BC97-D698EAED1D78}"/>
    <cellStyle name="Normal 9 2 2 2 2 4 3" xfId="5704" xr:uid="{00000000-0005-0000-0000-00008B1E0000}"/>
    <cellStyle name="Normal 9 2 2 2 2 4 3 2" xfId="14154" xr:uid="{1A343622-E363-4F55-8BC4-AA70CA319353}"/>
    <cellStyle name="Normal 9 2 2 2 2 4 3 3" xfId="22588" xr:uid="{6EED6A46-0E78-4A63-B72C-0B9F6C7737A2}"/>
    <cellStyle name="Normal 9 2 2 2 2 4 4" xfId="9936" xr:uid="{B94B8498-B1F2-425A-B896-12D7877DC7AF}"/>
    <cellStyle name="Normal 9 2 2 2 2 4 5" xfId="18371" xr:uid="{12B14E7A-1A4B-4BFB-A86B-106D845D1DE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87AEB018-71DA-46E3-8CC9-7166664978DE}"/>
    <cellStyle name="Normal 9 2 2 2 2 5 2 2 3" xfId="25146" xr:uid="{026B5A71-B4A6-41AF-AEB0-BB5B80C54BA8}"/>
    <cellStyle name="Normal 9 2 2 2 2 5 2 3" xfId="12494" xr:uid="{77A564EF-BA7C-4620-9DD2-6D6EC63AB9F4}"/>
    <cellStyle name="Normal 9 2 2 2 2 5 2 4" xfId="20929" xr:uid="{850567E1-26E1-4A5B-B6B2-56D4BBA6A078}"/>
    <cellStyle name="Normal 9 2 2 2 2 5 3" xfId="6117" xr:uid="{00000000-0005-0000-0000-00008F1E0000}"/>
    <cellStyle name="Normal 9 2 2 2 2 5 3 2" xfId="14567" xr:uid="{BCE85FCC-C4BE-4270-94BD-6372AA635EB7}"/>
    <cellStyle name="Normal 9 2 2 2 2 5 3 3" xfId="23001" xr:uid="{1A11137B-0EA5-472A-AF9A-0BF9861B70D9}"/>
    <cellStyle name="Normal 9 2 2 2 2 5 4" xfId="10349" xr:uid="{75B91A14-527C-40BD-8654-59BDB4F35A57}"/>
    <cellStyle name="Normal 9 2 2 2 2 5 5" xfId="18784" xr:uid="{416BFAA8-72FE-47AE-AA5B-92DD1CDF2128}"/>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491E4B7A-4B1B-4A12-894E-B591F99FAAC7}"/>
    <cellStyle name="Normal 9 2 2 2 2 6 2 2 3" xfId="25559" xr:uid="{14F26AC3-47EF-4A91-AC33-F2F19E3C991A}"/>
    <cellStyle name="Normal 9 2 2 2 2 6 2 3" xfId="12907" xr:uid="{C16B13BC-2D36-4888-A5A8-3D7AB870348C}"/>
    <cellStyle name="Normal 9 2 2 2 2 6 2 4" xfId="21342" xr:uid="{FF6185C9-FAE8-4822-A027-5161EE15F37B}"/>
    <cellStyle name="Normal 9 2 2 2 2 6 3" xfId="6530" xr:uid="{00000000-0005-0000-0000-0000931E0000}"/>
    <cellStyle name="Normal 9 2 2 2 2 6 3 2" xfId="14980" xr:uid="{D2F08E1F-0FFC-436D-A6F1-C62546C75711}"/>
    <cellStyle name="Normal 9 2 2 2 2 6 3 3" xfId="23414" xr:uid="{59AC5E1D-2CB5-4E03-89EF-98A54DFF316F}"/>
    <cellStyle name="Normal 9 2 2 2 2 6 4" xfId="10762" xr:uid="{E9FC21C6-26D6-4B25-81AB-40F0864CEA46}"/>
    <cellStyle name="Normal 9 2 2 2 2 6 5" xfId="19197" xr:uid="{94CF9B6B-69A7-4BA1-8088-110B55673C0D}"/>
    <cellStyle name="Normal 9 2 2 2 2 7" xfId="2660" xr:uid="{00000000-0005-0000-0000-0000941E0000}"/>
    <cellStyle name="Normal 9 2 2 2 2 7 2" xfId="6943" xr:uid="{00000000-0005-0000-0000-0000951E0000}"/>
    <cellStyle name="Normal 9 2 2 2 2 7 2 2" xfId="15393" xr:uid="{8C2CA3A0-F0E5-407E-8B1C-9AA5A57F622D}"/>
    <cellStyle name="Normal 9 2 2 2 2 7 2 3" xfId="23827" xr:uid="{62072ECB-ACE7-4BC6-9E0F-F9F2BDD5D553}"/>
    <cellStyle name="Normal 9 2 2 2 2 7 3" xfId="11175" xr:uid="{A652E57A-C6BA-4D44-B391-E64A13055F3F}"/>
    <cellStyle name="Normal 9 2 2 2 2 7 4" xfId="19610" xr:uid="{8E9F6776-C218-4F4E-BD12-066856A0EDAA}"/>
    <cellStyle name="Normal 9 2 2 2 2 8" xfId="4878" xr:uid="{00000000-0005-0000-0000-0000961E0000}"/>
    <cellStyle name="Normal 9 2 2 2 2 8 2" xfId="13328" xr:uid="{1041500C-5A3F-468B-8120-DF8A120EB3C8}"/>
    <cellStyle name="Normal 9 2 2 2 2 8 3" xfId="21762" xr:uid="{F95E1D64-07A7-4AF0-8096-8C97EB751DCA}"/>
    <cellStyle name="Normal 9 2 2 2 2 9" xfId="9110" xr:uid="{783A6172-43C5-4BCC-9376-0EA141EF929E}"/>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430455E2-1A74-4FB2-BC66-4E48E2854433}"/>
    <cellStyle name="Normal 9 2 2 2 3 2 2 2 3" xfId="24322" xr:uid="{39F7CFFB-71F7-4D6A-B8A3-BE43BDA4E49C}"/>
    <cellStyle name="Normal 9 2 2 2 3 2 2 3" xfId="11670" xr:uid="{FD84F34F-C266-489A-8ED0-5E2DD5ABD139}"/>
    <cellStyle name="Normal 9 2 2 2 3 2 2 4" xfId="20105" xr:uid="{2E886158-CCED-458F-ADAB-57BFF4FC16F0}"/>
    <cellStyle name="Normal 9 2 2 2 3 2 3" xfId="5293" xr:uid="{00000000-0005-0000-0000-00009B1E0000}"/>
    <cellStyle name="Normal 9 2 2 2 3 2 3 2" xfId="13743" xr:uid="{EF35C6AF-6762-487D-989C-3BE73589F91D}"/>
    <cellStyle name="Normal 9 2 2 2 3 2 3 3" xfId="22177" xr:uid="{6F088C9C-7F9F-4255-BE8D-86DA9DED1DFB}"/>
    <cellStyle name="Normal 9 2 2 2 3 2 4" xfId="9525" xr:uid="{96EC8EC0-61CD-4216-9436-F4869DAB81EA}"/>
    <cellStyle name="Normal 9 2 2 2 3 2 5" xfId="17960" xr:uid="{C9441F09-5F3C-4E3A-8D2B-796E1718650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AD313415-8294-499F-8C69-F0A6257339C8}"/>
    <cellStyle name="Normal 9 2 2 2 3 3 2 2 3" xfId="24735" xr:uid="{7E3017CE-822F-4DD7-92BF-955AB0FF58DE}"/>
    <cellStyle name="Normal 9 2 2 2 3 3 2 3" xfId="12083" xr:uid="{B277C15A-C1F3-48B1-9E02-B75FC39F872E}"/>
    <cellStyle name="Normal 9 2 2 2 3 3 2 4" xfId="20518" xr:uid="{9E7558B9-2680-46EB-8473-A7E94045BCA8}"/>
    <cellStyle name="Normal 9 2 2 2 3 3 3" xfId="5706" xr:uid="{00000000-0005-0000-0000-00009F1E0000}"/>
    <cellStyle name="Normal 9 2 2 2 3 3 3 2" xfId="14156" xr:uid="{E6988B75-DF3E-4487-B8ED-9C4ED0684478}"/>
    <cellStyle name="Normal 9 2 2 2 3 3 3 3" xfId="22590" xr:uid="{5B539083-A234-4B96-B9BC-FBC44F75FDEE}"/>
    <cellStyle name="Normal 9 2 2 2 3 3 4" xfId="9938" xr:uid="{08922178-22CF-4DBD-9B94-639285BB70C2}"/>
    <cellStyle name="Normal 9 2 2 2 3 3 5" xfId="18373" xr:uid="{1863162C-9862-47B3-BEEF-015B718B1528}"/>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9E7EA702-75A2-405E-AAFE-D284B6EB6542}"/>
    <cellStyle name="Normal 9 2 2 2 3 4 2 2 3" xfId="25148" xr:uid="{B7262D78-7391-4182-AFE1-4A7F664EC451}"/>
    <cellStyle name="Normal 9 2 2 2 3 4 2 3" xfId="12496" xr:uid="{931CC200-BA0D-40D6-83C4-88EFC381F3FC}"/>
    <cellStyle name="Normal 9 2 2 2 3 4 2 4" xfId="20931" xr:uid="{507C901A-8AEE-498B-BB23-2FF712BC2A96}"/>
    <cellStyle name="Normal 9 2 2 2 3 4 3" xfId="6119" xr:uid="{00000000-0005-0000-0000-0000A31E0000}"/>
    <cellStyle name="Normal 9 2 2 2 3 4 3 2" xfId="14569" xr:uid="{F18A294A-224E-489E-B2FE-F2C4A5E2DE4D}"/>
    <cellStyle name="Normal 9 2 2 2 3 4 3 3" xfId="23003" xr:uid="{B485F2FC-6369-4F5D-ACF8-8E4B3B640B6B}"/>
    <cellStyle name="Normal 9 2 2 2 3 4 4" xfId="10351" xr:uid="{BB5FBEAE-0130-4B54-9DA4-29F2042C6E95}"/>
    <cellStyle name="Normal 9 2 2 2 3 4 5" xfId="18786" xr:uid="{F7C5B104-3CEA-432F-AFE4-960E7EF32FB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FC7A0BDE-8ADD-4EC7-96CF-EC909F38C810}"/>
    <cellStyle name="Normal 9 2 2 2 3 5 2 2 3" xfId="25561" xr:uid="{BBB4B7FF-5392-48DD-B637-1B97BEA8B054}"/>
    <cellStyle name="Normal 9 2 2 2 3 5 2 3" xfId="12909" xr:uid="{BFA662A0-A3E4-419A-9239-3FBCDEB3D331}"/>
    <cellStyle name="Normal 9 2 2 2 3 5 2 4" xfId="21344" xr:uid="{6F21C264-8165-4C04-8AF4-4B96E3D16031}"/>
    <cellStyle name="Normal 9 2 2 2 3 5 3" xfId="6532" xr:uid="{00000000-0005-0000-0000-0000A71E0000}"/>
    <cellStyle name="Normal 9 2 2 2 3 5 3 2" xfId="14982" xr:uid="{2CB45843-6867-4ED2-9964-5AA9EF92A191}"/>
    <cellStyle name="Normal 9 2 2 2 3 5 3 3" xfId="23416" xr:uid="{EEE363F4-71F9-43A0-9D2A-96B154D97EFE}"/>
    <cellStyle name="Normal 9 2 2 2 3 5 4" xfId="10764" xr:uid="{826A8867-0AFB-43FE-943F-39744AA4816D}"/>
    <cellStyle name="Normal 9 2 2 2 3 5 5" xfId="19199" xr:uid="{18CFFE94-7F1E-4653-A97E-4435C919A534}"/>
    <cellStyle name="Normal 9 2 2 2 3 6" xfId="2662" xr:uid="{00000000-0005-0000-0000-0000A81E0000}"/>
    <cellStyle name="Normal 9 2 2 2 3 6 2" xfId="6945" xr:uid="{00000000-0005-0000-0000-0000A91E0000}"/>
    <cellStyle name="Normal 9 2 2 2 3 6 2 2" xfId="15395" xr:uid="{8CFC7C98-0F15-45A7-8D37-B5A7D2F37B67}"/>
    <cellStyle name="Normal 9 2 2 2 3 6 2 3" xfId="23829" xr:uid="{914B730B-3BE0-4D0E-A40F-368EE4047315}"/>
    <cellStyle name="Normal 9 2 2 2 3 6 3" xfId="11177" xr:uid="{F2B12EE2-B46B-475A-B1A3-A6DC6BE425C6}"/>
    <cellStyle name="Normal 9 2 2 2 3 6 4" xfId="19612" xr:uid="{A55B6CA8-B93F-4103-AC36-61C02FFD9F46}"/>
    <cellStyle name="Normal 9 2 2 2 3 7" xfId="4880" xr:uid="{00000000-0005-0000-0000-0000AA1E0000}"/>
    <cellStyle name="Normal 9 2 2 2 3 7 2" xfId="13330" xr:uid="{E27C9A20-F186-4B7B-B566-1415EEFA74CC}"/>
    <cellStyle name="Normal 9 2 2 2 3 7 3" xfId="21764" xr:uid="{B88DA454-CFC7-47F9-A3F9-C9A8D39A27CD}"/>
    <cellStyle name="Normal 9 2 2 2 3 8" xfId="9112" xr:uid="{E7988809-1316-4060-826A-C5F168C15CAB}"/>
    <cellStyle name="Normal 9 2 2 2 3 9" xfId="17547" xr:uid="{34DA300F-5E8B-459E-BA45-87F26B5DEB9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F92ABB16-3023-41C6-B80A-1DD5172D7AD2}"/>
    <cellStyle name="Normal 9 2 2 2 4 2 2 3" xfId="24319" xr:uid="{F0CDFDFB-E9B1-4A5B-9EC1-DF10E99F22E5}"/>
    <cellStyle name="Normal 9 2 2 2 4 2 3" xfId="11667" xr:uid="{F5A91001-4607-467C-96A6-970799C67E61}"/>
    <cellStyle name="Normal 9 2 2 2 4 2 4" xfId="20102" xr:uid="{21C6DDAC-3C54-4590-9167-73C21B878E44}"/>
    <cellStyle name="Normal 9 2 2 2 4 3" xfId="5290" xr:uid="{00000000-0005-0000-0000-0000AE1E0000}"/>
    <cellStyle name="Normal 9 2 2 2 4 3 2" xfId="13740" xr:uid="{33FAD648-BAE4-4587-9382-86CF7796C873}"/>
    <cellStyle name="Normal 9 2 2 2 4 3 3" xfId="22174" xr:uid="{F89FB644-415D-4454-BBD6-217EDFFDCF80}"/>
    <cellStyle name="Normal 9 2 2 2 4 4" xfId="9522" xr:uid="{029A8928-DD00-4AD1-9152-77586A8317E2}"/>
    <cellStyle name="Normal 9 2 2 2 4 5" xfId="17957" xr:uid="{C899759E-61DB-4AFD-8C02-E95A3BBE0CA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9A965F4E-73E9-4412-AF53-DE89288C946B}"/>
    <cellStyle name="Normal 9 2 2 2 5 2 2 3" xfId="24732" xr:uid="{2C6B2141-F506-4D24-9098-216D32B6150B}"/>
    <cellStyle name="Normal 9 2 2 2 5 2 3" xfId="12080" xr:uid="{CE226BBF-A6FB-4880-8DF0-79ED1B30ECD2}"/>
    <cellStyle name="Normal 9 2 2 2 5 2 4" xfId="20515" xr:uid="{00D6BE06-1FB9-4B84-BBC8-E6121326BFC1}"/>
    <cellStyle name="Normal 9 2 2 2 5 3" xfId="5703" xr:uid="{00000000-0005-0000-0000-0000B21E0000}"/>
    <cellStyle name="Normal 9 2 2 2 5 3 2" xfId="14153" xr:uid="{74161C9C-AEE4-4386-9602-CBFBDA7E48FA}"/>
    <cellStyle name="Normal 9 2 2 2 5 3 3" xfId="22587" xr:uid="{87FD531B-1E79-4CAD-9C2D-3C02140CED2E}"/>
    <cellStyle name="Normal 9 2 2 2 5 4" xfId="9935" xr:uid="{BCBE3218-BB34-48D3-820B-908BDF4EA874}"/>
    <cellStyle name="Normal 9 2 2 2 5 5" xfId="18370" xr:uid="{7E8BE2D5-D117-453D-AB3F-D18CB2551AAB}"/>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9349BA41-AC62-40DE-8088-C3285F8ED853}"/>
    <cellStyle name="Normal 9 2 2 2 6 2 2 3" xfId="25145" xr:uid="{50C57F25-D206-494D-B48A-D4C05BDAAE27}"/>
    <cellStyle name="Normal 9 2 2 2 6 2 3" xfId="12493" xr:uid="{9C3DD48E-91B5-415E-AC68-F261C59774D8}"/>
    <cellStyle name="Normal 9 2 2 2 6 2 4" xfId="20928" xr:uid="{A4ABE33D-8FBF-4667-A9D2-DE1143C32357}"/>
    <cellStyle name="Normal 9 2 2 2 6 3" xfId="6116" xr:uid="{00000000-0005-0000-0000-0000B61E0000}"/>
    <cellStyle name="Normal 9 2 2 2 6 3 2" xfId="14566" xr:uid="{318CAAD8-3A5D-442F-9ED1-D8A158F4D1D0}"/>
    <cellStyle name="Normal 9 2 2 2 6 3 3" xfId="23000" xr:uid="{B66B281E-9750-4EB3-8956-160580A465C7}"/>
    <cellStyle name="Normal 9 2 2 2 6 4" xfId="10348" xr:uid="{B2E256A4-F200-4AB9-916B-7562C07677D3}"/>
    <cellStyle name="Normal 9 2 2 2 6 5" xfId="18783" xr:uid="{8B3A94C9-4CEE-4528-9266-1F9C113F7140}"/>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C5B2B5F0-7CD4-4C80-9A34-3D5FE98690D4}"/>
    <cellStyle name="Normal 9 2 2 2 7 2 2 3" xfId="25558" xr:uid="{7CC12E88-D515-412A-9727-2CE458C0B19C}"/>
    <cellStyle name="Normal 9 2 2 2 7 2 3" xfId="12906" xr:uid="{9C937C36-0A72-4301-84E7-1E6506BD24E2}"/>
    <cellStyle name="Normal 9 2 2 2 7 2 4" xfId="21341" xr:uid="{97B2D6D6-BE44-435F-84B2-D541BB3A23E3}"/>
    <cellStyle name="Normal 9 2 2 2 7 3" xfId="6529" xr:uid="{00000000-0005-0000-0000-0000BA1E0000}"/>
    <cellStyle name="Normal 9 2 2 2 7 3 2" xfId="14979" xr:uid="{2A4ADF31-A457-4678-B20F-B282EEF81FE8}"/>
    <cellStyle name="Normal 9 2 2 2 7 3 3" xfId="23413" xr:uid="{F71365B8-17C5-47B1-9EDA-09EAFCD5612E}"/>
    <cellStyle name="Normal 9 2 2 2 7 4" xfId="10761" xr:uid="{B79EC0BC-BC9E-4E9E-9EBE-11CE0CDA7C2D}"/>
    <cellStyle name="Normal 9 2 2 2 7 5" xfId="19196" xr:uid="{A156E45D-2246-46F6-91E9-4311AC25A16F}"/>
    <cellStyle name="Normal 9 2 2 2 8" xfId="2659" xr:uid="{00000000-0005-0000-0000-0000BB1E0000}"/>
    <cellStyle name="Normal 9 2 2 2 8 2" xfId="6942" xr:uid="{00000000-0005-0000-0000-0000BC1E0000}"/>
    <cellStyle name="Normal 9 2 2 2 8 2 2" xfId="15392" xr:uid="{AD9B73E3-73CD-4FDE-A0C8-954CA3D9D45B}"/>
    <cellStyle name="Normal 9 2 2 2 8 2 3" xfId="23826" xr:uid="{A53D9551-C95D-46A8-AB8F-72CDA488FE2A}"/>
    <cellStyle name="Normal 9 2 2 2 8 3" xfId="11174" xr:uid="{DF278451-58A4-4AAF-BA65-7B1484B55493}"/>
    <cellStyle name="Normal 9 2 2 2 8 4" xfId="19609" xr:uid="{1A722EFD-5D06-4698-BA10-2A33801B6B2A}"/>
    <cellStyle name="Normal 9 2 2 2 9" xfId="4877" xr:uid="{00000000-0005-0000-0000-0000BD1E0000}"/>
    <cellStyle name="Normal 9 2 2 2 9 2" xfId="13327" xr:uid="{FA2B0AA7-F454-488B-82B1-3D1A7D9DE07C}"/>
    <cellStyle name="Normal 9 2 2 2 9 3" xfId="21761" xr:uid="{D79435D4-167B-42C1-9265-D9C83C6BDF9F}"/>
    <cellStyle name="Normal 9 2 2 3" xfId="517" xr:uid="{00000000-0005-0000-0000-0000BE1E0000}"/>
    <cellStyle name="Normal 9 2 2 3 10" xfId="17548" xr:uid="{C9FE79A3-426D-41DF-BF56-64C119F14C5D}"/>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CEC6783F-8647-4BE5-B659-B7DC4AF7DB01}"/>
    <cellStyle name="Normal 9 2 2 3 2 2 2 2 3" xfId="24324" xr:uid="{915811B2-D9ED-4143-B436-62E442F4FC5C}"/>
    <cellStyle name="Normal 9 2 2 3 2 2 2 3" xfId="11672" xr:uid="{78089CF6-6531-4558-BD54-B013CC0DB683}"/>
    <cellStyle name="Normal 9 2 2 3 2 2 2 4" xfId="20107" xr:uid="{588E77CE-2CCC-454C-9755-383D7E4A9800}"/>
    <cellStyle name="Normal 9 2 2 3 2 2 3" xfId="5295" xr:uid="{00000000-0005-0000-0000-0000C31E0000}"/>
    <cellStyle name="Normal 9 2 2 3 2 2 3 2" xfId="13745" xr:uid="{DB060ACD-688E-41BC-9DD3-02B7F0CBD4EF}"/>
    <cellStyle name="Normal 9 2 2 3 2 2 3 3" xfId="22179" xr:uid="{CE2BF294-F8AC-43CF-A94A-792DA79B394D}"/>
    <cellStyle name="Normal 9 2 2 3 2 2 4" xfId="9527" xr:uid="{05CFEEAC-08D9-48DC-AB7A-1E7DD7789292}"/>
    <cellStyle name="Normal 9 2 2 3 2 2 5" xfId="17962" xr:uid="{D493C6BB-F1F3-462A-B095-8C73E74390E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04F4D8C0-2A94-4AAB-AC9C-467E053991DB}"/>
    <cellStyle name="Normal 9 2 2 3 2 3 2 2 3" xfId="24737" xr:uid="{0920F7C8-69DF-42C8-AC9C-1A1C0D55655E}"/>
    <cellStyle name="Normal 9 2 2 3 2 3 2 3" xfId="12085" xr:uid="{1F40853F-22AE-49CA-9B3F-A9B95414251E}"/>
    <cellStyle name="Normal 9 2 2 3 2 3 2 4" xfId="20520" xr:uid="{70BA4D92-0811-41A2-B88F-0E6FB2FB0099}"/>
    <cellStyle name="Normal 9 2 2 3 2 3 3" xfId="5708" xr:uid="{00000000-0005-0000-0000-0000C71E0000}"/>
    <cellStyle name="Normal 9 2 2 3 2 3 3 2" xfId="14158" xr:uid="{4FED3FF9-08AD-44B0-88A0-0EABA6538780}"/>
    <cellStyle name="Normal 9 2 2 3 2 3 3 3" xfId="22592" xr:uid="{0AC6EC18-2005-489F-999E-F05DE08C8C9D}"/>
    <cellStyle name="Normal 9 2 2 3 2 3 4" xfId="9940" xr:uid="{09E87B9F-71AD-441F-848D-46DD90295800}"/>
    <cellStyle name="Normal 9 2 2 3 2 3 5" xfId="18375" xr:uid="{59F02A32-86C8-477C-8D84-41666C9ACBB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5D0F7F7B-CB43-4137-B5AE-04A9424204E4}"/>
    <cellStyle name="Normal 9 2 2 3 2 4 2 2 3" xfId="25150" xr:uid="{D79052F2-2305-4129-AD32-CD5E0487A9C6}"/>
    <cellStyle name="Normal 9 2 2 3 2 4 2 3" xfId="12498" xr:uid="{C888CB6F-2DAA-4DB3-8C37-AFFB54D91E4D}"/>
    <cellStyle name="Normal 9 2 2 3 2 4 2 4" xfId="20933" xr:uid="{3E673808-0126-4D34-B7EC-F9758907BC21}"/>
    <cellStyle name="Normal 9 2 2 3 2 4 3" xfId="6121" xr:uid="{00000000-0005-0000-0000-0000CB1E0000}"/>
    <cellStyle name="Normal 9 2 2 3 2 4 3 2" xfId="14571" xr:uid="{9388A882-664A-4D3F-BD29-6843BFA494FF}"/>
    <cellStyle name="Normal 9 2 2 3 2 4 3 3" xfId="23005" xr:uid="{0A266193-5AEE-4BA8-BD1F-CAB9CE0C6101}"/>
    <cellStyle name="Normal 9 2 2 3 2 4 4" xfId="10353" xr:uid="{671B7FB3-F12B-453F-83E0-F77EAA1CAEFC}"/>
    <cellStyle name="Normal 9 2 2 3 2 4 5" xfId="18788" xr:uid="{437E811A-6037-481C-BF50-C8EDB75A7256}"/>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1970CEA0-4E6A-44A9-A333-2F2ED76B4990}"/>
    <cellStyle name="Normal 9 2 2 3 2 5 2 2 3" xfId="25563" xr:uid="{0DCBEBD2-07B1-49DD-87C5-9AB025D5E491}"/>
    <cellStyle name="Normal 9 2 2 3 2 5 2 3" xfId="12911" xr:uid="{141BBCD3-A96A-4791-BD30-13E77ADBF722}"/>
    <cellStyle name="Normal 9 2 2 3 2 5 2 4" xfId="21346" xr:uid="{CB5D3593-55CC-4536-8974-51B29A74AF28}"/>
    <cellStyle name="Normal 9 2 2 3 2 5 3" xfId="6534" xr:uid="{00000000-0005-0000-0000-0000CF1E0000}"/>
    <cellStyle name="Normal 9 2 2 3 2 5 3 2" xfId="14984" xr:uid="{182F4452-7B3E-4CEC-AA60-FC8B9BD139CB}"/>
    <cellStyle name="Normal 9 2 2 3 2 5 3 3" xfId="23418" xr:uid="{7D040DC1-29C2-4975-B063-00F753190FA0}"/>
    <cellStyle name="Normal 9 2 2 3 2 5 4" xfId="10766" xr:uid="{0BFC8583-3748-493D-9534-4F98FC50A0D5}"/>
    <cellStyle name="Normal 9 2 2 3 2 5 5" xfId="19201" xr:uid="{0AC276FE-9C27-4F4B-B47B-ABF46AFAD73B}"/>
    <cellStyle name="Normal 9 2 2 3 2 6" xfId="2664" xr:uid="{00000000-0005-0000-0000-0000D01E0000}"/>
    <cellStyle name="Normal 9 2 2 3 2 6 2" xfId="6947" xr:uid="{00000000-0005-0000-0000-0000D11E0000}"/>
    <cellStyle name="Normal 9 2 2 3 2 6 2 2" xfId="15397" xr:uid="{0AE3BA55-231B-49E5-A9D4-8E0A6A43D401}"/>
    <cellStyle name="Normal 9 2 2 3 2 6 2 3" xfId="23831" xr:uid="{AF4C0AC7-A0E1-4247-82DC-C49BC4CFCD64}"/>
    <cellStyle name="Normal 9 2 2 3 2 6 3" xfId="11179" xr:uid="{2F93D7A8-3527-4E9E-B280-81EDC6D8AB9C}"/>
    <cellStyle name="Normal 9 2 2 3 2 6 4" xfId="19614" xr:uid="{792A7EFD-F210-4F73-9B4B-67DFD9A7B8F8}"/>
    <cellStyle name="Normal 9 2 2 3 2 7" xfId="4882" xr:uid="{00000000-0005-0000-0000-0000D21E0000}"/>
    <cellStyle name="Normal 9 2 2 3 2 7 2" xfId="13332" xr:uid="{FDD05162-D18C-4602-950E-73845B5AEFB8}"/>
    <cellStyle name="Normal 9 2 2 3 2 7 3" xfId="21766" xr:uid="{9F1D017E-CF82-4EBE-8C1B-43A1B325747C}"/>
    <cellStyle name="Normal 9 2 2 3 2 8" xfId="9114" xr:uid="{5B00CC77-E513-4D76-A7E9-00AF86C42FAC}"/>
    <cellStyle name="Normal 9 2 2 3 2 9" xfId="17549" xr:uid="{0663CD22-3DF4-4F65-88E9-15C5F06ACD45}"/>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458E1585-C2BB-480F-9466-D1B1B9A0323D}"/>
    <cellStyle name="Normal 9 2 2 3 3 2 2 3" xfId="24323" xr:uid="{2FBCFD9A-048B-4C10-9423-29B7182F01FF}"/>
    <cellStyle name="Normal 9 2 2 3 3 2 3" xfId="11671" xr:uid="{A6992ABF-2C47-497F-AF43-94167AC931FC}"/>
    <cellStyle name="Normal 9 2 2 3 3 2 4" xfId="20106" xr:uid="{C53DCF09-1095-46DC-88DD-66F9850A829D}"/>
    <cellStyle name="Normal 9 2 2 3 3 3" xfId="5294" xr:uid="{00000000-0005-0000-0000-0000D61E0000}"/>
    <cellStyle name="Normal 9 2 2 3 3 3 2" xfId="13744" xr:uid="{06EE7E74-C91C-4973-BAB9-6A825182073C}"/>
    <cellStyle name="Normal 9 2 2 3 3 3 3" xfId="22178" xr:uid="{B86FD2D6-28C9-46A9-B4A8-9DC2A411FDC7}"/>
    <cellStyle name="Normal 9 2 2 3 3 4" xfId="9526" xr:uid="{35652AB1-77C2-448F-957D-C4A01044830E}"/>
    <cellStyle name="Normal 9 2 2 3 3 5" xfId="17961" xr:uid="{2D895650-23CC-4678-8691-A410C547244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C2AD0849-3935-4AFA-AEC4-AFC1D40966C0}"/>
    <cellStyle name="Normal 9 2 2 3 4 2 2 3" xfId="24736" xr:uid="{040C2D05-662F-4ADA-8404-AD3CEBDD9958}"/>
    <cellStyle name="Normal 9 2 2 3 4 2 3" xfId="12084" xr:uid="{3E0E09C3-FB62-4FE4-B4F2-258B3B4BDB07}"/>
    <cellStyle name="Normal 9 2 2 3 4 2 4" xfId="20519" xr:uid="{7EB30843-9427-48A7-AE17-962BCDE4F110}"/>
    <cellStyle name="Normal 9 2 2 3 4 3" xfId="5707" xr:uid="{00000000-0005-0000-0000-0000DA1E0000}"/>
    <cellStyle name="Normal 9 2 2 3 4 3 2" xfId="14157" xr:uid="{194F1033-516C-4547-9A0B-6D92D987B5DC}"/>
    <cellStyle name="Normal 9 2 2 3 4 3 3" xfId="22591" xr:uid="{DB6BDC64-4CBB-4ADA-AD86-682F4D68ACA7}"/>
    <cellStyle name="Normal 9 2 2 3 4 4" xfId="9939" xr:uid="{2B8A8B7F-291C-4228-ABB0-635A8E1884AE}"/>
    <cellStyle name="Normal 9 2 2 3 4 5" xfId="18374" xr:uid="{71F0F253-89D6-42C8-B4B7-C987E9C34DC5}"/>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CCF60DB6-C1AB-4A06-B3B9-CEE208D0FBA0}"/>
    <cellStyle name="Normal 9 2 2 3 5 2 2 3" xfId="25149" xr:uid="{702F1458-882B-479C-8A14-2F2957FF542A}"/>
    <cellStyle name="Normal 9 2 2 3 5 2 3" xfId="12497" xr:uid="{AFB1A839-CA5F-4A43-947D-392D1206913D}"/>
    <cellStyle name="Normal 9 2 2 3 5 2 4" xfId="20932" xr:uid="{7689C809-3540-4EFA-AA9B-9BD9CEA7AC3D}"/>
    <cellStyle name="Normal 9 2 2 3 5 3" xfId="6120" xr:uid="{00000000-0005-0000-0000-0000DE1E0000}"/>
    <cellStyle name="Normal 9 2 2 3 5 3 2" xfId="14570" xr:uid="{D57FDDBD-A2D6-4015-914C-4707FAC9A7EC}"/>
    <cellStyle name="Normal 9 2 2 3 5 3 3" xfId="23004" xr:uid="{450A404A-B6AA-4705-902C-9C5BFE8E2EF2}"/>
    <cellStyle name="Normal 9 2 2 3 5 4" xfId="10352" xr:uid="{7D854C2E-0D5A-4A3C-8922-7552F60AA539}"/>
    <cellStyle name="Normal 9 2 2 3 5 5" xfId="18787" xr:uid="{831B7522-9A53-4EC8-ADC1-818842F4122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7778E90D-D3C6-4CE0-9996-5EFD15D0646B}"/>
    <cellStyle name="Normal 9 2 2 3 6 2 2 3" xfId="25562" xr:uid="{0A042F79-D160-4DA6-BA69-893AD6642C90}"/>
    <cellStyle name="Normal 9 2 2 3 6 2 3" xfId="12910" xr:uid="{C56F34EC-C401-491E-A73E-6919512627FB}"/>
    <cellStyle name="Normal 9 2 2 3 6 2 4" xfId="21345" xr:uid="{66731B76-4DB3-4872-8CC5-E31F4A61230A}"/>
    <cellStyle name="Normal 9 2 2 3 6 3" xfId="6533" xr:uid="{00000000-0005-0000-0000-0000E21E0000}"/>
    <cellStyle name="Normal 9 2 2 3 6 3 2" xfId="14983" xr:uid="{D2ED4210-4932-49FD-B059-78EA298561BF}"/>
    <cellStyle name="Normal 9 2 2 3 6 3 3" xfId="23417" xr:uid="{25831ED1-198E-49FA-BEAB-4E0BF29B12B8}"/>
    <cellStyle name="Normal 9 2 2 3 6 4" xfId="10765" xr:uid="{7B3DBDBA-C807-466A-9D87-4BFA5C402AC4}"/>
    <cellStyle name="Normal 9 2 2 3 6 5" xfId="19200" xr:uid="{FBD24D33-B49C-4CEF-986D-F35598DAE5A1}"/>
    <cellStyle name="Normal 9 2 2 3 7" xfId="2663" xr:uid="{00000000-0005-0000-0000-0000E31E0000}"/>
    <cellStyle name="Normal 9 2 2 3 7 2" xfId="6946" xr:uid="{00000000-0005-0000-0000-0000E41E0000}"/>
    <cellStyle name="Normal 9 2 2 3 7 2 2" xfId="15396" xr:uid="{4172B5CF-ED73-40CA-863B-D3B3FAB61649}"/>
    <cellStyle name="Normal 9 2 2 3 7 2 3" xfId="23830" xr:uid="{784F21BA-6F95-4E32-BA7E-D676523DF01B}"/>
    <cellStyle name="Normal 9 2 2 3 7 3" xfId="11178" xr:uid="{65348828-BDC8-4622-8265-2A5D34C6D546}"/>
    <cellStyle name="Normal 9 2 2 3 7 4" xfId="19613" xr:uid="{9726BC8C-601D-49CC-B82F-4A15C51DAA2D}"/>
    <cellStyle name="Normal 9 2 2 3 8" xfId="4881" xr:uid="{00000000-0005-0000-0000-0000E51E0000}"/>
    <cellStyle name="Normal 9 2 2 3 8 2" xfId="13331" xr:uid="{B1D89A0D-534C-4806-826D-0464F323AEB9}"/>
    <cellStyle name="Normal 9 2 2 3 8 3" xfId="21765" xr:uid="{FF747058-1823-431E-AC95-0D1F4008866F}"/>
    <cellStyle name="Normal 9 2 2 3 9" xfId="9113" xr:uid="{1ADBB73B-4DEA-4324-BC47-928A5234B10F}"/>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7E12EDAC-7A52-4993-AE9B-DFB2AE5E869A}"/>
    <cellStyle name="Normal 9 2 2 4 2 2 2 3" xfId="24325" xr:uid="{80785C40-24F7-4686-828F-01824622C72A}"/>
    <cellStyle name="Normal 9 2 2 4 2 2 3" xfId="11673" xr:uid="{F6F5E5B9-DEDD-4662-AAE1-183389D1E0E5}"/>
    <cellStyle name="Normal 9 2 2 4 2 2 4" xfId="20108" xr:uid="{588909BB-D3F7-4513-A0D1-6FA5A3E1D8EC}"/>
    <cellStyle name="Normal 9 2 2 4 2 3" xfId="5296" xr:uid="{00000000-0005-0000-0000-0000EA1E0000}"/>
    <cellStyle name="Normal 9 2 2 4 2 3 2" xfId="13746" xr:uid="{E6190FA0-E96A-4AFB-AA5E-EED8B06EFE68}"/>
    <cellStyle name="Normal 9 2 2 4 2 3 3" xfId="22180" xr:uid="{14959670-AAB2-4334-A5C5-7C122D75C08E}"/>
    <cellStyle name="Normal 9 2 2 4 2 4" xfId="9528" xr:uid="{19AA7915-6F1C-445B-AAFC-56CBED3AB806}"/>
    <cellStyle name="Normal 9 2 2 4 2 5" xfId="17963" xr:uid="{ECB9C4CF-26E6-46E3-ABDF-25537B4CA76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E14DF22B-6855-4CC2-9B61-6510A998BF7C}"/>
    <cellStyle name="Normal 9 2 2 4 3 2 2 3" xfId="24738" xr:uid="{E4004C5B-4308-4EC6-BB0E-1521039A26E7}"/>
    <cellStyle name="Normal 9 2 2 4 3 2 3" xfId="12086" xr:uid="{DB51C2FB-0563-449D-B592-7C32B196CC23}"/>
    <cellStyle name="Normal 9 2 2 4 3 2 4" xfId="20521" xr:uid="{5C96BBF5-C657-4356-B6BD-1D3816F03DDF}"/>
    <cellStyle name="Normal 9 2 2 4 3 3" xfId="5709" xr:uid="{00000000-0005-0000-0000-0000EE1E0000}"/>
    <cellStyle name="Normal 9 2 2 4 3 3 2" xfId="14159" xr:uid="{CB138A08-388B-469E-BE9C-CDB241381F48}"/>
    <cellStyle name="Normal 9 2 2 4 3 3 3" xfId="22593" xr:uid="{F621B8C2-8DE3-476F-8EBE-FE20795784B1}"/>
    <cellStyle name="Normal 9 2 2 4 3 4" xfId="9941" xr:uid="{40726006-37C3-4E34-8D57-311D16B10859}"/>
    <cellStyle name="Normal 9 2 2 4 3 5" xfId="18376" xr:uid="{08825C44-450C-43FA-9122-D66EE43DB252}"/>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7DDE0D47-81A1-4A50-BFA2-4C13FE3ED2D1}"/>
    <cellStyle name="Normal 9 2 2 4 4 2 2 3" xfId="25151" xr:uid="{E5F77909-9B13-4FAF-91F7-4269F7237EB0}"/>
    <cellStyle name="Normal 9 2 2 4 4 2 3" xfId="12499" xr:uid="{1927103B-CA56-412D-96E9-BA3D9B41AF9B}"/>
    <cellStyle name="Normal 9 2 2 4 4 2 4" xfId="20934" xr:uid="{01E8D400-632F-474F-B68C-D1952B66F126}"/>
    <cellStyle name="Normal 9 2 2 4 4 3" xfId="6122" xr:uid="{00000000-0005-0000-0000-0000F21E0000}"/>
    <cellStyle name="Normal 9 2 2 4 4 3 2" xfId="14572" xr:uid="{F641BD21-FCB8-4190-B95F-321ADC713791}"/>
    <cellStyle name="Normal 9 2 2 4 4 3 3" xfId="23006" xr:uid="{9074280C-5182-4D4C-9267-26FA6AC25F9D}"/>
    <cellStyle name="Normal 9 2 2 4 4 4" xfId="10354" xr:uid="{4D37F013-19CE-4290-81DB-CB049A8DC67E}"/>
    <cellStyle name="Normal 9 2 2 4 4 5" xfId="18789" xr:uid="{C7BDD452-DB93-43C9-B569-6F34876D3478}"/>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9036C92F-3285-4626-830F-3A9475FA2109}"/>
    <cellStyle name="Normal 9 2 2 4 5 2 2 3" xfId="25564" xr:uid="{46DD5C8F-78FB-4007-BC24-C5DA30AE7535}"/>
    <cellStyle name="Normal 9 2 2 4 5 2 3" xfId="12912" xr:uid="{0D2286D5-B1BD-492F-921A-77E0E18470E1}"/>
    <cellStyle name="Normal 9 2 2 4 5 2 4" xfId="21347" xr:uid="{0D9EF847-809F-4679-8702-DE45BBA4486C}"/>
    <cellStyle name="Normal 9 2 2 4 5 3" xfId="6535" xr:uid="{00000000-0005-0000-0000-0000F61E0000}"/>
    <cellStyle name="Normal 9 2 2 4 5 3 2" xfId="14985" xr:uid="{EC0A4FF5-D962-4A62-86C7-923200788D4D}"/>
    <cellStyle name="Normal 9 2 2 4 5 3 3" xfId="23419" xr:uid="{C97407F2-0315-4E40-A413-D923A5D85D08}"/>
    <cellStyle name="Normal 9 2 2 4 5 4" xfId="10767" xr:uid="{C58BCC98-CE72-472E-A84E-B2E15E2635C7}"/>
    <cellStyle name="Normal 9 2 2 4 5 5" xfId="19202" xr:uid="{880BA468-66A5-4C0A-AC18-A018D5BFAB64}"/>
    <cellStyle name="Normal 9 2 2 4 6" xfId="2665" xr:uid="{00000000-0005-0000-0000-0000F71E0000}"/>
    <cellStyle name="Normal 9 2 2 4 6 2" xfId="6948" xr:uid="{00000000-0005-0000-0000-0000F81E0000}"/>
    <cellStyle name="Normal 9 2 2 4 6 2 2" xfId="15398" xr:uid="{3AE60BFA-F663-46CC-B0F8-FE358831CDB9}"/>
    <cellStyle name="Normal 9 2 2 4 6 2 3" xfId="23832" xr:uid="{B319433D-0DE3-4366-B299-19DCB49D0349}"/>
    <cellStyle name="Normal 9 2 2 4 6 3" xfId="11180" xr:uid="{6DBCD4BE-9417-49EE-BEA1-F5D57A2312DC}"/>
    <cellStyle name="Normal 9 2 2 4 6 4" xfId="19615" xr:uid="{3EA2CEFD-AC99-4A2B-85DC-C4B15770AEE4}"/>
    <cellStyle name="Normal 9 2 2 4 7" xfId="4883" xr:uid="{00000000-0005-0000-0000-0000F91E0000}"/>
    <cellStyle name="Normal 9 2 2 4 7 2" xfId="13333" xr:uid="{4E748268-E75B-48F5-9737-D138019171F5}"/>
    <cellStyle name="Normal 9 2 2 4 7 3" xfId="21767" xr:uid="{0EE58193-39C3-4FC2-94DB-AF7BF9103321}"/>
    <cellStyle name="Normal 9 2 2 4 8" xfId="9115" xr:uid="{EFA61340-417F-497D-A609-F77716A2633C}"/>
    <cellStyle name="Normal 9 2 2 4 9" xfId="17550" xr:uid="{3F50C79F-70E8-47A3-8B3E-18A98B8672DD}"/>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6517F252-59CF-4B4E-A19F-2B265BD96670}"/>
    <cellStyle name="Normal 9 2 2 5 2 2 3" xfId="24318" xr:uid="{8D216E17-429F-4EFD-86A7-1F9C97E1B569}"/>
    <cellStyle name="Normal 9 2 2 5 2 3" xfId="11666" xr:uid="{5501901D-512A-459A-866D-BBE9F853120E}"/>
    <cellStyle name="Normal 9 2 2 5 2 4" xfId="20101" xr:uid="{0927D2E4-B1CD-4DE0-96EE-E58C51B6973A}"/>
    <cellStyle name="Normal 9 2 2 5 3" xfId="5289" xr:uid="{00000000-0005-0000-0000-0000FD1E0000}"/>
    <cellStyle name="Normal 9 2 2 5 3 2" xfId="13739" xr:uid="{0F3BA1AB-603F-451B-AB23-561FC27AF3A9}"/>
    <cellStyle name="Normal 9 2 2 5 3 3" xfId="22173" xr:uid="{4EAEA72C-B681-4CD1-AB9C-47D0CEFEEFD1}"/>
    <cellStyle name="Normal 9 2 2 5 4" xfId="9521" xr:uid="{F2A7EABC-8151-4B52-98D4-36DE57E544D0}"/>
    <cellStyle name="Normal 9 2 2 5 5" xfId="17956" xr:uid="{DB994AC0-E238-4476-B417-C7C3FB72EAA3}"/>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8ADB715B-AE9B-452F-81F6-A02730957658}"/>
    <cellStyle name="Normal 9 2 2 6 2 2 3" xfId="24731" xr:uid="{596CFAFC-2BF2-467B-AEFB-B51AE9588934}"/>
    <cellStyle name="Normal 9 2 2 6 2 3" xfId="12079" xr:uid="{8BA3AEE6-F909-415C-BBD3-1CDD584DEE2D}"/>
    <cellStyle name="Normal 9 2 2 6 2 4" xfId="20514" xr:uid="{3173832A-81B3-4C7D-84B2-BDD4A18E1C53}"/>
    <cellStyle name="Normal 9 2 2 6 3" xfId="5702" xr:uid="{00000000-0005-0000-0000-0000011F0000}"/>
    <cellStyle name="Normal 9 2 2 6 3 2" xfId="14152" xr:uid="{917C9B54-5559-4718-BFDF-15EF7E092243}"/>
    <cellStyle name="Normal 9 2 2 6 3 3" xfId="22586" xr:uid="{F6075E61-75D9-466F-A718-8EFC49530F92}"/>
    <cellStyle name="Normal 9 2 2 6 4" xfId="9934" xr:uid="{9B7790EA-F951-4345-9B3E-F8F9E5E0DF09}"/>
    <cellStyle name="Normal 9 2 2 6 5" xfId="18369" xr:uid="{73ADDB55-1614-4031-9CC8-9131E094B4C2}"/>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6429BCDD-77ED-4127-AAB4-7317D85D5336}"/>
    <cellStyle name="Normal 9 2 2 7 2 2 3" xfId="25144" xr:uid="{3EA11ED5-1F65-44A5-96D1-F8DC70781160}"/>
    <cellStyle name="Normal 9 2 2 7 2 3" xfId="12492" xr:uid="{B7FADAAE-0117-4214-8606-CFC1CFBE21F2}"/>
    <cellStyle name="Normal 9 2 2 7 2 4" xfId="20927" xr:uid="{62E9AB92-0760-4A38-B480-6EFDA92D1A9E}"/>
    <cellStyle name="Normal 9 2 2 7 3" xfId="6115" xr:uid="{00000000-0005-0000-0000-0000051F0000}"/>
    <cellStyle name="Normal 9 2 2 7 3 2" xfId="14565" xr:uid="{C8F839BD-3844-42E1-8E4F-244BF4E402D3}"/>
    <cellStyle name="Normal 9 2 2 7 3 3" xfId="22999" xr:uid="{5E91A58F-8667-4965-BE39-276CE08CAE82}"/>
    <cellStyle name="Normal 9 2 2 7 4" xfId="10347" xr:uid="{9F8A4CEA-EBA0-4B2F-BFB1-F974D43007E9}"/>
    <cellStyle name="Normal 9 2 2 7 5" xfId="18782" xr:uid="{177464A8-1F04-48B5-B4F9-5EC8B4C908C5}"/>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4D036DF5-F1D7-4C70-9BAB-8BB31B274F05}"/>
    <cellStyle name="Normal 9 2 2 8 2 2 3" xfId="25557" xr:uid="{5820C759-9DBC-4CE7-89C6-E75025EFBBD2}"/>
    <cellStyle name="Normal 9 2 2 8 2 3" xfId="12905" xr:uid="{9552111E-7C08-4E80-BFAF-A7C52AD7442A}"/>
    <cellStyle name="Normal 9 2 2 8 2 4" xfId="21340" xr:uid="{D6A9A7D1-D344-4F19-8EE4-4177AE4FAFDD}"/>
    <cellStyle name="Normal 9 2 2 8 3" xfId="6528" xr:uid="{00000000-0005-0000-0000-0000091F0000}"/>
    <cellStyle name="Normal 9 2 2 8 3 2" xfId="14978" xr:uid="{6DEC2EFE-7D9B-437D-A132-7F1C1CEDBF8A}"/>
    <cellStyle name="Normal 9 2 2 8 3 3" xfId="23412" xr:uid="{B19B380D-5168-4261-A280-FAFDA032844A}"/>
    <cellStyle name="Normal 9 2 2 8 4" xfId="10760" xr:uid="{B1F22AA2-9222-44D7-A9FC-146B42D01F0E}"/>
    <cellStyle name="Normal 9 2 2 8 5" xfId="19195" xr:uid="{16264A3D-872D-47E2-91F9-E6B6EDBE9D4E}"/>
    <cellStyle name="Normal 9 2 2 9" xfId="2658" xr:uid="{00000000-0005-0000-0000-00000A1F0000}"/>
    <cellStyle name="Normal 9 2 2 9 2" xfId="6941" xr:uid="{00000000-0005-0000-0000-00000B1F0000}"/>
    <cellStyle name="Normal 9 2 2 9 2 2" xfId="15391" xr:uid="{D1A1138D-F7DE-4DA4-9E10-400046ECA9BD}"/>
    <cellStyle name="Normal 9 2 2 9 2 3" xfId="23825" xr:uid="{98591C36-D009-457C-8E3E-0BE57B065D2A}"/>
    <cellStyle name="Normal 9 2 2 9 3" xfId="11173" xr:uid="{A3A57D91-9FB0-4B83-8EA1-D662B6FCB2CE}"/>
    <cellStyle name="Normal 9 2 2 9 4" xfId="19608" xr:uid="{EBF61621-5F04-4255-A24A-980DF4E846E5}"/>
    <cellStyle name="Normal 9 2 3" xfId="520" xr:uid="{00000000-0005-0000-0000-00000C1F0000}"/>
    <cellStyle name="Normal 9 2 3 10" xfId="9116" xr:uid="{0432EA12-A132-4542-8DD3-4088A47312A9}"/>
    <cellStyle name="Normal 9 2 3 11" xfId="17551" xr:uid="{29673037-DF08-4765-91A3-47C7C76DC74C}"/>
    <cellStyle name="Normal 9 2 3 2" xfId="521" xr:uid="{00000000-0005-0000-0000-00000D1F0000}"/>
    <cellStyle name="Normal 9 2 3 2 10" xfId="17552" xr:uid="{AA378D08-7BB0-4717-BD7F-15371592FCFE}"/>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7FD7F8AB-FD71-4372-A5D1-937E0168244F}"/>
    <cellStyle name="Normal 9 2 3 2 2 2 2 2 3" xfId="24328" xr:uid="{71E34E34-6136-465E-84FD-6D3C800B3DED}"/>
    <cellStyle name="Normal 9 2 3 2 2 2 2 3" xfId="11676" xr:uid="{54727666-7F76-4515-96DA-F2ED6F89ADD6}"/>
    <cellStyle name="Normal 9 2 3 2 2 2 2 4" xfId="20111" xr:uid="{627F9CC7-2198-4EB3-A93F-0954719B76F4}"/>
    <cellStyle name="Normal 9 2 3 2 2 2 3" xfId="5299" xr:uid="{00000000-0005-0000-0000-0000121F0000}"/>
    <cellStyle name="Normal 9 2 3 2 2 2 3 2" xfId="13749" xr:uid="{13F4B46B-98CF-4A69-8A4E-EAE7C3F73D2B}"/>
    <cellStyle name="Normal 9 2 3 2 2 2 3 3" xfId="22183" xr:uid="{DD2E4298-BC19-4FD1-93F9-D03ACF890429}"/>
    <cellStyle name="Normal 9 2 3 2 2 2 4" xfId="9531" xr:uid="{E50F05E7-F8DB-4E3F-A1CD-B0DB9C1EAE8F}"/>
    <cellStyle name="Normal 9 2 3 2 2 2 5" xfId="17966" xr:uid="{7726B16D-167A-4FBF-9CBD-C01DE2D3EE95}"/>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C83A1F16-D92B-4E25-80B2-3A9C9A0B7D00}"/>
    <cellStyle name="Normal 9 2 3 2 2 3 2 2 3" xfId="24741" xr:uid="{788CEDC2-46CE-405B-BFED-B054422B249F}"/>
    <cellStyle name="Normal 9 2 3 2 2 3 2 3" xfId="12089" xr:uid="{C35C4A40-EA5A-49F6-AAE8-85FA31F8A823}"/>
    <cellStyle name="Normal 9 2 3 2 2 3 2 4" xfId="20524" xr:uid="{969F3EBA-ABF8-4461-AB59-CDE3FF3A65F6}"/>
    <cellStyle name="Normal 9 2 3 2 2 3 3" xfId="5712" xr:uid="{00000000-0005-0000-0000-0000161F0000}"/>
    <cellStyle name="Normal 9 2 3 2 2 3 3 2" xfId="14162" xr:uid="{1B592F42-D0B7-4712-9E1B-64CFD438897D}"/>
    <cellStyle name="Normal 9 2 3 2 2 3 3 3" xfId="22596" xr:uid="{E8EF2046-3385-408B-86DC-9252B469A0E0}"/>
    <cellStyle name="Normal 9 2 3 2 2 3 4" xfId="9944" xr:uid="{A178A4E1-82B8-474E-BD8D-E7D9D639312B}"/>
    <cellStyle name="Normal 9 2 3 2 2 3 5" xfId="18379" xr:uid="{EBC67575-D036-449F-9D58-DE83D0CC9E48}"/>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347BE40C-B00F-4BD4-A2A2-1883C9A3C6E8}"/>
    <cellStyle name="Normal 9 2 3 2 2 4 2 2 3" xfId="25154" xr:uid="{089DE9D8-AA66-43E9-9216-B92E82A617A8}"/>
    <cellStyle name="Normal 9 2 3 2 2 4 2 3" xfId="12502" xr:uid="{1695855B-D4E6-4731-A06F-5B15DBC87A86}"/>
    <cellStyle name="Normal 9 2 3 2 2 4 2 4" xfId="20937" xr:uid="{F01DBB02-C7BE-45CA-A90F-55DD33B12552}"/>
    <cellStyle name="Normal 9 2 3 2 2 4 3" xfId="6125" xr:uid="{00000000-0005-0000-0000-00001A1F0000}"/>
    <cellStyle name="Normal 9 2 3 2 2 4 3 2" xfId="14575" xr:uid="{12BC4C7A-2EEC-4EFD-B337-88E7927FF52F}"/>
    <cellStyle name="Normal 9 2 3 2 2 4 3 3" xfId="23009" xr:uid="{D3E2C210-D83A-4965-93F6-498CA692E17A}"/>
    <cellStyle name="Normal 9 2 3 2 2 4 4" xfId="10357" xr:uid="{5D95A362-C92A-4C90-B60C-5CB2C6534AAE}"/>
    <cellStyle name="Normal 9 2 3 2 2 4 5" xfId="18792" xr:uid="{E37A2A24-B5DD-475D-BD6F-C47E8BC386F2}"/>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0F738B1C-453A-4BA1-8B25-B46B34E8A61E}"/>
    <cellStyle name="Normal 9 2 3 2 2 5 2 2 3" xfId="25567" xr:uid="{7EBD9CB5-52E0-4C20-BA20-141AAA5F3FE4}"/>
    <cellStyle name="Normal 9 2 3 2 2 5 2 3" xfId="12915" xr:uid="{E8DB4F77-5ED6-4688-907C-DE6D9751331C}"/>
    <cellStyle name="Normal 9 2 3 2 2 5 2 4" xfId="21350" xr:uid="{1DF2042C-2DC6-4A19-AD52-B0579F34EDA2}"/>
    <cellStyle name="Normal 9 2 3 2 2 5 3" xfId="6538" xr:uid="{00000000-0005-0000-0000-00001E1F0000}"/>
    <cellStyle name="Normal 9 2 3 2 2 5 3 2" xfId="14988" xr:uid="{5E01345C-E783-4ECE-BF29-D811965EC751}"/>
    <cellStyle name="Normal 9 2 3 2 2 5 3 3" xfId="23422" xr:uid="{1C4DFA19-336B-45B1-8DB8-6BB2EAC0CD14}"/>
    <cellStyle name="Normal 9 2 3 2 2 5 4" xfId="10770" xr:uid="{E707FF2F-E746-493D-AFAB-DBFFBE24CDF0}"/>
    <cellStyle name="Normal 9 2 3 2 2 5 5" xfId="19205" xr:uid="{E6912F07-31E7-46B2-92B3-408D9DCC4965}"/>
    <cellStyle name="Normal 9 2 3 2 2 6" xfId="2668" xr:uid="{00000000-0005-0000-0000-00001F1F0000}"/>
    <cellStyle name="Normal 9 2 3 2 2 6 2" xfId="6951" xr:uid="{00000000-0005-0000-0000-0000201F0000}"/>
    <cellStyle name="Normal 9 2 3 2 2 6 2 2" xfId="15401" xr:uid="{EF200CA8-633E-4A4D-AB56-5E626E2E7593}"/>
    <cellStyle name="Normal 9 2 3 2 2 6 2 3" xfId="23835" xr:uid="{5BC58E3D-0FD9-472E-987B-2C52B508755D}"/>
    <cellStyle name="Normal 9 2 3 2 2 6 3" xfId="11183" xr:uid="{E4B07D2B-5775-43A5-92D6-ECF4D806F249}"/>
    <cellStyle name="Normal 9 2 3 2 2 6 4" xfId="19618" xr:uid="{CCFD9CE9-6E6E-466F-96F1-662D7D614E74}"/>
    <cellStyle name="Normal 9 2 3 2 2 7" xfId="4886" xr:uid="{00000000-0005-0000-0000-0000211F0000}"/>
    <cellStyle name="Normal 9 2 3 2 2 7 2" xfId="13336" xr:uid="{835DC16C-BA5E-40BF-AA39-3BDC03359D57}"/>
    <cellStyle name="Normal 9 2 3 2 2 7 3" xfId="21770" xr:uid="{0329D1D7-BFB2-4D06-96CC-D8055553E347}"/>
    <cellStyle name="Normal 9 2 3 2 2 8" xfId="9118" xr:uid="{88C1940F-A2C1-47EA-AE51-85AD31E513B8}"/>
    <cellStyle name="Normal 9 2 3 2 2 9" xfId="17553" xr:uid="{8CA53EC9-8149-4A76-B03C-59A8CA538CB1}"/>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888E476E-5E80-4EB9-B462-CA19D038DF0C}"/>
    <cellStyle name="Normal 9 2 3 2 3 2 2 3" xfId="24327" xr:uid="{B2CB9C93-287D-422B-B5A1-C90AF617387E}"/>
    <cellStyle name="Normal 9 2 3 2 3 2 3" xfId="11675" xr:uid="{31CCA311-4948-4ACA-8015-0808DE7A663A}"/>
    <cellStyle name="Normal 9 2 3 2 3 2 4" xfId="20110" xr:uid="{D8AC1B18-E3C7-4E7B-BB5D-2FF42D1B4F3F}"/>
    <cellStyle name="Normal 9 2 3 2 3 3" xfId="5298" xr:uid="{00000000-0005-0000-0000-0000251F0000}"/>
    <cellStyle name="Normal 9 2 3 2 3 3 2" xfId="13748" xr:uid="{2D9939B1-B01C-4DDF-99CB-71D661448857}"/>
    <cellStyle name="Normal 9 2 3 2 3 3 3" xfId="22182" xr:uid="{3E1DA615-4DB0-4340-B351-91DF126DA927}"/>
    <cellStyle name="Normal 9 2 3 2 3 4" xfId="9530" xr:uid="{EB349196-69E1-4B46-BA99-F20C18073D2C}"/>
    <cellStyle name="Normal 9 2 3 2 3 5" xfId="17965" xr:uid="{3E4C5BEF-E74A-451F-AE64-3AB2141ECE6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B3728864-195C-4827-9E37-C92805CC2FB9}"/>
    <cellStyle name="Normal 9 2 3 2 4 2 2 3" xfId="24740" xr:uid="{55D3773D-BACA-4436-9DB9-73CE9B5D15CE}"/>
    <cellStyle name="Normal 9 2 3 2 4 2 3" xfId="12088" xr:uid="{BC6AF8F4-DFD9-4E04-84DA-29F704574984}"/>
    <cellStyle name="Normal 9 2 3 2 4 2 4" xfId="20523" xr:uid="{CEB981E5-169C-4C46-970F-33BA4A88ED93}"/>
    <cellStyle name="Normal 9 2 3 2 4 3" xfId="5711" xr:uid="{00000000-0005-0000-0000-0000291F0000}"/>
    <cellStyle name="Normal 9 2 3 2 4 3 2" xfId="14161" xr:uid="{F0E1138B-A587-4D96-8B3A-588DC81E10A0}"/>
    <cellStyle name="Normal 9 2 3 2 4 3 3" xfId="22595" xr:uid="{45307058-9F19-4918-AFEA-DC744A7AB645}"/>
    <cellStyle name="Normal 9 2 3 2 4 4" xfId="9943" xr:uid="{3FC2FB18-392E-486C-B491-14C7290B18C4}"/>
    <cellStyle name="Normal 9 2 3 2 4 5" xfId="18378" xr:uid="{FD874C94-5284-4E8E-8F48-96E7EAAA6F6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B3822024-5528-42F8-9965-CC05B0885DD1}"/>
    <cellStyle name="Normal 9 2 3 2 5 2 2 3" xfId="25153" xr:uid="{0A16D8A2-8B0F-4232-A4A9-2A0DEE460B3A}"/>
    <cellStyle name="Normal 9 2 3 2 5 2 3" xfId="12501" xr:uid="{20AD295A-62D2-413B-9F5C-0B9C443B1A3A}"/>
    <cellStyle name="Normal 9 2 3 2 5 2 4" xfId="20936" xr:uid="{DE614EAC-DE12-4067-9900-AB505F01E711}"/>
    <cellStyle name="Normal 9 2 3 2 5 3" xfId="6124" xr:uid="{00000000-0005-0000-0000-00002D1F0000}"/>
    <cellStyle name="Normal 9 2 3 2 5 3 2" xfId="14574" xr:uid="{17BBFF37-6470-4E73-AC22-D374637DD716}"/>
    <cellStyle name="Normal 9 2 3 2 5 3 3" xfId="23008" xr:uid="{48007DFF-FC10-4023-942B-85B55DECDC1F}"/>
    <cellStyle name="Normal 9 2 3 2 5 4" xfId="10356" xr:uid="{959FC084-4CD3-4BD9-B1E0-812F2699EBF0}"/>
    <cellStyle name="Normal 9 2 3 2 5 5" xfId="18791" xr:uid="{E76DD8DB-9E09-44EE-9CB6-C96171FDB33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60978D0C-6148-49C8-A57D-4003DED8F3F8}"/>
    <cellStyle name="Normal 9 2 3 2 6 2 2 3" xfId="25566" xr:uid="{10D6DC2E-19A3-48D2-9575-80F9BE647267}"/>
    <cellStyle name="Normal 9 2 3 2 6 2 3" xfId="12914" xr:uid="{C4503467-FDAF-46F2-8391-B7FDEE30AA85}"/>
    <cellStyle name="Normal 9 2 3 2 6 2 4" xfId="21349" xr:uid="{E2ABFC12-02DB-4382-80EC-D318E6E57A45}"/>
    <cellStyle name="Normal 9 2 3 2 6 3" xfId="6537" xr:uid="{00000000-0005-0000-0000-0000311F0000}"/>
    <cellStyle name="Normal 9 2 3 2 6 3 2" xfId="14987" xr:uid="{3EDD8C36-E8F5-4412-B82C-5BFEBE7A491A}"/>
    <cellStyle name="Normal 9 2 3 2 6 3 3" xfId="23421" xr:uid="{ECDB0191-9317-4682-A1DD-E36031509AEB}"/>
    <cellStyle name="Normal 9 2 3 2 6 4" xfId="10769" xr:uid="{C596FBAF-C395-4958-9120-1AE157CD3C32}"/>
    <cellStyle name="Normal 9 2 3 2 6 5" xfId="19204" xr:uid="{51DCC50A-72E1-427C-80B0-45DCCFD40A1C}"/>
    <cellStyle name="Normal 9 2 3 2 7" xfId="2667" xr:uid="{00000000-0005-0000-0000-0000321F0000}"/>
    <cellStyle name="Normal 9 2 3 2 7 2" xfId="6950" xr:uid="{00000000-0005-0000-0000-0000331F0000}"/>
    <cellStyle name="Normal 9 2 3 2 7 2 2" xfId="15400" xr:uid="{BE815A4E-73BC-426B-AB38-192B7EF2807D}"/>
    <cellStyle name="Normal 9 2 3 2 7 2 3" xfId="23834" xr:uid="{BAAB0BFB-B883-4FC6-A225-07791565988F}"/>
    <cellStyle name="Normal 9 2 3 2 7 3" xfId="11182" xr:uid="{87060AD2-7D09-4640-8198-1F110F09DD64}"/>
    <cellStyle name="Normal 9 2 3 2 7 4" xfId="19617" xr:uid="{DD45188F-4AFC-4EAE-B21F-05F0F012752D}"/>
    <cellStyle name="Normal 9 2 3 2 8" xfId="4885" xr:uid="{00000000-0005-0000-0000-0000341F0000}"/>
    <cellStyle name="Normal 9 2 3 2 8 2" xfId="13335" xr:uid="{25565CEA-09A3-47B9-B6ED-80C064F2F1A5}"/>
    <cellStyle name="Normal 9 2 3 2 8 3" xfId="21769" xr:uid="{5E9891C4-9484-4CC8-BC23-06F6D39898B5}"/>
    <cellStyle name="Normal 9 2 3 2 9" xfId="9117" xr:uid="{7182C2C1-A7F4-432E-AE75-6AC5D627B93D}"/>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3963A6E0-7EBF-4154-B882-56ADFB7773F1}"/>
    <cellStyle name="Normal 9 2 3 3 2 2 2 3" xfId="24329" xr:uid="{9C34E81E-17D5-43E7-9B12-A1F75D274B59}"/>
    <cellStyle name="Normal 9 2 3 3 2 2 3" xfId="11677" xr:uid="{C1EDC310-D182-407A-B887-9238DBB49E40}"/>
    <cellStyle name="Normal 9 2 3 3 2 2 4" xfId="20112" xr:uid="{A17CC632-F1B6-40F6-9139-7F4F2D81E942}"/>
    <cellStyle name="Normal 9 2 3 3 2 3" xfId="5300" xr:uid="{00000000-0005-0000-0000-0000391F0000}"/>
    <cellStyle name="Normal 9 2 3 3 2 3 2" xfId="13750" xr:uid="{41963AA0-1709-4247-A614-F2EC1F67F9BF}"/>
    <cellStyle name="Normal 9 2 3 3 2 3 3" xfId="22184" xr:uid="{448B1302-202E-4442-B386-F765BCBA2F64}"/>
    <cellStyle name="Normal 9 2 3 3 2 4" xfId="9532" xr:uid="{C76DC571-5710-433E-A107-47943C29F585}"/>
    <cellStyle name="Normal 9 2 3 3 2 5" xfId="17967" xr:uid="{B3B3E77F-3EDC-49E3-884A-87A59EB19D8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FD574F4F-F4DD-487D-B8FA-878B98F4F822}"/>
    <cellStyle name="Normal 9 2 3 3 3 2 2 3" xfId="24742" xr:uid="{7FADF47D-0A88-4674-A647-0959EDC4F4D5}"/>
    <cellStyle name="Normal 9 2 3 3 3 2 3" xfId="12090" xr:uid="{CFAC2544-8634-464E-880C-A32648AF9E53}"/>
    <cellStyle name="Normal 9 2 3 3 3 2 4" xfId="20525" xr:uid="{FA3AE3A2-B306-418D-9FFA-0086406C7EEE}"/>
    <cellStyle name="Normal 9 2 3 3 3 3" xfId="5713" xr:uid="{00000000-0005-0000-0000-00003D1F0000}"/>
    <cellStyle name="Normal 9 2 3 3 3 3 2" xfId="14163" xr:uid="{054E6635-B89F-42FC-A2F5-AB381D6A6DC9}"/>
    <cellStyle name="Normal 9 2 3 3 3 3 3" xfId="22597" xr:uid="{787A99E6-00F7-4D4B-997B-9E8C0CC265AC}"/>
    <cellStyle name="Normal 9 2 3 3 3 4" xfId="9945" xr:uid="{22BABA57-5E29-4EFC-A459-6691D4403E59}"/>
    <cellStyle name="Normal 9 2 3 3 3 5" xfId="18380" xr:uid="{0C7AB6E7-73CA-4774-B046-BF22D3DCBF5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6EB39671-5F30-407E-BFD7-DD5B897BC145}"/>
    <cellStyle name="Normal 9 2 3 3 4 2 2 3" xfId="25155" xr:uid="{BF1EBD45-CF7F-4E3A-9878-586690087BA3}"/>
    <cellStyle name="Normal 9 2 3 3 4 2 3" xfId="12503" xr:uid="{71942B33-9DF8-4A50-9628-17749E99E97F}"/>
    <cellStyle name="Normal 9 2 3 3 4 2 4" xfId="20938" xr:uid="{84F0AAF6-5210-4593-840F-E8B5402F4115}"/>
    <cellStyle name="Normal 9 2 3 3 4 3" xfId="6126" xr:uid="{00000000-0005-0000-0000-0000411F0000}"/>
    <cellStyle name="Normal 9 2 3 3 4 3 2" xfId="14576" xr:uid="{742B4E01-0B17-4130-9E93-15FFD21BED34}"/>
    <cellStyle name="Normal 9 2 3 3 4 3 3" xfId="23010" xr:uid="{97D2B9E9-8A51-42CF-B13E-72C2B982F09B}"/>
    <cellStyle name="Normal 9 2 3 3 4 4" xfId="10358" xr:uid="{C828389B-0DC3-4DBC-B336-4FA13357A521}"/>
    <cellStyle name="Normal 9 2 3 3 4 5" xfId="18793" xr:uid="{FA2D1D43-E18F-40F4-85EC-97E6A723123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C844F1D7-F02D-4F64-AE6D-88DD97CD71C1}"/>
    <cellStyle name="Normal 9 2 3 3 5 2 2 3" xfId="25568" xr:uid="{1A1504AA-8F73-4712-9201-6267900E0463}"/>
    <cellStyle name="Normal 9 2 3 3 5 2 3" xfId="12916" xr:uid="{BB327799-0E3B-423F-9EAF-85961FE9CBB5}"/>
    <cellStyle name="Normal 9 2 3 3 5 2 4" xfId="21351" xr:uid="{5AB6B536-64E5-4CAB-BE3F-EC0AC82EF8EF}"/>
    <cellStyle name="Normal 9 2 3 3 5 3" xfId="6539" xr:uid="{00000000-0005-0000-0000-0000451F0000}"/>
    <cellStyle name="Normal 9 2 3 3 5 3 2" xfId="14989" xr:uid="{8AC8BBA6-A734-476F-B5C7-8439D208D77D}"/>
    <cellStyle name="Normal 9 2 3 3 5 3 3" xfId="23423" xr:uid="{7D47F113-FAFA-40CA-899F-96852D5DF3C8}"/>
    <cellStyle name="Normal 9 2 3 3 5 4" xfId="10771" xr:uid="{52FB6E96-C9A9-4D85-B5F8-7E04C9FE9536}"/>
    <cellStyle name="Normal 9 2 3 3 5 5" xfId="19206" xr:uid="{2A4F326B-4CE5-490D-9BC0-7BBC60BE7F8E}"/>
    <cellStyle name="Normal 9 2 3 3 6" xfId="2669" xr:uid="{00000000-0005-0000-0000-0000461F0000}"/>
    <cellStyle name="Normal 9 2 3 3 6 2" xfId="6952" xr:uid="{00000000-0005-0000-0000-0000471F0000}"/>
    <cellStyle name="Normal 9 2 3 3 6 2 2" xfId="15402" xr:uid="{A0969093-D685-4793-887B-35833ADC6D96}"/>
    <cellStyle name="Normal 9 2 3 3 6 2 3" xfId="23836" xr:uid="{74BF3E45-ACBD-4B29-A364-F138410E35F4}"/>
    <cellStyle name="Normal 9 2 3 3 6 3" xfId="11184" xr:uid="{533A801C-0927-4A79-B8A8-EB6A8CFAEF85}"/>
    <cellStyle name="Normal 9 2 3 3 6 4" xfId="19619" xr:uid="{FCFD79A9-2D48-4B03-9C94-D96BF0C72280}"/>
    <cellStyle name="Normal 9 2 3 3 7" xfId="4887" xr:uid="{00000000-0005-0000-0000-0000481F0000}"/>
    <cellStyle name="Normal 9 2 3 3 7 2" xfId="13337" xr:uid="{96F1E35F-FE7D-46BB-8308-EEF04FF2EE9C}"/>
    <cellStyle name="Normal 9 2 3 3 7 3" xfId="21771" xr:uid="{ECAB2750-BC9E-4223-BF43-393A82694990}"/>
    <cellStyle name="Normal 9 2 3 3 8" xfId="9119" xr:uid="{1B95F95C-4114-47A3-BA22-08B167BF8FD3}"/>
    <cellStyle name="Normal 9 2 3 3 9" xfId="17554" xr:uid="{880D9252-4A4C-4C05-8432-0AD870EBF4A0}"/>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F0C16AE8-D00A-4C72-8430-F1AC5D847F5B}"/>
    <cellStyle name="Normal 9 2 3 4 2 2 3" xfId="24326" xr:uid="{744FD86D-EB0D-4693-B8FA-382A9341AA8F}"/>
    <cellStyle name="Normal 9 2 3 4 2 3" xfId="11674" xr:uid="{B6B66C8B-D8C9-4E4B-A1E8-F387CC10485E}"/>
    <cellStyle name="Normal 9 2 3 4 2 4" xfId="20109" xr:uid="{E71FD108-8B6D-4B1C-B265-1511CB512366}"/>
    <cellStyle name="Normal 9 2 3 4 3" xfId="5297" xr:uid="{00000000-0005-0000-0000-00004C1F0000}"/>
    <cellStyle name="Normal 9 2 3 4 3 2" xfId="13747" xr:uid="{EEF53B10-5569-41BD-913C-FC1334CE921F}"/>
    <cellStyle name="Normal 9 2 3 4 3 3" xfId="22181" xr:uid="{24EB6516-A111-42FE-AE80-087275C8D7A7}"/>
    <cellStyle name="Normal 9 2 3 4 4" xfId="9529" xr:uid="{690E4D41-A45E-48AF-92FA-0654DA04F0F4}"/>
    <cellStyle name="Normal 9 2 3 4 5" xfId="17964" xr:uid="{E13FA0B1-8C88-4786-B318-86EB3B94D91C}"/>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D84467E2-BFD4-4662-BAB5-3171851A7D5A}"/>
    <cellStyle name="Normal 9 2 3 5 2 2 3" xfId="24739" xr:uid="{C3C2A99A-E543-4953-8E60-74A3717A49AD}"/>
    <cellStyle name="Normal 9 2 3 5 2 3" xfId="12087" xr:uid="{087A4195-52C6-44AE-918F-EEA56BFFBCB5}"/>
    <cellStyle name="Normal 9 2 3 5 2 4" xfId="20522" xr:uid="{1DFF4EE4-F9C8-483D-AE5F-EDC0C79B89E3}"/>
    <cellStyle name="Normal 9 2 3 5 3" xfId="5710" xr:uid="{00000000-0005-0000-0000-0000501F0000}"/>
    <cellStyle name="Normal 9 2 3 5 3 2" xfId="14160" xr:uid="{B5C5EFCD-A403-464E-A699-1989F1EC8DBC}"/>
    <cellStyle name="Normal 9 2 3 5 3 3" xfId="22594" xr:uid="{A2BB3E80-3AE7-4830-9C29-918A2BBE984C}"/>
    <cellStyle name="Normal 9 2 3 5 4" xfId="9942" xr:uid="{00C0D15A-98F6-4B1F-8EA9-1C246604A0C1}"/>
    <cellStyle name="Normal 9 2 3 5 5" xfId="18377" xr:uid="{D5A3C7DF-0DF5-42E3-A7E6-94CC016293BB}"/>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57D3633A-7AD0-401A-AE4F-15ACD65477DB}"/>
    <cellStyle name="Normal 9 2 3 6 2 2 3" xfId="25152" xr:uid="{349D005B-495D-404E-8D47-43EAA9F0D998}"/>
    <cellStyle name="Normal 9 2 3 6 2 3" xfId="12500" xr:uid="{5FBB2136-B34F-4E69-AD31-F416B4BBF6C7}"/>
    <cellStyle name="Normal 9 2 3 6 2 4" xfId="20935" xr:uid="{2D5734F3-9443-41B0-894B-2014DB6D9ABD}"/>
    <cellStyle name="Normal 9 2 3 6 3" xfId="6123" xr:uid="{00000000-0005-0000-0000-0000541F0000}"/>
    <cellStyle name="Normal 9 2 3 6 3 2" xfId="14573" xr:uid="{C3234CBE-459D-4D9C-A4A5-BB57F6332D60}"/>
    <cellStyle name="Normal 9 2 3 6 3 3" xfId="23007" xr:uid="{7E6B438E-9907-4784-97DB-8C4447A44586}"/>
    <cellStyle name="Normal 9 2 3 6 4" xfId="10355" xr:uid="{2993FB84-1260-4E6E-BE1A-46CC8BD83772}"/>
    <cellStyle name="Normal 9 2 3 6 5" xfId="18790" xr:uid="{4B9AA0C6-AD7F-4D75-9A89-4C30D31A4E41}"/>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DB321EF8-0246-4E4E-A730-AB71A5263649}"/>
    <cellStyle name="Normal 9 2 3 7 2 2 3" xfId="25565" xr:uid="{771955DC-708A-4A79-90DF-6DF767007785}"/>
    <cellStyle name="Normal 9 2 3 7 2 3" xfId="12913" xr:uid="{AA6FBC8A-DD3A-4168-8BBA-9C16D0FF876F}"/>
    <cellStyle name="Normal 9 2 3 7 2 4" xfId="21348" xr:uid="{F120ADFB-1B23-441E-915D-E1540F43BBB2}"/>
    <cellStyle name="Normal 9 2 3 7 3" xfId="6536" xr:uid="{00000000-0005-0000-0000-0000581F0000}"/>
    <cellStyle name="Normal 9 2 3 7 3 2" xfId="14986" xr:uid="{DD64BE54-D286-4DB8-85E8-5F050F332B50}"/>
    <cellStyle name="Normal 9 2 3 7 3 3" xfId="23420" xr:uid="{30D93404-49C4-493E-89E9-CF69D7232D91}"/>
    <cellStyle name="Normal 9 2 3 7 4" xfId="10768" xr:uid="{A16C3C26-AAA1-49A0-98D0-118533648E75}"/>
    <cellStyle name="Normal 9 2 3 7 5" xfId="19203" xr:uid="{9D9F6DE7-DF5C-43C2-B439-55A34D0ACE0C}"/>
    <cellStyle name="Normal 9 2 3 8" xfId="2666" xr:uid="{00000000-0005-0000-0000-0000591F0000}"/>
    <cellStyle name="Normal 9 2 3 8 2" xfId="6949" xr:uid="{00000000-0005-0000-0000-00005A1F0000}"/>
    <cellStyle name="Normal 9 2 3 8 2 2" xfId="15399" xr:uid="{7D6237E7-7E81-4F3E-A6C5-44A63050C012}"/>
    <cellStyle name="Normal 9 2 3 8 2 3" xfId="23833" xr:uid="{C337721A-488B-4152-9A55-E9D304E908C5}"/>
    <cellStyle name="Normal 9 2 3 8 3" xfId="11181" xr:uid="{FA0C1DBA-CD99-43FE-9E80-B71509B45220}"/>
    <cellStyle name="Normal 9 2 3 8 4" xfId="19616" xr:uid="{DAA2B826-213A-44A4-811F-BA65CADC7FDB}"/>
    <cellStyle name="Normal 9 2 3 9" xfId="4884" xr:uid="{00000000-0005-0000-0000-00005B1F0000}"/>
    <cellStyle name="Normal 9 2 3 9 2" xfId="13334" xr:uid="{44556A42-1E89-451F-9B59-44AB0E30B507}"/>
    <cellStyle name="Normal 9 2 3 9 3" xfId="21768" xr:uid="{ABAA00B8-774C-4AC5-BC5F-F72CBB9AF13D}"/>
    <cellStyle name="Normal 9 2 4" xfId="524" xr:uid="{00000000-0005-0000-0000-00005C1F0000}"/>
    <cellStyle name="Normal 9 2 4 10" xfId="17555" xr:uid="{F8211055-69C8-4745-BB34-875387DA378B}"/>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1DFC13A7-8A18-4C2D-9906-C83E9083650B}"/>
    <cellStyle name="Normal 9 2 4 2 2 2 2 3" xfId="24331" xr:uid="{01D3C6A7-DEF0-493F-88B2-4FF8735BD3D0}"/>
    <cellStyle name="Normal 9 2 4 2 2 2 3" xfId="11679" xr:uid="{B0233DE9-94A6-4CF7-B752-C87E48DCAD66}"/>
    <cellStyle name="Normal 9 2 4 2 2 2 4" xfId="20114" xr:uid="{D07A7D28-48E6-4649-A786-14A24ED690EA}"/>
    <cellStyle name="Normal 9 2 4 2 2 3" xfId="5302" xr:uid="{00000000-0005-0000-0000-0000611F0000}"/>
    <cellStyle name="Normal 9 2 4 2 2 3 2" xfId="13752" xr:uid="{3625907F-D0E4-4EB5-A0EE-4C1764AF494D}"/>
    <cellStyle name="Normal 9 2 4 2 2 3 3" xfId="22186" xr:uid="{616D8964-A5BA-4991-AF80-E923FD9FE02E}"/>
    <cellStyle name="Normal 9 2 4 2 2 4" xfId="9534" xr:uid="{A03D29AC-BB43-4AA1-9C72-082E07BA2937}"/>
    <cellStyle name="Normal 9 2 4 2 2 5" xfId="17969" xr:uid="{A5AB2313-1AF8-415B-B220-3796DB18EED7}"/>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809A723F-3B59-410F-8088-D492417E5241}"/>
    <cellStyle name="Normal 9 2 4 2 3 2 2 3" xfId="24744" xr:uid="{75AEF4B6-B510-4E5B-9EF3-C645D8986EB7}"/>
    <cellStyle name="Normal 9 2 4 2 3 2 3" xfId="12092" xr:uid="{B782B0B7-479B-477B-8818-EE301DBDD4EA}"/>
    <cellStyle name="Normal 9 2 4 2 3 2 4" xfId="20527" xr:uid="{E66AD72D-B456-41A1-BF9C-399A4F0EB977}"/>
    <cellStyle name="Normal 9 2 4 2 3 3" xfId="5715" xr:uid="{00000000-0005-0000-0000-0000651F0000}"/>
    <cellStyle name="Normal 9 2 4 2 3 3 2" xfId="14165" xr:uid="{116661CF-AB20-4BFF-B766-B7F7BA874A3F}"/>
    <cellStyle name="Normal 9 2 4 2 3 3 3" xfId="22599" xr:uid="{0A67173C-4BA7-4A55-9345-4378B9D339E1}"/>
    <cellStyle name="Normal 9 2 4 2 3 4" xfId="9947" xr:uid="{94BDFCB6-36FC-4518-8BA0-4559130A2C83}"/>
    <cellStyle name="Normal 9 2 4 2 3 5" xfId="18382" xr:uid="{51C85BE9-52C2-45AD-ACCA-DFEEBE1A52C0}"/>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719C6E69-ABD5-44E3-8BAC-BE9FF28632C4}"/>
    <cellStyle name="Normal 9 2 4 2 4 2 2 3" xfId="25157" xr:uid="{25FEBF10-92B1-47BE-89E0-DCA3FA966DCD}"/>
    <cellStyle name="Normal 9 2 4 2 4 2 3" xfId="12505" xr:uid="{404C8B3C-CDBF-4807-AD90-FF9BAA7E17BA}"/>
    <cellStyle name="Normal 9 2 4 2 4 2 4" xfId="20940" xr:uid="{D1F08256-95A0-4214-AD3A-579278D6EABC}"/>
    <cellStyle name="Normal 9 2 4 2 4 3" xfId="6128" xr:uid="{00000000-0005-0000-0000-0000691F0000}"/>
    <cellStyle name="Normal 9 2 4 2 4 3 2" xfId="14578" xr:uid="{312F11D0-B37F-4E42-AE86-269EBAC507C0}"/>
    <cellStyle name="Normal 9 2 4 2 4 3 3" xfId="23012" xr:uid="{6424EF39-E48F-4CDA-90D0-0BECF13DB74B}"/>
    <cellStyle name="Normal 9 2 4 2 4 4" xfId="10360" xr:uid="{A324DD19-84F5-4F6C-A11F-B85217B260DF}"/>
    <cellStyle name="Normal 9 2 4 2 4 5" xfId="18795" xr:uid="{419B1D0B-0F14-4414-8F50-3C44A7445154}"/>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45637F87-3879-469B-B77A-AD4E85BBAD43}"/>
    <cellStyle name="Normal 9 2 4 2 5 2 2 3" xfId="25570" xr:uid="{4B8D744B-0ADC-499D-B094-EDF6E0C50230}"/>
    <cellStyle name="Normal 9 2 4 2 5 2 3" xfId="12918" xr:uid="{7E15CCA5-35C2-4EFE-B5F8-5652CFC11B74}"/>
    <cellStyle name="Normal 9 2 4 2 5 2 4" xfId="21353" xr:uid="{9D182351-86CA-4D25-9624-598999003EC6}"/>
    <cellStyle name="Normal 9 2 4 2 5 3" xfId="6541" xr:uid="{00000000-0005-0000-0000-00006D1F0000}"/>
    <cellStyle name="Normal 9 2 4 2 5 3 2" xfId="14991" xr:uid="{62525B24-2BBB-4324-B6C6-16F5EA68A715}"/>
    <cellStyle name="Normal 9 2 4 2 5 3 3" xfId="23425" xr:uid="{09AB1FE1-09CC-4FE8-AFC9-1FE7C988178B}"/>
    <cellStyle name="Normal 9 2 4 2 5 4" xfId="10773" xr:uid="{0FEE6561-2848-417F-BBC1-FC5EB5FBB1E7}"/>
    <cellStyle name="Normal 9 2 4 2 5 5" xfId="19208" xr:uid="{7A5A10AD-303A-4539-9098-D84B52024C70}"/>
    <cellStyle name="Normal 9 2 4 2 6" xfId="2671" xr:uid="{00000000-0005-0000-0000-00006E1F0000}"/>
    <cellStyle name="Normal 9 2 4 2 6 2" xfId="6954" xr:uid="{00000000-0005-0000-0000-00006F1F0000}"/>
    <cellStyle name="Normal 9 2 4 2 6 2 2" xfId="15404" xr:uid="{12E33079-C4AD-43AB-A287-9940B1E828B3}"/>
    <cellStyle name="Normal 9 2 4 2 6 2 3" xfId="23838" xr:uid="{9FA4BE6D-5E94-4E29-946B-D028CAC38DC4}"/>
    <cellStyle name="Normal 9 2 4 2 6 3" xfId="11186" xr:uid="{94F368BF-C340-40DF-9AE3-E2107917A584}"/>
    <cellStyle name="Normal 9 2 4 2 6 4" xfId="19621" xr:uid="{A356CB5E-ECCE-4F44-BF29-F0B9795E39F4}"/>
    <cellStyle name="Normal 9 2 4 2 7" xfId="4889" xr:uid="{00000000-0005-0000-0000-0000701F0000}"/>
    <cellStyle name="Normal 9 2 4 2 7 2" xfId="13339" xr:uid="{72D7FBF3-F6B5-4B7C-B19A-B46CB8A351A5}"/>
    <cellStyle name="Normal 9 2 4 2 7 3" xfId="21773" xr:uid="{367440BE-E7E6-4326-BBE0-6BB271B33D94}"/>
    <cellStyle name="Normal 9 2 4 2 8" xfId="9121" xr:uid="{7AA1FC8A-2158-4A8C-AFB6-70E943064CB7}"/>
    <cellStyle name="Normal 9 2 4 2 9" xfId="17556" xr:uid="{CE0DAD2A-53CE-42B8-9046-B90680D82E13}"/>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D623C26F-3C55-40F0-A81F-C21C7D3EF582}"/>
    <cellStyle name="Normal 9 2 4 3 2 2 3" xfId="24330" xr:uid="{74220D4D-8F8F-4274-BE40-804CBC63A6C6}"/>
    <cellStyle name="Normal 9 2 4 3 2 3" xfId="11678" xr:uid="{16996087-9B42-4313-8E4B-C2F654C65EF2}"/>
    <cellStyle name="Normal 9 2 4 3 2 4" xfId="20113" xr:uid="{CE79043E-EEBD-4F74-AC33-CB1A133BA894}"/>
    <cellStyle name="Normal 9 2 4 3 3" xfId="5301" xr:uid="{00000000-0005-0000-0000-0000741F0000}"/>
    <cellStyle name="Normal 9 2 4 3 3 2" xfId="13751" xr:uid="{544BFDDD-E251-41DB-8B25-E6AE01E76B65}"/>
    <cellStyle name="Normal 9 2 4 3 3 3" xfId="22185" xr:uid="{83A7BF5F-AC5B-4B63-A037-E77B21A121F7}"/>
    <cellStyle name="Normal 9 2 4 3 4" xfId="9533" xr:uid="{A9A48EFA-7009-4B4D-8FD3-4D881BF95489}"/>
    <cellStyle name="Normal 9 2 4 3 5" xfId="17968" xr:uid="{4E533967-5BB3-4254-95EA-9598CFF002AE}"/>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CDF6357D-9C63-4795-96D1-01EFA510ABD4}"/>
    <cellStyle name="Normal 9 2 4 4 2 2 3" xfId="24743" xr:uid="{2DC66304-1329-433B-BA77-2A17443D3A03}"/>
    <cellStyle name="Normal 9 2 4 4 2 3" xfId="12091" xr:uid="{09AE8F08-EB27-4680-B96D-C0D8D2EF69A2}"/>
    <cellStyle name="Normal 9 2 4 4 2 4" xfId="20526" xr:uid="{8582A278-A5D3-4A05-B245-8A0747B7395A}"/>
    <cellStyle name="Normal 9 2 4 4 3" xfId="5714" xr:uid="{00000000-0005-0000-0000-0000781F0000}"/>
    <cellStyle name="Normal 9 2 4 4 3 2" xfId="14164" xr:uid="{F3428245-A617-4568-8100-6690AFA44AAA}"/>
    <cellStyle name="Normal 9 2 4 4 3 3" xfId="22598" xr:uid="{F9D20780-E213-4DB0-A4D2-82B1AC4037D0}"/>
    <cellStyle name="Normal 9 2 4 4 4" xfId="9946" xr:uid="{49EBB79D-AC27-46D6-8CA4-4942605D2D13}"/>
    <cellStyle name="Normal 9 2 4 4 5" xfId="18381" xr:uid="{0EF6EA60-84A9-419B-B756-3B7759796766}"/>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671EA067-9DF5-41D7-BFBC-AA1D1945486D}"/>
    <cellStyle name="Normal 9 2 4 5 2 2 3" xfId="25156" xr:uid="{ABEBCB16-E07D-4794-9661-2B19BC23C8C7}"/>
    <cellStyle name="Normal 9 2 4 5 2 3" xfId="12504" xr:uid="{F9E27CA8-6B9B-400F-9DE9-A4965F68A4C2}"/>
    <cellStyle name="Normal 9 2 4 5 2 4" xfId="20939" xr:uid="{E0A25C06-3901-4EC0-B13A-0F6D1592FF58}"/>
    <cellStyle name="Normal 9 2 4 5 3" xfId="6127" xr:uid="{00000000-0005-0000-0000-00007C1F0000}"/>
    <cellStyle name="Normal 9 2 4 5 3 2" xfId="14577" xr:uid="{77A302F9-BC63-45AF-9229-07376E99E66F}"/>
    <cellStyle name="Normal 9 2 4 5 3 3" xfId="23011" xr:uid="{F14FA087-409D-4AD4-B053-AD927CD0285B}"/>
    <cellStyle name="Normal 9 2 4 5 4" xfId="10359" xr:uid="{C52850CB-BF78-4A8E-A1CD-729BDD43055A}"/>
    <cellStyle name="Normal 9 2 4 5 5" xfId="18794" xr:uid="{CEEEA136-E28E-4637-9B11-98F69BF5021B}"/>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A4F33BF7-D661-42B2-8948-5145251A9707}"/>
    <cellStyle name="Normal 9 2 4 6 2 2 3" xfId="25569" xr:uid="{22645D5A-E3A3-40E9-A2C3-08DFDDBFCBA0}"/>
    <cellStyle name="Normal 9 2 4 6 2 3" xfId="12917" xr:uid="{9F2F3AB3-A9E9-418D-9BE9-90B00CEB46A1}"/>
    <cellStyle name="Normal 9 2 4 6 2 4" xfId="21352" xr:uid="{7AA2B932-1669-4611-B108-6A2F9E02C22F}"/>
    <cellStyle name="Normal 9 2 4 6 3" xfId="6540" xr:uid="{00000000-0005-0000-0000-0000801F0000}"/>
    <cellStyle name="Normal 9 2 4 6 3 2" xfId="14990" xr:uid="{E6818E6E-6B45-4B3A-8E16-57A224C260E9}"/>
    <cellStyle name="Normal 9 2 4 6 3 3" xfId="23424" xr:uid="{26B19E93-7C58-4768-AFCC-27DB79001542}"/>
    <cellStyle name="Normal 9 2 4 6 4" xfId="10772" xr:uid="{06425E19-FF57-4637-B1FA-2F0CEE8083E4}"/>
    <cellStyle name="Normal 9 2 4 6 5" xfId="19207" xr:uid="{6F81A022-0E12-4E95-91B2-AA5758245341}"/>
    <cellStyle name="Normal 9 2 4 7" xfId="2670" xr:uid="{00000000-0005-0000-0000-0000811F0000}"/>
    <cellStyle name="Normal 9 2 4 7 2" xfId="6953" xr:uid="{00000000-0005-0000-0000-0000821F0000}"/>
    <cellStyle name="Normal 9 2 4 7 2 2" xfId="15403" xr:uid="{50FE579F-D424-40E4-88D3-C7BDC81BFF31}"/>
    <cellStyle name="Normal 9 2 4 7 2 3" xfId="23837" xr:uid="{F24A5D12-4369-4091-A91F-B22DC63AC845}"/>
    <cellStyle name="Normal 9 2 4 7 3" xfId="11185" xr:uid="{47AF248E-0442-419C-80A3-387DA54D59FE}"/>
    <cellStyle name="Normal 9 2 4 7 4" xfId="19620" xr:uid="{FDD9F832-64E6-4D1A-BB3C-3F9FE77611E9}"/>
    <cellStyle name="Normal 9 2 4 8" xfId="4888" xr:uid="{00000000-0005-0000-0000-0000831F0000}"/>
    <cellStyle name="Normal 9 2 4 8 2" xfId="13338" xr:uid="{054C8ACD-7717-448A-BE43-833C82DF13DA}"/>
    <cellStyle name="Normal 9 2 4 8 3" xfId="21772" xr:uid="{01312575-7BEA-4086-8AB5-F564F4494963}"/>
    <cellStyle name="Normal 9 2 4 9" xfId="9120" xr:uid="{B396BB4B-B195-4F38-B8C5-C49DED6BCD9F}"/>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53812B8F-5AF9-4298-8485-5A61128979BD}"/>
    <cellStyle name="Normal 9 2 5 2 2 2 3" xfId="24332" xr:uid="{C9EBAB8B-D26A-4434-85CB-5D556B1B1EC1}"/>
    <cellStyle name="Normal 9 2 5 2 2 3" xfId="11680" xr:uid="{3B9415F4-6BFD-4B01-9B22-8EAA2AABFDC0}"/>
    <cellStyle name="Normal 9 2 5 2 2 4" xfId="20115" xr:uid="{BA631C69-36E8-4278-883D-CAD102DF1268}"/>
    <cellStyle name="Normal 9 2 5 2 3" xfId="5303" xr:uid="{00000000-0005-0000-0000-0000881F0000}"/>
    <cellStyle name="Normal 9 2 5 2 3 2" xfId="13753" xr:uid="{171A1984-DC28-4D97-BAA4-E7A570AECD6D}"/>
    <cellStyle name="Normal 9 2 5 2 3 3" xfId="22187" xr:uid="{58455F1F-2074-4D99-8FAF-9B29EB24ECB2}"/>
    <cellStyle name="Normal 9 2 5 2 4" xfId="9535" xr:uid="{F0B2EB1F-C6ED-4635-A3FC-4A70B6FBE1E7}"/>
    <cellStyle name="Normal 9 2 5 2 5" xfId="17970" xr:uid="{9D027A25-E45B-4E9A-B766-E04E5EBCA8EF}"/>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DC911B77-ABA6-4538-8619-1044426EEFF7}"/>
    <cellStyle name="Normal 9 2 5 3 2 2 3" xfId="24745" xr:uid="{C439FDE6-095B-4C44-9901-488ADD765B69}"/>
    <cellStyle name="Normal 9 2 5 3 2 3" xfId="12093" xr:uid="{4AFFF487-D2F6-4206-9D5D-B8BFBAE8AFC0}"/>
    <cellStyle name="Normal 9 2 5 3 2 4" xfId="20528" xr:uid="{498C2AD5-70FF-4226-8A22-79A32820B371}"/>
    <cellStyle name="Normal 9 2 5 3 3" xfId="5716" xr:uid="{00000000-0005-0000-0000-00008C1F0000}"/>
    <cellStyle name="Normal 9 2 5 3 3 2" xfId="14166" xr:uid="{608401D4-CDB2-44F5-A215-F2E18354298A}"/>
    <cellStyle name="Normal 9 2 5 3 3 3" xfId="22600" xr:uid="{16445BE8-1E54-4DEB-B2AC-BEF7F8FF45AC}"/>
    <cellStyle name="Normal 9 2 5 3 4" xfId="9948" xr:uid="{A3457541-DA8B-4ABA-80A6-B9A44AC70717}"/>
    <cellStyle name="Normal 9 2 5 3 5" xfId="18383" xr:uid="{00FEDC63-5E62-4C06-A402-9E5A43E07215}"/>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F7890183-B9A5-4420-BAD3-4EADBD2C63F4}"/>
    <cellStyle name="Normal 9 2 5 4 2 2 3" xfId="25158" xr:uid="{9957F595-E3AB-4CD0-A0D7-B714755855EF}"/>
    <cellStyle name="Normal 9 2 5 4 2 3" xfId="12506" xr:uid="{4D77CC8C-B9CD-4E86-8AE9-6AB78DE85374}"/>
    <cellStyle name="Normal 9 2 5 4 2 4" xfId="20941" xr:uid="{CBED52A6-7761-4AF5-903D-871B11FFC2C3}"/>
    <cellStyle name="Normal 9 2 5 4 3" xfId="6129" xr:uid="{00000000-0005-0000-0000-0000901F0000}"/>
    <cellStyle name="Normal 9 2 5 4 3 2" xfId="14579" xr:uid="{050C9F7B-B259-45F6-8F42-898BA00DCEC6}"/>
    <cellStyle name="Normal 9 2 5 4 3 3" xfId="23013" xr:uid="{68396E51-C648-4BEA-A0DA-E8D66D323D27}"/>
    <cellStyle name="Normal 9 2 5 4 4" xfId="10361" xr:uid="{5C8022C3-4DDB-4DCF-933B-8EAE9826E9B6}"/>
    <cellStyle name="Normal 9 2 5 4 5" xfId="18796" xr:uid="{42F755C9-12CD-4A77-9CE4-BBE46CA8C8F5}"/>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9F019DEF-8DB4-4F1A-A4EE-09127E4CBDB0}"/>
    <cellStyle name="Normal 9 2 5 5 2 2 3" xfId="25571" xr:uid="{359E9F32-A98C-45E0-9697-B076C4C03EFC}"/>
    <cellStyle name="Normal 9 2 5 5 2 3" xfId="12919" xr:uid="{F6B9C4F0-29FC-46B0-988E-E3C5B8522B90}"/>
    <cellStyle name="Normal 9 2 5 5 2 4" xfId="21354" xr:uid="{7B873618-E609-48B0-9BE9-1B46AA4E48A9}"/>
    <cellStyle name="Normal 9 2 5 5 3" xfId="6542" xr:uid="{00000000-0005-0000-0000-0000941F0000}"/>
    <cellStyle name="Normal 9 2 5 5 3 2" xfId="14992" xr:uid="{522FD886-D228-4CD1-BD78-8BE0F4389773}"/>
    <cellStyle name="Normal 9 2 5 5 3 3" xfId="23426" xr:uid="{00513F7E-E6CA-4CC9-838C-BBF78EFB8AD2}"/>
    <cellStyle name="Normal 9 2 5 5 4" xfId="10774" xr:uid="{43AC36CA-2311-432A-B358-5BC8E26C8CB9}"/>
    <cellStyle name="Normal 9 2 5 5 5" xfId="19209" xr:uid="{27BEEAEC-67D9-4995-B7A6-C9AF1D6C54C2}"/>
    <cellStyle name="Normal 9 2 5 6" xfId="2672" xr:uid="{00000000-0005-0000-0000-0000951F0000}"/>
    <cellStyle name="Normal 9 2 5 6 2" xfId="6955" xr:uid="{00000000-0005-0000-0000-0000961F0000}"/>
    <cellStyle name="Normal 9 2 5 6 2 2" xfId="15405" xr:uid="{C79625DD-7E67-4ADC-8DF7-B60A2346047E}"/>
    <cellStyle name="Normal 9 2 5 6 2 3" xfId="23839" xr:uid="{38382889-02D1-4D62-BE45-E58FF3E3B56A}"/>
    <cellStyle name="Normal 9 2 5 6 3" xfId="11187" xr:uid="{6E1AA473-2705-421E-AB38-B6E415AA3D3A}"/>
    <cellStyle name="Normal 9 2 5 6 4" xfId="19622" xr:uid="{CA7423A5-7755-43F4-875E-243B8FEE5C94}"/>
    <cellStyle name="Normal 9 2 5 7" xfId="4890" xr:uid="{00000000-0005-0000-0000-0000971F0000}"/>
    <cellStyle name="Normal 9 2 5 7 2" xfId="13340" xr:uid="{65E40363-789D-4181-8CE6-E969AFAF7063}"/>
    <cellStyle name="Normal 9 2 5 7 3" xfId="21774" xr:uid="{414B72E3-F312-44A6-AC87-5D29BAD7CAC7}"/>
    <cellStyle name="Normal 9 2 5 8" xfId="9122" xr:uid="{CDC8C7DC-DA41-4058-A024-6CB5B054C172}"/>
    <cellStyle name="Normal 9 2 5 9" xfId="17557" xr:uid="{0617AA7F-D061-4262-A3CE-D461AA0C136F}"/>
    <cellStyle name="Normal 9 2 6" xfId="978" xr:uid="{00000000-0005-0000-0000-0000981F0000}"/>
    <cellStyle name="Normal 9 2 6 2" xfId="3211" xr:uid="{00000000-0005-0000-0000-0000991F0000}"/>
    <cellStyle name="Normal 9 2 6 2 2" xfId="7433" xr:uid="{00000000-0005-0000-0000-00009A1F0000}"/>
    <cellStyle name="Normal 9 2 6 2 2 2" xfId="15883" xr:uid="{BCC4B9C8-7DAF-4864-B652-E741C576B268}"/>
    <cellStyle name="Normal 9 2 6 2 2 3" xfId="24317" xr:uid="{D435D372-04FF-40E2-B273-AE929831C2FB}"/>
    <cellStyle name="Normal 9 2 6 2 3" xfId="11665" xr:uid="{35C28100-D1D1-431B-AF2C-8EAC23173264}"/>
    <cellStyle name="Normal 9 2 6 2 4" xfId="20100" xr:uid="{52350E61-BE8F-4D47-A489-0D4DF1DE7860}"/>
    <cellStyle name="Normal 9 2 6 3" xfId="5288" xr:uid="{00000000-0005-0000-0000-00009B1F0000}"/>
    <cellStyle name="Normal 9 2 6 3 2" xfId="13738" xr:uid="{C12EA342-8ADC-43E9-AEB3-C61A477D96AD}"/>
    <cellStyle name="Normal 9 2 6 3 3" xfId="22172" xr:uid="{D77F08F6-3B97-4C19-B59C-B413EEFF3EFE}"/>
    <cellStyle name="Normal 9 2 6 4" xfId="9520" xr:uid="{18F7BDE7-6905-43BC-8AE3-1F5678C698BE}"/>
    <cellStyle name="Normal 9 2 6 5" xfId="17955" xr:uid="{86DB2D9A-6D13-48B8-B0C9-672EEE29FD5E}"/>
    <cellStyle name="Normal 9 2 7" xfId="1394" xr:uid="{00000000-0005-0000-0000-00009C1F0000}"/>
    <cellStyle name="Normal 9 2 7 2" xfId="3624" xr:uid="{00000000-0005-0000-0000-00009D1F0000}"/>
    <cellStyle name="Normal 9 2 7 2 2" xfId="7846" xr:uid="{00000000-0005-0000-0000-00009E1F0000}"/>
    <cellStyle name="Normal 9 2 7 2 2 2" xfId="16296" xr:uid="{79F78F25-B473-4F6C-B169-EB9170489BDD}"/>
    <cellStyle name="Normal 9 2 7 2 2 3" xfId="24730" xr:uid="{25CDDABA-DE20-4C64-9DD9-2191EEFB8EE5}"/>
    <cellStyle name="Normal 9 2 7 2 3" xfId="12078" xr:uid="{5AD0C517-1233-43B3-AA66-E80818158660}"/>
    <cellStyle name="Normal 9 2 7 2 4" xfId="20513" xr:uid="{AD0D4B11-85F3-4B96-9D43-6E5D42459AE5}"/>
    <cellStyle name="Normal 9 2 7 3" xfId="5701" xr:uid="{00000000-0005-0000-0000-00009F1F0000}"/>
    <cellStyle name="Normal 9 2 7 3 2" xfId="14151" xr:uid="{0D8B7787-E777-4F15-B34E-60AFFE1B0199}"/>
    <cellStyle name="Normal 9 2 7 3 3" xfId="22585" xr:uid="{0D770BFE-A8A7-4C50-8793-5A3D0B43FBD9}"/>
    <cellStyle name="Normal 9 2 7 4" xfId="9933" xr:uid="{AB8D69C1-E619-46CA-8915-09B0D09330F6}"/>
    <cellStyle name="Normal 9 2 7 5" xfId="18368" xr:uid="{939D0FBC-C862-43BB-A75F-B3F614AB632F}"/>
    <cellStyle name="Normal 9 2 8" xfId="1807" xr:uid="{00000000-0005-0000-0000-0000A01F0000}"/>
    <cellStyle name="Normal 9 2 8 2" xfId="4037" xr:uid="{00000000-0005-0000-0000-0000A11F0000}"/>
    <cellStyle name="Normal 9 2 8 2 2" xfId="8259" xr:uid="{00000000-0005-0000-0000-0000A21F0000}"/>
    <cellStyle name="Normal 9 2 8 2 2 2" xfId="16709" xr:uid="{2A60059F-C860-48EE-B61A-2ACA61FA1242}"/>
    <cellStyle name="Normal 9 2 8 2 2 3" xfId="25143" xr:uid="{1560F2F8-BC00-4357-9C6E-D2B517E12DC9}"/>
    <cellStyle name="Normal 9 2 8 2 3" xfId="12491" xr:uid="{5DD8C1B2-CC8E-4BD9-A0FA-00F0CE066DE2}"/>
    <cellStyle name="Normal 9 2 8 2 4" xfId="20926" xr:uid="{2F79A8E6-4C94-40D5-AB95-BFF9D972599E}"/>
    <cellStyle name="Normal 9 2 8 3" xfId="6114" xr:uid="{00000000-0005-0000-0000-0000A31F0000}"/>
    <cellStyle name="Normal 9 2 8 3 2" xfId="14564" xr:uid="{E6CAB858-EA27-4E5B-BC02-2E8B9E772645}"/>
    <cellStyle name="Normal 9 2 8 3 3" xfId="22998" xr:uid="{08ABE338-09AA-4064-AB02-0CCE25441FB7}"/>
    <cellStyle name="Normal 9 2 8 4" xfId="10346" xr:uid="{6BEB5A33-8A12-4876-9259-C67774A734D2}"/>
    <cellStyle name="Normal 9 2 8 5" xfId="18781" xr:uid="{E237D749-79D1-4121-B11C-74AD34BBF982}"/>
    <cellStyle name="Normal 9 2 9" xfId="2221" xr:uid="{00000000-0005-0000-0000-0000A41F0000}"/>
    <cellStyle name="Normal 9 2 9 2" xfId="4450" xr:uid="{00000000-0005-0000-0000-0000A51F0000}"/>
    <cellStyle name="Normal 9 2 9 2 2" xfId="8672" xr:uid="{00000000-0005-0000-0000-0000A61F0000}"/>
    <cellStyle name="Normal 9 2 9 2 2 2" xfId="17122" xr:uid="{68FE0226-844B-47D4-A426-EFE416084C20}"/>
    <cellStyle name="Normal 9 2 9 2 2 3" xfId="25556" xr:uid="{407376E0-2505-447A-9E64-565BCCC279A2}"/>
    <cellStyle name="Normal 9 2 9 2 3" xfId="12904" xr:uid="{6BF9240E-7763-4FCA-BF3A-DBD2F9D1C7AD}"/>
    <cellStyle name="Normal 9 2 9 2 4" xfId="21339" xr:uid="{7E83FBE5-AD64-44C9-9D29-AB700705C2E5}"/>
    <cellStyle name="Normal 9 2 9 3" xfId="6527" xr:uid="{00000000-0005-0000-0000-0000A71F0000}"/>
    <cellStyle name="Normal 9 2 9 3 2" xfId="14977" xr:uid="{72A84A23-D51B-499E-AA98-1663F74FFEE2}"/>
    <cellStyle name="Normal 9 2 9 3 3" xfId="23411" xr:uid="{634C30C6-E62E-4D0F-A6EF-24844F044708}"/>
    <cellStyle name="Normal 9 2 9 4" xfId="10759" xr:uid="{CE5F9E8A-850E-496B-9CA7-5E93ED4DFA7D}"/>
    <cellStyle name="Normal 9 2 9 5" xfId="19194" xr:uid="{8770C43A-A30F-49D5-988A-635FFA59170F}"/>
    <cellStyle name="Normal 9 3" xfId="527" xr:uid="{00000000-0005-0000-0000-0000A81F0000}"/>
    <cellStyle name="Normal 9 3 10" xfId="4891" xr:uid="{00000000-0005-0000-0000-0000A91F0000}"/>
    <cellStyle name="Normal 9 3 10 2" xfId="13341" xr:uid="{0B28ACD0-7649-4CBD-B286-9D0D369E7CAE}"/>
    <cellStyle name="Normal 9 3 10 3" xfId="21775" xr:uid="{92160AA2-714E-4529-AC71-6339D822A167}"/>
    <cellStyle name="Normal 9 3 11" xfId="9123" xr:uid="{2F044680-6422-40FA-A91B-6D8EFC1A4FB5}"/>
    <cellStyle name="Normal 9 3 12" xfId="17558" xr:uid="{C4DB6E1C-8C3E-4D3A-9DB1-7FA08B6F3219}"/>
    <cellStyle name="Normal 9 3 2" xfId="528" xr:uid="{00000000-0005-0000-0000-0000AA1F0000}"/>
    <cellStyle name="Normal 9 3 2 10" xfId="9124" xr:uid="{714E527B-B013-4E47-A1CD-02D799E0DF10}"/>
    <cellStyle name="Normal 9 3 2 11" xfId="17559" xr:uid="{4A78CFDD-2F4B-4A12-87A9-B9B705828D8B}"/>
    <cellStyle name="Normal 9 3 2 2" xfId="529" xr:uid="{00000000-0005-0000-0000-0000AB1F0000}"/>
    <cellStyle name="Normal 9 3 2 2 10" xfId="17560" xr:uid="{DE80EF0A-A14C-4CCC-8C4A-699134A51482}"/>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788CC19B-0E7C-4A2A-A5A9-40F602D8BF3A}"/>
    <cellStyle name="Normal 9 3 2 2 2 2 2 2 3" xfId="24336" xr:uid="{53947C3D-0E4B-4BE4-AA9A-9F7EA1CDA3B7}"/>
    <cellStyle name="Normal 9 3 2 2 2 2 2 3" xfId="11684" xr:uid="{EE9E458E-FB71-47B2-A3B8-765E91A6C51B}"/>
    <cellStyle name="Normal 9 3 2 2 2 2 2 4" xfId="20119" xr:uid="{EF7D5A33-C624-467A-9781-B30B5A31C45A}"/>
    <cellStyle name="Normal 9 3 2 2 2 2 3" xfId="5307" xr:uid="{00000000-0005-0000-0000-0000B01F0000}"/>
    <cellStyle name="Normal 9 3 2 2 2 2 3 2" xfId="13757" xr:uid="{F87431AF-3844-4B26-A376-4879D84E21A3}"/>
    <cellStyle name="Normal 9 3 2 2 2 2 3 3" xfId="22191" xr:uid="{569D80EC-96EC-4AC3-B985-5AE6B7CA058B}"/>
    <cellStyle name="Normal 9 3 2 2 2 2 4" xfId="9539" xr:uid="{1D90EDAC-F508-47AE-B4D7-8E72DB5EDEF5}"/>
    <cellStyle name="Normal 9 3 2 2 2 2 5" xfId="17974" xr:uid="{8279B806-239D-4EBA-AA07-467E16CF42E4}"/>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DB93655B-B6FD-4E89-A65E-945BC3D56B24}"/>
    <cellStyle name="Normal 9 3 2 2 2 3 2 2 3" xfId="24749" xr:uid="{3850F863-A736-4CFE-9ADA-FE5508D39811}"/>
    <cellStyle name="Normal 9 3 2 2 2 3 2 3" xfId="12097" xr:uid="{645804B8-A7E1-48BD-B463-DC603325CD55}"/>
    <cellStyle name="Normal 9 3 2 2 2 3 2 4" xfId="20532" xr:uid="{68614DA0-3E9D-4ECB-8D12-330536D5C52A}"/>
    <cellStyle name="Normal 9 3 2 2 2 3 3" xfId="5720" xr:uid="{00000000-0005-0000-0000-0000B41F0000}"/>
    <cellStyle name="Normal 9 3 2 2 2 3 3 2" xfId="14170" xr:uid="{5DE4C350-8C02-4CD4-801B-56157E71CD3C}"/>
    <cellStyle name="Normal 9 3 2 2 2 3 3 3" xfId="22604" xr:uid="{A0F7B53C-3D55-489C-9B99-44FE1335CC5E}"/>
    <cellStyle name="Normal 9 3 2 2 2 3 4" xfId="9952" xr:uid="{8C81EB00-F186-4207-90DF-6025FC78B302}"/>
    <cellStyle name="Normal 9 3 2 2 2 3 5" xfId="18387" xr:uid="{214CD633-2385-4DB1-8AF1-D846BA508F1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5BA53214-D24D-487C-BD99-AA106CE3B4F5}"/>
    <cellStyle name="Normal 9 3 2 2 2 4 2 2 3" xfId="25162" xr:uid="{761CE49F-3E03-4F34-AA74-D14E2C0F7D1C}"/>
    <cellStyle name="Normal 9 3 2 2 2 4 2 3" xfId="12510" xr:uid="{E4BDF41A-CDF7-4079-90D3-090108CAC39D}"/>
    <cellStyle name="Normal 9 3 2 2 2 4 2 4" xfId="20945" xr:uid="{17FC51BE-A804-4DFF-B9D0-AFB092EC1C38}"/>
    <cellStyle name="Normal 9 3 2 2 2 4 3" xfId="6133" xr:uid="{00000000-0005-0000-0000-0000B81F0000}"/>
    <cellStyle name="Normal 9 3 2 2 2 4 3 2" xfId="14583" xr:uid="{BE75F652-E978-4181-9A7A-79F967499F75}"/>
    <cellStyle name="Normal 9 3 2 2 2 4 3 3" xfId="23017" xr:uid="{278309AA-76F2-43F2-A664-56913F298F0D}"/>
    <cellStyle name="Normal 9 3 2 2 2 4 4" xfId="10365" xr:uid="{7F40CEB7-0366-475C-8367-E5EA3F4B578B}"/>
    <cellStyle name="Normal 9 3 2 2 2 4 5" xfId="18800" xr:uid="{618BE4EC-12C0-4943-BD88-880B87329EB1}"/>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9C7733B6-DCDD-49C1-83E3-908B67A93DF4}"/>
    <cellStyle name="Normal 9 3 2 2 2 5 2 2 3" xfId="25575" xr:uid="{D9846F11-4323-475F-B0D7-416CD67CB535}"/>
    <cellStyle name="Normal 9 3 2 2 2 5 2 3" xfId="12923" xr:uid="{459C0E99-59C9-437E-AC1F-30EA76FD29D0}"/>
    <cellStyle name="Normal 9 3 2 2 2 5 2 4" xfId="21358" xr:uid="{ED4F8B25-9C82-4E25-B2BA-F620C1EBDCEC}"/>
    <cellStyle name="Normal 9 3 2 2 2 5 3" xfId="6546" xr:uid="{00000000-0005-0000-0000-0000BC1F0000}"/>
    <cellStyle name="Normal 9 3 2 2 2 5 3 2" xfId="14996" xr:uid="{69497988-7545-431A-8463-57CDFD5201CB}"/>
    <cellStyle name="Normal 9 3 2 2 2 5 3 3" xfId="23430" xr:uid="{280EE262-CA75-4B5D-A124-F6EED1395513}"/>
    <cellStyle name="Normal 9 3 2 2 2 5 4" xfId="10778" xr:uid="{8E8001E9-5002-4F6F-B9F3-6D515FF76DAD}"/>
    <cellStyle name="Normal 9 3 2 2 2 5 5" xfId="19213" xr:uid="{6E50E2AB-0D85-4086-BC0F-0A5FEA35547C}"/>
    <cellStyle name="Normal 9 3 2 2 2 6" xfId="2676" xr:uid="{00000000-0005-0000-0000-0000BD1F0000}"/>
    <cellStyle name="Normal 9 3 2 2 2 6 2" xfId="6959" xr:uid="{00000000-0005-0000-0000-0000BE1F0000}"/>
    <cellStyle name="Normal 9 3 2 2 2 6 2 2" xfId="15409" xr:uid="{534EA740-DBA4-4416-A7AB-1C5B50331745}"/>
    <cellStyle name="Normal 9 3 2 2 2 6 2 3" xfId="23843" xr:uid="{1406B90D-C898-427F-865E-4B7A963C4DA1}"/>
    <cellStyle name="Normal 9 3 2 2 2 6 3" xfId="11191" xr:uid="{17DC32A1-56D2-4813-B19F-56F6F0B1427A}"/>
    <cellStyle name="Normal 9 3 2 2 2 6 4" xfId="19626" xr:uid="{8A534927-B84D-43B7-B90F-1E2932FC2FFE}"/>
    <cellStyle name="Normal 9 3 2 2 2 7" xfId="4894" xr:uid="{00000000-0005-0000-0000-0000BF1F0000}"/>
    <cellStyle name="Normal 9 3 2 2 2 7 2" xfId="13344" xr:uid="{270EEEE6-F348-48F7-9650-E6951D956EDF}"/>
    <cellStyle name="Normal 9 3 2 2 2 7 3" xfId="21778" xr:uid="{23EA9875-1E47-416A-91D0-CDDAE10AAE25}"/>
    <cellStyle name="Normal 9 3 2 2 2 8" xfId="9126" xr:uid="{840D3C40-44EE-4B2B-8D2F-F1F945B61D64}"/>
    <cellStyle name="Normal 9 3 2 2 2 9" xfId="17561" xr:uid="{F9442BB9-9F97-4201-843D-34F0F0AEC5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7E32742A-6BEA-4F3C-A1D4-FF05CD41CAA6}"/>
    <cellStyle name="Normal 9 3 2 2 3 2 2 3" xfId="24335" xr:uid="{696A5085-0E82-4ED1-9A1D-8DF7F4B9608D}"/>
    <cellStyle name="Normal 9 3 2 2 3 2 3" xfId="11683" xr:uid="{3F2DC079-C843-4F07-B48E-10FF2C149A8A}"/>
    <cellStyle name="Normal 9 3 2 2 3 2 4" xfId="20118" xr:uid="{7B4056D2-D67F-45C8-BFFF-9A9C37C2794F}"/>
    <cellStyle name="Normal 9 3 2 2 3 3" xfId="5306" xr:uid="{00000000-0005-0000-0000-0000C31F0000}"/>
    <cellStyle name="Normal 9 3 2 2 3 3 2" xfId="13756" xr:uid="{DF4C2B63-E735-4AE5-B953-472BC6401039}"/>
    <cellStyle name="Normal 9 3 2 2 3 3 3" xfId="22190" xr:uid="{4BA97361-4A45-4FBC-A877-2395F8079E09}"/>
    <cellStyle name="Normal 9 3 2 2 3 4" xfId="9538" xr:uid="{62D483E9-6725-4169-B574-774B1C7738B3}"/>
    <cellStyle name="Normal 9 3 2 2 3 5" xfId="17973" xr:uid="{7C8036E3-E3EE-4C9D-BE2E-F0BCC525437D}"/>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571A4216-CC37-4CD5-9F65-6B28DAE8A078}"/>
    <cellStyle name="Normal 9 3 2 2 4 2 2 3" xfId="24748" xr:uid="{373AAEDA-4808-4EDF-8BDB-8851E6417F37}"/>
    <cellStyle name="Normal 9 3 2 2 4 2 3" xfId="12096" xr:uid="{664E99CA-03E3-4D0B-A3FD-B341CA57692C}"/>
    <cellStyle name="Normal 9 3 2 2 4 2 4" xfId="20531" xr:uid="{D439BDDD-3B58-4B08-BFBD-7DE306D8DB64}"/>
    <cellStyle name="Normal 9 3 2 2 4 3" xfId="5719" xr:uid="{00000000-0005-0000-0000-0000C71F0000}"/>
    <cellStyle name="Normal 9 3 2 2 4 3 2" xfId="14169" xr:uid="{CC33367D-3327-4BB6-80AD-F22E68FC7305}"/>
    <cellStyle name="Normal 9 3 2 2 4 3 3" xfId="22603" xr:uid="{828066CC-58A1-4CE6-8135-27CBC51B148E}"/>
    <cellStyle name="Normal 9 3 2 2 4 4" xfId="9951" xr:uid="{E83719F0-064F-4697-BE48-4EF6D71B2207}"/>
    <cellStyle name="Normal 9 3 2 2 4 5" xfId="18386" xr:uid="{E7099C08-5DE0-4627-9FA2-3F80E77445D1}"/>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A462AF4B-1407-41BC-B3ED-0FEAD22F338A}"/>
    <cellStyle name="Normal 9 3 2 2 5 2 2 3" xfId="25161" xr:uid="{6DAC4777-F18A-41DF-B19B-A2E6AC56ACFD}"/>
    <cellStyle name="Normal 9 3 2 2 5 2 3" xfId="12509" xr:uid="{CE8A73F1-4792-4F6C-A13F-787BC64B3303}"/>
    <cellStyle name="Normal 9 3 2 2 5 2 4" xfId="20944" xr:uid="{9972DE50-A6BD-4B43-B648-417C08669453}"/>
    <cellStyle name="Normal 9 3 2 2 5 3" xfId="6132" xr:uid="{00000000-0005-0000-0000-0000CB1F0000}"/>
    <cellStyle name="Normal 9 3 2 2 5 3 2" xfId="14582" xr:uid="{28BB1E39-6D96-4286-BE46-E7B42DAEDE29}"/>
    <cellStyle name="Normal 9 3 2 2 5 3 3" xfId="23016" xr:uid="{8272B79B-E7DC-4C71-A165-6F55C5F3CEF2}"/>
    <cellStyle name="Normal 9 3 2 2 5 4" xfId="10364" xr:uid="{0779FFF7-B5EE-4BC2-BF6A-8CCCACBFFA7A}"/>
    <cellStyle name="Normal 9 3 2 2 5 5" xfId="18799" xr:uid="{07FEEBBD-22FC-47B3-9C21-9C2A93921717}"/>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656B9D38-9203-4AF2-AAD9-4CFB0545808E}"/>
    <cellStyle name="Normal 9 3 2 2 6 2 2 3" xfId="25574" xr:uid="{068E27FA-50D2-4901-99D7-FFA2444A7464}"/>
    <cellStyle name="Normal 9 3 2 2 6 2 3" xfId="12922" xr:uid="{2293C329-2D38-44FB-A9CB-98EED45573C3}"/>
    <cellStyle name="Normal 9 3 2 2 6 2 4" xfId="21357" xr:uid="{41087E8A-7D7B-49FA-AE22-E7A464C37AAE}"/>
    <cellStyle name="Normal 9 3 2 2 6 3" xfId="6545" xr:uid="{00000000-0005-0000-0000-0000CF1F0000}"/>
    <cellStyle name="Normal 9 3 2 2 6 3 2" xfId="14995" xr:uid="{5CA35A0E-C4AF-46F2-ABB3-D26D707732DD}"/>
    <cellStyle name="Normal 9 3 2 2 6 3 3" xfId="23429" xr:uid="{F5365531-4825-4A37-B1FF-8A34D286DE03}"/>
    <cellStyle name="Normal 9 3 2 2 6 4" xfId="10777" xr:uid="{8EDBC91D-3446-42EE-9192-26274D95CE47}"/>
    <cellStyle name="Normal 9 3 2 2 6 5" xfId="19212" xr:uid="{F4AF11D7-2300-4DA6-ACD0-152D9CC91A75}"/>
    <cellStyle name="Normal 9 3 2 2 7" xfId="2675" xr:uid="{00000000-0005-0000-0000-0000D01F0000}"/>
    <cellStyle name="Normal 9 3 2 2 7 2" xfId="6958" xr:uid="{00000000-0005-0000-0000-0000D11F0000}"/>
    <cellStyle name="Normal 9 3 2 2 7 2 2" xfId="15408" xr:uid="{E8312718-0C98-4404-9B6B-9A975F9E4E48}"/>
    <cellStyle name="Normal 9 3 2 2 7 2 3" xfId="23842" xr:uid="{3BB616AD-0138-486C-9F4D-1A9D7FF2257A}"/>
    <cellStyle name="Normal 9 3 2 2 7 3" xfId="11190" xr:uid="{0D9E3702-791D-496F-A64A-4B51D8B9F145}"/>
    <cellStyle name="Normal 9 3 2 2 7 4" xfId="19625" xr:uid="{9939AFD7-5624-4CFE-A56F-66B35499394B}"/>
    <cellStyle name="Normal 9 3 2 2 8" xfId="4893" xr:uid="{00000000-0005-0000-0000-0000D21F0000}"/>
    <cellStyle name="Normal 9 3 2 2 8 2" xfId="13343" xr:uid="{16094092-A5E0-41BF-8B7C-DB5BDBE34FA7}"/>
    <cellStyle name="Normal 9 3 2 2 8 3" xfId="21777" xr:uid="{D9E19497-B21B-4C57-B708-51940D02AE69}"/>
    <cellStyle name="Normal 9 3 2 2 9" xfId="9125" xr:uid="{C52CEAD4-B045-435F-BF88-6C519F78BF7E}"/>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E54C2FF9-0F44-41EA-8872-3B6DA93852E2}"/>
    <cellStyle name="Normal 9 3 2 3 2 2 2 3" xfId="24337" xr:uid="{EA7B4CCF-0D41-4F43-B76D-C005FC2E9641}"/>
    <cellStyle name="Normal 9 3 2 3 2 2 3" xfId="11685" xr:uid="{EFEC273A-7A30-4A1D-8D91-8642F054B33F}"/>
    <cellStyle name="Normal 9 3 2 3 2 2 4" xfId="20120" xr:uid="{97D9CCB8-D217-46E3-91C0-267FC4ADA04A}"/>
    <cellStyle name="Normal 9 3 2 3 2 3" xfId="5308" xr:uid="{00000000-0005-0000-0000-0000D71F0000}"/>
    <cellStyle name="Normal 9 3 2 3 2 3 2" xfId="13758" xr:uid="{71A40F97-F57B-451C-B89B-7C985B04D741}"/>
    <cellStyle name="Normal 9 3 2 3 2 3 3" xfId="22192" xr:uid="{49CFB1C0-E46C-4B57-8742-BD9D48E1CA5A}"/>
    <cellStyle name="Normal 9 3 2 3 2 4" xfId="9540" xr:uid="{FBD9B488-539A-4389-87E0-053B0AD5F1A8}"/>
    <cellStyle name="Normal 9 3 2 3 2 5" xfId="17975" xr:uid="{3CE4F6E9-6E93-4DF6-8508-7A75D970DEA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38FC688E-D320-4733-A444-6B3DEAA2CD68}"/>
    <cellStyle name="Normal 9 3 2 3 3 2 2 3" xfId="24750" xr:uid="{BD095C8F-D5C5-421C-81CA-5CB64ED59351}"/>
    <cellStyle name="Normal 9 3 2 3 3 2 3" xfId="12098" xr:uid="{2A71B424-FBD3-4B21-97C8-A522D16F39B9}"/>
    <cellStyle name="Normal 9 3 2 3 3 2 4" xfId="20533" xr:uid="{5CA45643-71FA-4021-82F3-C4C78523A76F}"/>
    <cellStyle name="Normal 9 3 2 3 3 3" xfId="5721" xr:uid="{00000000-0005-0000-0000-0000DB1F0000}"/>
    <cellStyle name="Normal 9 3 2 3 3 3 2" xfId="14171" xr:uid="{A3C4968B-4D5A-4DC2-87DB-405D69CE1DC3}"/>
    <cellStyle name="Normal 9 3 2 3 3 3 3" xfId="22605" xr:uid="{DCB3ED26-931B-44B1-80BE-A594BAE03F2E}"/>
    <cellStyle name="Normal 9 3 2 3 3 4" xfId="9953" xr:uid="{87867459-D1AF-4C74-B795-0A8FA3ABBF67}"/>
    <cellStyle name="Normal 9 3 2 3 3 5" xfId="18388" xr:uid="{83984925-DB7E-4DCE-ADD5-B9928CF2FC43}"/>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876C1F88-3F13-4978-81DC-5EBE8FDE36FA}"/>
    <cellStyle name="Normal 9 3 2 3 4 2 2 3" xfId="25163" xr:uid="{FF569488-3A9A-4E35-9BEF-E7A6682C79B7}"/>
    <cellStyle name="Normal 9 3 2 3 4 2 3" xfId="12511" xr:uid="{541D6D83-814E-4AB2-830A-27900BA3D180}"/>
    <cellStyle name="Normal 9 3 2 3 4 2 4" xfId="20946" xr:uid="{D21055A3-7655-4A97-9951-F0AA9C38B12C}"/>
    <cellStyle name="Normal 9 3 2 3 4 3" xfId="6134" xr:uid="{00000000-0005-0000-0000-0000DF1F0000}"/>
    <cellStyle name="Normal 9 3 2 3 4 3 2" xfId="14584" xr:uid="{23A43BCF-608B-47D0-A164-5882D5DA0BF4}"/>
    <cellStyle name="Normal 9 3 2 3 4 3 3" xfId="23018" xr:uid="{394EE4AE-726C-4974-868D-E869C4E3744D}"/>
    <cellStyle name="Normal 9 3 2 3 4 4" xfId="10366" xr:uid="{7DDA9BD2-77A3-41EE-A0F3-D9561089EE09}"/>
    <cellStyle name="Normal 9 3 2 3 4 5" xfId="18801" xr:uid="{0828D272-C956-4411-A56E-CCA34B94CDA8}"/>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AFE89FF6-B8B3-449C-BD54-6D03536E6BA8}"/>
    <cellStyle name="Normal 9 3 2 3 5 2 2 3" xfId="25576" xr:uid="{88FBE712-79F0-4E7F-B6CC-91CC685F537C}"/>
    <cellStyle name="Normal 9 3 2 3 5 2 3" xfId="12924" xr:uid="{E3376735-C6B8-40C0-A2C2-AF5CCA360F4B}"/>
    <cellStyle name="Normal 9 3 2 3 5 2 4" xfId="21359" xr:uid="{CEA1CAE8-E15E-4DC4-B366-82E665F24FD3}"/>
    <cellStyle name="Normal 9 3 2 3 5 3" xfId="6547" xr:uid="{00000000-0005-0000-0000-0000E31F0000}"/>
    <cellStyle name="Normal 9 3 2 3 5 3 2" xfId="14997" xr:uid="{4B879A06-D430-4C68-88FA-DDD20C0039E7}"/>
    <cellStyle name="Normal 9 3 2 3 5 3 3" xfId="23431" xr:uid="{509D55B1-CFC4-41EF-AAA6-0B5DAC722798}"/>
    <cellStyle name="Normal 9 3 2 3 5 4" xfId="10779" xr:uid="{4927B06E-A333-4C53-8DDE-8AFABF179591}"/>
    <cellStyle name="Normal 9 3 2 3 5 5" xfId="19214" xr:uid="{C5F06A17-D8D9-41D1-8C19-8CC9BD324884}"/>
    <cellStyle name="Normal 9 3 2 3 6" xfId="2677" xr:uid="{00000000-0005-0000-0000-0000E41F0000}"/>
    <cellStyle name="Normal 9 3 2 3 6 2" xfId="6960" xr:uid="{00000000-0005-0000-0000-0000E51F0000}"/>
    <cellStyle name="Normal 9 3 2 3 6 2 2" xfId="15410" xr:uid="{2A5746FE-2DC9-4A1B-AD45-406A92481B47}"/>
    <cellStyle name="Normal 9 3 2 3 6 2 3" xfId="23844" xr:uid="{3261A31A-3C8C-4485-82FB-2BD19C23B6A2}"/>
    <cellStyle name="Normal 9 3 2 3 6 3" xfId="11192" xr:uid="{1152DC8A-A015-48AC-B2D3-5CA73CC1F530}"/>
    <cellStyle name="Normal 9 3 2 3 6 4" xfId="19627" xr:uid="{36DCE2EB-3F37-4B6F-9581-09780827CA68}"/>
    <cellStyle name="Normal 9 3 2 3 7" xfId="4895" xr:uid="{00000000-0005-0000-0000-0000E61F0000}"/>
    <cellStyle name="Normal 9 3 2 3 7 2" xfId="13345" xr:uid="{11BAAD40-779A-4074-A4A4-1892990D6AB6}"/>
    <cellStyle name="Normal 9 3 2 3 7 3" xfId="21779" xr:uid="{F5D209F0-FC64-4CCC-8044-68605A1C53EC}"/>
    <cellStyle name="Normal 9 3 2 3 8" xfId="9127" xr:uid="{BFD7A563-179D-45AE-8D0F-03A1933A9D62}"/>
    <cellStyle name="Normal 9 3 2 3 9" xfId="17562" xr:uid="{A4A79A70-EBDA-42CF-B15C-0BAB33EA1B14}"/>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4921385E-5291-439D-9F05-99E28D40986A}"/>
    <cellStyle name="Normal 9 3 2 4 2 2 3" xfId="24334" xr:uid="{A50B5BDE-1102-439C-AA66-98ACB54F5311}"/>
    <cellStyle name="Normal 9 3 2 4 2 3" xfId="11682" xr:uid="{2C4C6969-87E2-4516-8E4F-336FF55B9438}"/>
    <cellStyle name="Normal 9 3 2 4 2 4" xfId="20117" xr:uid="{CB26275F-1785-48A3-9102-02F1EEEAC43F}"/>
    <cellStyle name="Normal 9 3 2 4 3" xfId="5305" xr:uid="{00000000-0005-0000-0000-0000EA1F0000}"/>
    <cellStyle name="Normal 9 3 2 4 3 2" xfId="13755" xr:uid="{CF8AB7F0-84CC-402B-9B02-0B2185E87156}"/>
    <cellStyle name="Normal 9 3 2 4 3 3" xfId="22189" xr:uid="{B65731C2-323D-4233-89B4-E508A9416A6C}"/>
    <cellStyle name="Normal 9 3 2 4 4" xfId="9537" xr:uid="{46A17C2A-92D7-4A4A-96C0-C7368C5D783B}"/>
    <cellStyle name="Normal 9 3 2 4 5" xfId="17972" xr:uid="{A96B4D79-B2CF-497A-99A0-9D7C8BD58DE7}"/>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3A171496-8F13-4750-862C-22A1BE907DEA}"/>
    <cellStyle name="Normal 9 3 2 5 2 2 3" xfId="24747" xr:uid="{536225AA-4B5D-48CD-99FA-B5F07C22BE66}"/>
    <cellStyle name="Normal 9 3 2 5 2 3" xfId="12095" xr:uid="{F384ECF4-0629-48AD-A784-CAB958443A49}"/>
    <cellStyle name="Normal 9 3 2 5 2 4" xfId="20530" xr:uid="{F5A86CA5-0025-487F-BB48-1999E276DB96}"/>
    <cellStyle name="Normal 9 3 2 5 3" xfId="5718" xr:uid="{00000000-0005-0000-0000-0000EE1F0000}"/>
    <cellStyle name="Normal 9 3 2 5 3 2" xfId="14168" xr:uid="{B66DEDD7-C695-4E7C-929D-A53F38266C4A}"/>
    <cellStyle name="Normal 9 3 2 5 3 3" xfId="22602" xr:uid="{30D28AF5-EDDB-4210-B8B5-8845D863B4EB}"/>
    <cellStyle name="Normal 9 3 2 5 4" xfId="9950" xr:uid="{6A601233-C581-4CEF-A3B0-822171E4B6F4}"/>
    <cellStyle name="Normal 9 3 2 5 5" xfId="18385" xr:uid="{E0BCD9E5-DF90-4604-8A12-E2D3B7BA2E6F}"/>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E6D2A8E7-AB79-408B-AA6B-3DA5DAD3A0C7}"/>
    <cellStyle name="Normal 9 3 2 6 2 2 3" xfId="25160" xr:uid="{A51ED5D3-65E9-43B0-B172-E1D91D32A424}"/>
    <cellStyle name="Normal 9 3 2 6 2 3" xfId="12508" xr:uid="{E5BF6F4D-6E46-42F8-B337-921EDA3FFEEE}"/>
    <cellStyle name="Normal 9 3 2 6 2 4" xfId="20943" xr:uid="{6E4576B2-08B3-45A5-9A22-6E1579A9A57E}"/>
    <cellStyle name="Normal 9 3 2 6 3" xfId="6131" xr:uid="{00000000-0005-0000-0000-0000F21F0000}"/>
    <cellStyle name="Normal 9 3 2 6 3 2" xfId="14581" xr:uid="{70694A9D-416C-4345-9137-FAA05B19A4D4}"/>
    <cellStyle name="Normal 9 3 2 6 3 3" xfId="23015" xr:uid="{4E95B609-3E21-4C7C-AE57-7667BB57EAE6}"/>
    <cellStyle name="Normal 9 3 2 6 4" xfId="10363" xr:uid="{4DF6A177-E862-4A3A-A6CC-1653CA8EF73B}"/>
    <cellStyle name="Normal 9 3 2 6 5" xfId="18798" xr:uid="{E59BD0AB-0699-46FA-8083-8ACD7E9DB5AD}"/>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7FD11A55-9673-4862-9C96-5FA0B8C1B438}"/>
    <cellStyle name="Normal 9 3 2 7 2 2 3" xfId="25573" xr:uid="{C13AEAC7-191C-4F1E-AD26-ED75886DBE91}"/>
    <cellStyle name="Normal 9 3 2 7 2 3" xfId="12921" xr:uid="{5F13E434-E5F6-4867-8B1B-FB38FDACD639}"/>
    <cellStyle name="Normal 9 3 2 7 2 4" xfId="21356" xr:uid="{7F293B79-672E-404B-8776-E0642496F4E3}"/>
    <cellStyle name="Normal 9 3 2 7 3" xfId="6544" xr:uid="{00000000-0005-0000-0000-0000F61F0000}"/>
    <cellStyle name="Normal 9 3 2 7 3 2" xfId="14994" xr:uid="{3DA20260-5627-4B3C-A5B1-9C3C8FAACE41}"/>
    <cellStyle name="Normal 9 3 2 7 3 3" xfId="23428" xr:uid="{97409220-992C-4AA6-90A4-89FED524340C}"/>
    <cellStyle name="Normal 9 3 2 7 4" xfId="10776" xr:uid="{22EDDAC8-EB31-441D-84E7-FBFB7122807B}"/>
    <cellStyle name="Normal 9 3 2 7 5" xfId="19211" xr:uid="{A65FF833-8590-40BF-A710-987A5FF9C1F7}"/>
    <cellStyle name="Normal 9 3 2 8" xfId="2674" xr:uid="{00000000-0005-0000-0000-0000F71F0000}"/>
    <cellStyle name="Normal 9 3 2 8 2" xfId="6957" xr:uid="{00000000-0005-0000-0000-0000F81F0000}"/>
    <cellStyle name="Normal 9 3 2 8 2 2" xfId="15407" xr:uid="{718FC43C-B962-458B-A72A-859167BED83F}"/>
    <cellStyle name="Normal 9 3 2 8 2 3" xfId="23841" xr:uid="{6F5995C6-A5BB-47FA-A744-2F93ECBA1568}"/>
    <cellStyle name="Normal 9 3 2 8 3" xfId="11189" xr:uid="{166668AA-F66B-4F5C-A7CE-672F6B110406}"/>
    <cellStyle name="Normal 9 3 2 8 4" xfId="19624" xr:uid="{D797DBFE-E9E3-4BCA-AC7F-00EEEE4E2E55}"/>
    <cellStyle name="Normal 9 3 2 9" xfId="4892" xr:uid="{00000000-0005-0000-0000-0000F91F0000}"/>
    <cellStyle name="Normal 9 3 2 9 2" xfId="13342" xr:uid="{7F04AFC5-3387-4C6B-BF86-5D480395DB75}"/>
    <cellStyle name="Normal 9 3 2 9 3" xfId="21776" xr:uid="{7FB69A27-D581-46A6-A799-8A55E15C1452}"/>
    <cellStyle name="Normal 9 3 3" xfId="532" xr:uid="{00000000-0005-0000-0000-0000FA1F0000}"/>
    <cellStyle name="Normal 9 3 3 10" xfId="17563" xr:uid="{61ED20B9-5B4B-4D39-B7FB-AD38B3AE3C4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0EA93778-F42D-498E-B1C6-383D3A65F90D}"/>
    <cellStyle name="Normal 9 3 3 2 2 2 2 3" xfId="24339" xr:uid="{B67FF3E3-0BE1-490A-8824-0F00CA1D6BBD}"/>
    <cellStyle name="Normal 9 3 3 2 2 2 3" xfId="11687" xr:uid="{92CD5985-EE51-4961-9243-8CC48A8B13C3}"/>
    <cellStyle name="Normal 9 3 3 2 2 2 4" xfId="20122" xr:uid="{A733FCFE-AE14-4D73-8F95-1E30FDB742C6}"/>
    <cellStyle name="Normal 9 3 3 2 2 3" xfId="5310" xr:uid="{00000000-0005-0000-0000-0000FF1F0000}"/>
    <cellStyle name="Normal 9 3 3 2 2 3 2" xfId="13760" xr:uid="{3B9A224C-14EA-4CEA-8E12-05933053CFCC}"/>
    <cellStyle name="Normal 9 3 3 2 2 3 3" xfId="22194" xr:uid="{7A646A1A-76C2-4D47-AADE-5AF3E717ADCA}"/>
    <cellStyle name="Normal 9 3 3 2 2 4" xfId="9542" xr:uid="{ABD5F351-7844-4CE1-9CFD-B19D2B6C48FA}"/>
    <cellStyle name="Normal 9 3 3 2 2 5" xfId="17977" xr:uid="{E7A25F4E-EA1C-4CDC-B44F-B2E036E5A94F}"/>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CD0FC24B-24DE-471D-A077-B2A0D281A86A}"/>
    <cellStyle name="Normal 9 3 3 2 3 2 2 3" xfId="24752" xr:uid="{52D144C4-83E1-4B5E-8DB8-3DF35908FFFD}"/>
    <cellStyle name="Normal 9 3 3 2 3 2 3" xfId="12100" xr:uid="{67074FAB-B3EC-4D9B-893E-DC76587C1D80}"/>
    <cellStyle name="Normal 9 3 3 2 3 2 4" xfId="20535" xr:uid="{4759EEB0-B572-4358-A2B8-107F19D6EF86}"/>
    <cellStyle name="Normal 9 3 3 2 3 3" xfId="5723" xr:uid="{00000000-0005-0000-0000-000003200000}"/>
    <cellStyle name="Normal 9 3 3 2 3 3 2" xfId="14173" xr:uid="{FD5B8FE7-A320-46F6-8E91-A5D1E78D278B}"/>
    <cellStyle name="Normal 9 3 3 2 3 3 3" xfId="22607" xr:uid="{2151DFC1-D72B-4EB1-8586-BAD577C596FD}"/>
    <cellStyle name="Normal 9 3 3 2 3 4" xfId="9955" xr:uid="{CCA836C0-A68E-4527-89BD-C1DAA69AFDBD}"/>
    <cellStyle name="Normal 9 3 3 2 3 5" xfId="18390" xr:uid="{71924C6B-F7A7-493B-A023-E1B2FE13E908}"/>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490D77C4-34A4-449B-ABF1-9A7D7F8601DF}"/>
    <cellStyle name="Normal 9 3 3 2 4 2 2 3" xfId="25165" xr:uid="{10521001-DD2F-40B2-9C66-C9BF7725897D}"/>
    <cellStyle name="Normal 9 3 3 2 4 2 3" xfId="12513" xr:uid="{B6898E81-7F6D-491E-86E1-BB672B035202}"/>
    <cellStyle name="Normal 9 3 3 2 4 2 4" xfId="20948" xr:uid="{CC329489-92B6-4337-8B89-1E042EC559D7}"/>
    <cellStyle name="Normal 9 3 3 2 4 3" xfId="6136" xr:uid="{00000000-0005-0000-0000-000007200000}"/>
    <cellStyle name="Normal 9 3 3 2 4 3 2" xfId="14586" xr:uid="{C566E0B1-DC59-4584-8DAC-47F696F10556}"/>
    <cellStyle name="Normal 9 3 3 2 4 3 3" xfId="23020" xr:uid="{C8D34D85-8F67-4C15-8133-B4A42028594A}"/>
    <cellStyle name="Normal 9 3 3 2 4 4" xfId="10368" xr:uid="{F8CA555B-E0D0-489E-8BDC-CA3CCFC177AD}"/>
    <cellStyle name="Normal 9 3 3 2 4 5" xfId="18803" xr:uid="{660CEFDC-733E-4B66-8B9D-63B35445D2CD}"/>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7B6AE149-34DE-4E08-B30F-93DA24E7BC09}"/>
    <cellStyle name="Normal 9 3 3 2 5 2 2 3" xfId="25578" xr:uid="{2F5D886F-C6CC-45D4-9E3A-11F7F92CD1D1}"/>
    <cellStyle name="Normal 9 3 3 2 5 2 3" xfId="12926" xr:uid="{A2D8F99B-BCF8-4BCE-9FD5-6C9CA6BDB5F5}"/>
    <cellStyle name="Normal 9 3 3 2 5 2 4" xfId="21361" xr:uid="{7156C6C4-F0BE-4B8E-95C2-376B3DC11508}"/>
    <cellStyle name="Normal 9 3 3 2 5 3" xfId="6549" xr:uid="{00000000-0005-0000-0000-00000B200000}"/>
    <cellStyle name="Normal 9 3 3 2 5 3 2" xfId="14999" xr:uid="{CE837F67-2F6F-4723-B468-BBA92F4FC3DC}"/>
    <cellStyle name="Normal 9 3 3 2 5 3 3" xfId="23433" xr:uid="{F3DCD74E-B1E3-4F8E-AF3A-749777D2110E}"/>
    <cellStyle name="Normal 9 3 3 2 5 4" xfId="10781" xr:uid="{E1B2D91C-EA7D-47DC-8840-EC3BB292C6A1}"/>
    <cellStyle name="Normal 9 3 3 2 5 5" xfId="19216" xr:uid="{1EF4B8F2-A76A-4A9E-8725-0CE0C69BF004}"/>
    <cellStyle name="Normal 9 3 3 2 6" xfId="2679" xr:uid="{00000000-0005-0000-0000-00000C200000}"/>
    <cellStyle name="Normal 9 3 3 2 6 2" xfId="6962" xr:uid="{00000000-0005-0000-0000-00000D200000}"/>
    <cellStyle name="Normal 9 3 3 2 6 2 2" xfId="15412" xr:uid="{870B7A92-64FB-4F37-A24D-4807E397B87D}"/>
    <cellStyle name="Normal 9 3 3 2 6 2 3" xfId="23846" xr:uid="{099BC242-D69D-4B65-9BF3-41821F8D9082}"/>
    <cellStyle name="Normal 9 3 3 2 6 3" xfId="11194" xr:uid="{94A65F9B-4743-4093-B41B-BF83CCBB60B2}"/>
    <cellStyle name="Normal 9 3 3 2 6 4" xfId="19629" xr:uid="{091BE7F0-A7F1-4A2B-A7AE-2D9BEDF8ECEE}"/>
    <cellStyle name="Normal 9 3 3 2 7" xfId="4897" xr:uid="{00000000-0005-0000-0000-00000E200000}"/>
    <cellStyle name="Normal 9 3 3 2 7 2" xfId="13347" xr:uid="{4492FFDF-8B3A-4B70-B4A3-C3EC862FE41E}"/>
    <cellStyle name="Normal 9 3 3 2 7 3" xfId="21781" xr:uid="{E5BE5286-4B00-434C-BF98-9D037ADED04C}"/>
    <cellStyle name="Normal 9 3 3 2 8" xfId="9129" xr:uid="{B18279F8-93D8-44E5-AC6C-595EEB744F33}"/>
    <cellStyle name="Normal 9 3 3 2 9" xfId="17564" xr:uid="{A0517381-38A7-47FC-8ED3-71E67983A251}"/>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146F3CB3-49C0-4A84-A1DC-64657D8EC8E5}"/>
    <cellStyle name="Normal 9 3 3 3 2 2 3" xfId="24338" xr:uid="{557ADE3D-F703-452A-9EFA-453898F751CA}"/>
    <cellStyle name="Normal 9 3 3 3 2 3" xfId="11686" xr:uid="{0F560360-2F3A-47C8-9E45-60F5EDF9B573}"/>
    <cellStyle name="Normal 9 3 3 3 2 4" xfId="20121" xr:uid="{B24BF161-56BA-485F-8001-C611DAD0659A}"/>
    <cellStyle name="Normal 9 3 3 3 3" xfId="5309" xr:uid="{00000000-0005-0000-0000-000012200000}"/>
    <cellStyle name="Normal 9 3 3 3 3 2" xfId="13759" xr:uid="{8F85941D-69F6-47B5-9E94-581E85BA6515}"/>
    <cellStyle name="Normal 9 3 3 3 3 3" xfId="22193" xr:uid="{EEA42FD9-3C1C-421A-A2CC-DFDCB4516D5F}"/>
    <cellStyle name="Normal 9 3 3 3 4" xfId="9541" xr:uid="{CC901D81-7BA5-4130-9A05-82EC0E1D5CDA}"/>
    <cellStyle name="Normal 9 3 3 3 5" xfId="17976" xr:uid="{E290B839-BC48-497A-B390-69A4F04911A3}"/>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B97DA136-E5F0-4A07-B65A-7A5ACE114F4A}"/>
    <cellStyle name="Normal 9 3 3 4 2 2 3" xfId="24751" xr:uid="{DC621B8F-B896-4843-A1D7-2B1B04D2229F}"/>
    <cellStyle name="Normal 9 3 3 4 2 3" xfId="12099" xr:uid="{EB0EF185-442B-4CD7-BDE5-02BF6B8758A3}"/>
    <cellStyle name="Normal 9 3 3 4 2 4" xfId="20534" xr:uid="{07E16510-215A-4788-BAF5-D2C24B15CD70}"/>
    <cellStyle name="Normal 9 3 3 4 3" xfId="5722" xr:uid="{00000000-0005-0000-0000-000016200000}"/>
    <cellStyle name="Normal 9 3 3 4 3 2" xfId="14172" xr:uid="{92B96B0E-3759-477A-AF04-41CB211EE205}"/>
    <cellStyle name="Normal 9 3 3 4 3 3" xfId="22606" xr:uid="{5DA648FA-8935-4269-98AF-2BDA92958F9B}"/>
    <cellStyle name="Normal 9 3 3 4 4" xfId="9954" xr:uid="{EDA2B2DA-CE9E-40C2-A9DD-573E1D4CCF79}"/>
    <cellStyle name="Normal 9 3 3 4 5" xfId="18389" xr:uid="{0A1B1A38-2B97-4DA2-A7CE-E738CC208286}"/>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F5B71138-C93B-4361-A86C-C2C6F1DBF1CC}"/>
    <cellStyle name="Normal 9 3 3 5 2 2 3" xfId="25164" xr:uid="{ACA94519-DE81-403E-92CF-AFC604CAEC7D}"/>
    <cellStyle name="Normal 9 3 3 5 2 3" xfId="12512" xr:uid="{346182CA-7472-4DBC-9592-9CB5D3987EDE}"/>
    <cellStyle name="Normal 9 3 3 5 2 4" xfId="20947" xr:uid="{66E0360C-B0CA-4AF3-9A3F-B5DCD1461984}"/>
    <cellStyle name="Normal 9 3 3 5 3" xfId="6135" xr:uid="{00000000-0005-0000-0000-00001A200000}"/>
    <cellStyle name="Normal 9 3 3 5 3 2" xfId="14585" xr:uid="{C6642AC0-2270-4579-9071-4DF89300E519}"/>
    <cellStyle name="Normal 9 3 3 5 3 3" xfId="23019" xr:uid="{A2D2AF98-30A2-418B-94D8-CB3508DCB698}"/>
    <cellStyle name="Normal 9 3 3 5 4" xfId="10367" xr:uid="{7572A405-F2F7-4468-8CA7-3F52AF7CD6CF}"/>
    <cellStyle name="Normal 9 3 3 5 5" xfId="18802" xr:uid="{559E6026-E4F7-4C8F-9A6C-372965145D1B}"/>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77767A74-C454-4C0F-9E86-29E0920926D8}"/>
    <cellStyle name="Normal 9 3 3 6 2 2 3" xfId="25577" xr:uid="{85DE4E1F-E86D-4527-86C6-ACC6B4C54C1A}"/>
    <cellStyle name="Normal 9 3 3 6 2 3" xfId="12925" xr:uid="{5AA1C63F-375B-4F62-AB72-3F371958B2DB}"/>
    <cellStyle name="Normal 9 3 3 6 2 4" xfId="21360" xr:uid="{FB56724C-4D4E-4644-A90A-8B35EA27FB17}"/>
    <cellStyle name="Normal 9 3 3 6 3" xfId="6548" xr:uid="{00000000-0005-0000-0000-00001E200000}"/>
    <cellStyle name="Normal 9 3 3 6 3 2" xfId="14998" xr:uid="{C4033F76-59AC-4C24-B068-D805FE185321}"/>
    <cellStyle name="Normal 9 3 3 6 3 3" xfId="23432" xr:uid="{258B4C1E-AF84-44EC-9999-7D8B730FE9B5}"/>
    <cellStyle name="Normal 9 3 3 6 4" xfId="10780" xr:uid="{30FB06BB-5401-4849-A9B5-DF5DB76D1CE5}"/>
    <cellStyle name="Normal 9 3 3 6 5" xfId="19215" xr:uid="{92C32BFD-44DB-4DF8-A38D-21567F83D85D}"/>
    <cellStyle name="Normal 9 3 3 7" xfId="2678" xr:uid="{00000000-0005-0000-0000-00001F200000}"/>
    <cellStyle name="Normal 9 3 3 7 2" xfId="6961" xr:uid="{00000000-0005-0000-0000-000020200000}"/>
    <cellStyle name="Normal 9 3 3 7 2 2" xfId="15411" xr:uid="{2EB31D26-DBDD-4306-B394-575445954D7F}"/>
    <cellStyle name="Normal 9 3 3 7 2 3" xfId="23845" xr:uid="{D2B5FA06-BCF8-45B4-8D27-1B0516701078}"/>
    <cellStyle name="Normal 9 3 3 7 3" xfId="11193" xr:uid="{5BB10552-2F9D-4018-8D7A-00A42DA2B55D}"/>
    <cellStyle name="Normal 9 3 3 7 4" xfId="19628" xr:uid="{1797778A-42EB-4A00-8F48-BB68E0064790}"/>
    <cellStyle name="Normal 9 3 3 8" xfId="4896" xr:uid="{00000000-0005-0000-0000-000021200000}"/>
    <cellStyle name="Normal 9 3 3 8 2" xfId="13346" xr:uid="{5B8F618C-4F1A-4106-A335-B179372B515D}"/>
    <cellStyle name="Normal 9 3 3 8 3" xfId="21780" xr:uid="{E3A60B7D-E1B3-4997-8F0C-7C3DE8A54A53}"/>
    <cellStyle name="Normal 9 3 3 9" xfId="9128" xr:uid="{0DB34026-599F-4DEB-B002-139A1458405C}"/>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D72CB027-61C3-4030-9DBE-C13FE31084CC}"/>
    <cellStyle name="Normal 9 3 4 2 2 2 3" xfId="24340" xr:uid="{EC366762-E147-4B73-8D3B-82ACE795D723}"/>
    <cellStyle name="Normal 9 3 4 2 2 3" xfId="11688" xr:uid="{D8AA08CC-B2C9-4EEB-B9C6-E73A9BE94BD7}"/>
    <cellStyle name="Normal 9 3 4 2 2 4" xfId="20123" xr:uid="{269331F4-9463-44DE-870E-A8017F5557A2}"/>
    <cellStyle name="Normal 9 3 4 2 3" xfId="5311" xr:uid="{00000000-0005-0000-0000-000026200000}"/>
    <cellStyle name="Normal 9 3 4 2 3 2" xfId="13761" xr:uid="{6BF3E755-92AC-4DC1-9AE6-3250A490A16D}"/>
    <cellStyle name="Normal 9 3 4 2 3 3" xfId="22195" xr:uid="{0CEB2882-6240-449C-A6FD-64335B8B8EA8}"/>
    <cellStyle name="Normal 9 3 4 2 4" xfId="9543" xr:uid="{AE2B90A6-716B-439C-B67A-1D13C0EC2833}"/>
    <cellStyle name="Normal 9 3 4 2 5" xfId="17978" xr:uid="{207E1268-3B92-44E4-B43E-C5DE9A1B8F6B}"/>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30094D34-07C4-4396-8A83-5FC3DE4A92BC}"/>
    <cellStyle name="Normal 9 3 4 3 2 2 3" xfId="24753" xr:uid="{D28761E4-B7A9-496A-B8ED-F84D899310BA}"/>
    <cellStyle name="Normal 9 3 4 3 2 3" xfId="12101" xr:uid="{DC10FAAA-F12E-44F7-8720-CB05820ACDBE}"/>
    <cellStyle name="Normal 9 3 4 3 2 4" xfId="20536" xr:uid="{657D2F8A-5215-40EF-8C66-96045E367785}"/>
    <cellStyle name="Normal 9 3 4 3 3" xfId="5724" xr:uid="{00000000-0005-0000-0000-00002A200000}"/>
    <cellStyle name="Normal 9 3 4 3 3 2" xfId="14174" xr:uid="{A13D153D-4FC3-48BA-ABB3-CBD7789E0A7C}"/>
    <cellStyle name="Normal 9 3 4 3 3 3" xfId="22608" xr:uid="{40E2B781-E27D-4DD1-961F-09FE0BD019C0}"/>
    <cellStyle name="Normal 9 3 4 3 4" xfId="9956" xr:uid="{052B7D34-5934-415C-9D6B-0F38ADDA60C2}"/>
    <cellStyle name="Normal 9 3 4 3 5" xfId="18391" xr:uid="{936F8677-4EAB-44C9-BDED-44880AB43140}"/>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96CED0D0-686D-4E13-8D81-4C78A82E6214}"/>
    <cellStyle name="Normal 9 3 4 4 2 2 3" xfId="25166" xr:uid="{B72371CD-3400-4C07-BDAF-BA0A4B28D3E8}"/>
    <cellStyle name="Normal 9 3 4 4 2 3" xfId="12514" xr:uid="{E61B6ED4-6C14-4C71-9D92-1283D56C68A5}"/>
    <cellStyle name="Normal 9 3 4 4 2 4" xfId="20949" xr:uid="{602F7945-DDD2-485E-BCF2-AA0CDC5A2CD0}"/>
    <cellStyle name="Normal 9 3 4 4 3" xfId="6137" xr:uid="{00000000-0005-0000-0000-00002E200000}"/>
    <cellStyle name="Normal 9 3 4 4 3 2" xfId="14587" xr:uid="{9D4B1C83-5164-464E-AA73-F61290CE9891}"/>
    <cellStyle name="Normal 9 3 4 4 3 3" xfId="23021" xr:uid="{0471501D-92B5-419D-9BD4-BB18B9570B5F}"/>
    <cellStyle name="Normal 9 3 4 4 4" xfId="10369" xr:uid="{56935942-5489-4272-BC9C-6B38DFFD8C55}"/>
    <cellStyle name="Normal 9 3 4 4 5" xfId="18804" xr:uid="{70877EB6-06EF-4055-A8F4-449504619F6D}"/>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C919B035-C71F-4189-9CCE-22FAC9DB9071}"/>
    <cellStyle name="Normal 9 3 4 5 2 2 3" xfId="25579" xr:uid="{558A548D-9A46-44F5-A12F-066D12FD7F5D}"/>
    <cellStyle name="Normal 9 3 4 5 2 3" xfId="12927" xr:uid="{DA75EF0C-EAA6-451D-8556-4216A808ECD6}"/>
    <cellStyle name="Normal 9 3 4 5 2 4" xfId="21362" xr:uid="{AC4A0605-CC43-4A98-84D2-0BB924174931}"/>
    <cellStyle name="Normal 9 3 4 5 3" xfId="6550" xr:uid="{00000000-0005-0000-0000-000032200000}"/>
    <cellStyle name="Normal 9 3 4 5 3 2" xfId="15000" xr:uid="{9D82453B-238B-4AAD-B6A4-599325E13E20}"/>
    <cellStyle name="Normal 9 3 4 5 3 3" xfId="23434" xr:uid="{C96389AC-4609-488B-B619-EF4AA93109A0}"/>
    <cellStyle name="Normal 9 3 4 5 4" xfId="10782" xr:uid="{CB5AE210-E5E6-4CE5-8829-4630395FC478}"/>
    <cellStyle name="Normal 9 3 4 5 5" xfId="19217" xr:uid="{6557280C-CD06-4A25-83EE-D731059925A5}"/>
    <cellStyle name="Normal 9 3 4 6" xfId="2680" xr:uid="{00000000-0005-0000-0000-000033200000}"/>
    <cellStyle name="Normal 9 3 4 6 2" xfId="6963" xr:uid="{00000000-0005-0000-0000-000034200000}"/>
    <cellStyle name="Normal 9 3 4 6 2 2" xfId="15413" xr:uid="{9E3918DD-459F-4A6F-8EE5-65C9B8FC6600}"/>
    <cellStyle name="Normal 9 3 4 6 2 3" xfId="23847" xr:uid="{D359C698-9FEC-4ABB-AEBA-CE9B5BC5A3DE}"/>
    <cellStyle name="Normal 9 3 4 6 3" xfId="11195" xr:uid="{9F545434-177A-4CA5-A2E6-526EF494424A}"/>
    <cellStyle name="Normal 9 3 4 6 4" xfId="19630" xr:uid="{4FBA7F3C-4196-4EB8-8D73-4B280D91A723}"/>
    <cellStyle name="Normal 9 3 4 7" xfId="4898" xr:uid="{00000000-0005-0000-0000-000035200000}"/>
    <cellStyle name="Normal 9 3 4 7 2" xfId="13348" xr:uid="{C0FC756F-E781-4444-90D6-503F1684FB10}"/>
    <cellStyle name="Normal 9 3 4 7 3" xfId="21782" xr:uid="{5C4CBD2C-FD3B-44B7-8C17-09A106D9B02D}"/>
    <cellStyle name="Normal 9 3 4 8" xfId="9130" xr:uid="{CF148BCC-B5FB-470D-BE66-D12684EA1332}"/>
    <cellStyle name="Normal 9 3 4 9" xfId="17565" xr:uid="{C2634219-0717-4A12-81B7-671527112007}"/>
    <cellStyle name="Normal 9 3 5" xfId="994" xr:uid="{00000000-0005-0000-0000-000036200000}"/>
    <cellStyle name="Normal 9 3 5 2" xfId="3227" xr:uid="{00000000-0005-0000-0000-000037200000}"/>
    <cellStyle name="Normal 9 3 5 2 2" xfId="7449" xr:uid="{00000000-0005-0000-0000-000038200000}"/>
    <cellStyle name="Normal 9 3 5 2 2 2" xfId="15899" xr:uid="{6DF60A20-5B8E-4B52-B45D-5034C06DBE79}"/>
    <cellStyle name="Normal 9 3 5 2 2 3" xfId="24333" xr:uid="{6F47D7FC-49F8-41B0-B43E-DAB7F782B6CF}"/>
    <cellStyle name="Normal 9 3 5 2 3" xfId="11681" xr:uid="{EFC3E1F5-EB5C-4EDF-8A05-497083577F93}"/>
    <cellStyle name="Normal 9 3 5 2 4" xfId="20116" xr:uid="{6E074805-0465-46CD-B84E-4A1C3E5D8835}"/>
    <cellStyle name="Normal 9 3 5 3" xfId="5304" xr:uid="{00000000-0005-0000-0000-000039200000}"/>
    <cellStyle name="Normal 9 3 5 3 2" xfId="13754" xr:uid="{5066A05D-9A02-48F7-97B6-93AE785292B9}"/>
    <cellStyle name="Normal 9 3 5 3 3" xfId="22188" xr:uid="{0069F121-87BB-471B-AC12-33F09EBA314C}"/>
    <cellStyle name="Normal 9 3 5 4" xfId="9536" xr:uid="{9AA4D935-27F8-4FAE-ADB9-9C781E8C3862}"/>
    <cellStyle name="Normal 9 3 5 5" xfId="17971" xr:uid="{1A43B8C7-3298-4061-AFBD-0D1A43C3CF34}"/>
    <cellStyle name="Normal 9 3 6" xfId="1410" xr:uid="{00000000-0005-0000-0000-00003A200000}"/>
    <cellStyle name="Normal 9 3 6 2" xfId="3640" xr:uid="{00000000-0005-0000-0000-00003B200000}"/>
    <cellStyle name="Normal 9 3 6 2 2" xfId="7862" xr:uid="{00000000-0005-0000-0000-00003C200000}"/>
    <cellStyle name="Normal 9 3 6 2 2 2" xfId="16312" xr:uid="{857C12E9-B688-4D88-A9C8-7E5CF3B03AC8}"/>
    <cellStyle name="Normal 9 3 6 2 2 3" xfId="24746" xr:uid="{C35BB07E-538D-427B-A4DC-0D45E77CD469}"/>
    <cellStyle name="Normal 9 3 6 2 3" xfId="12094" xr:uid="{AB4EB03D-C236-40C9-B868-F6103557387B}"/>
    <cellStyle name="Normal 9 3 6 2 4" xfId="20529" xr:uid="{EBE9EB9A-0FAE-4750-B6F3-7FEC6D8AFDC0}"/>
    <cellStyle name="Normal 9 3 6 3" xfId="5717" xr:uid="{00000000-0005-0000-0000-00003D200000}"/>
    <cellStyle name="Normal 9 3 6 3 2" xfId="14167" xr:uid="{2E8F369E-96FB-4D98-B9E0-A68728D0E917}"/>
    <cellStyle name="Normal 9 3 6 3 3" xfId="22601" xr:uid="{428C88F6-F95E-48CC-91E3-17EE4BB4A0BA}"/>
    <cellStyle name="Normal 9 3 6 4" xfId="9949" xr:uid="{B8F36A5F-AA74-4A22-B368-52A853545B57}"/>
    <cellStyle name="Normal 9 3 6 5" xfId="18384" xr:uid="{90BA9FCE-B5D1-4090-950E-25E19CB789BF}"/>
    <cellStyle name="Normal 9 3 7" xfId="1823" xr:uid="{00000000-0005-0000-0000-00003E200000}"/>
    <cellStyle name="Normal 9 3 7 2" xfId="4053" xr:uid="{00000000-0005-0000-0000-00003F200000}"/>
    <cellStyle name="Normal 9 3 7 2 2" xfId="8275" xr:uid="{00000000-0005-0000-0000-000040200000}"/>
    <cellStyle name="Normal 9 3 7 2 2 2" xfId="16725" xr:uid="{1A3E1730-B5DE-40EF-9129-D80059B9A977}"/>
    <cellStyle name="Normal 9 3 7 2 2 3" xfId="25159" xr:uid="{C3BA4BA0-A97C-411C-BD62-39B17B722FB7}"/>
    <cellStyle name="Normal 9 3 7 2 3" xfId="12507" xr:uid="{F0209836-6B2F-4D15-8985-613A1978A0CF}"/>
    <cellStyle name="Normal 9 3 7 2 4" xfId="20942" xr:uid="{E04045B3-BF7A-4199-9A62-794FDDBB1DAD}"/>
    <cellStyle name="Normal 9 3 7 3" xfId="6130" xr:uid="{00000000-0005-0000-0000-000041200000}"/>
    <cellStyle name="Normal 9 3 7 3 2" xfId="14580" xr:uid="{54D5022A-B95E-461A-9488-CBB923935DE7}"/>
    <cellStyle name="Normal 9 3 7 3 3" xfId="23014" xr:uid="{A918D0D7-A222-463A-86B7-EE9DC44A2664}"/>
    <cellStyle name="Normal 9 3 7 4" xfId="10362" xr:uid="{EE8B0003-24D6-4667-A9FF-CF3637CCF149}"/>
    <cellStyle name="Normal 9 3 7 5" xfId="18797" xr:uid="{7B91DAB0-35F0-4827-B233-704DD07979D7}"/>
    <cellStyle name="Normal 9 3 8" xfId="2237" xr:uid="{00000000-0005-0000-0000-000042200000}"/>
    <cellStyle name="Normal 9 3 8 2" xfId="4466" xr:uid="{00000000-0005-0000-0000-000043200000}"/>
    <cellStyle name="Normal 9 3 8 2 2" xfId="8688" xr:uid="{00000000-0005-0000-0000-000044200000}"/>
    <cellStyle name="Normal 9 3 8 2 2 2" xfId="17138" xr:uid="{19FE3AFC-5D3F-453D-86D3-C23D4CFF81A1}"/>
    <cellStyle name="Normal 9 3 8 2 2 3" xfId="25572" xr:uid="{26E98346-1481-4B36-8E10-A0D07A5D1B8B}"/>
    <cellStyle name="Normal 9 3 8 2 3" xfId="12920" xr:uid="{B0C6AFE8-0E4D-4CA6-B9B1-3BD666222E8C}"/>
    <cellStyle name="Normal 9 3 8 2 4" xfId="21355" xr:uid="{323DF9EF-A7BA-49EC-919E-847440949E1B}"/>
    <cellStyle name="Normal 9 3 8 3" xfId="6543" xr:uid="{00000000-0005-0000-0000-000045200000}"/>
    <cellStyle name="Normal 9 3 8 3 2" xfId="14993" xr:uid="{ACBA4805-F560-4B45-9E81-910788AB71FD}"/>
    <cellStyle name="Normal 9 3 8 3 3" xfId="23427" xr:uid="{4F41A70C-79E3-4643-BE24-C502CB27683F}"/>
    <cellStyle name="Normal 9 3 8 4" xfId="10775" xr:uid="{E1233E8A-9138-4760-A0FE-1F369C91E2EE}"/>
    <cellStyle name="Normal 9 3 8 5" xfId="19210" xr:uid="{9287C517-0CB1-4DBA-A4A6-BC1031D7FB05}"/>
    <cellStyle name="Normal 9 3 9" xfId="2673" xr:uid="{00000000-0005-0000-0000-000046200000}"/>
    <cellStyle name="Normal 9 3 9 2" xfId="6956" xr:uid="{00000000-0005-0000-0000-000047200000}"/>
    <cellStyle name="Normal 9 3 9 2 2" xfId="15406" xr:uid="{388E4461-CE29-43AB-8747-27A196ED3170}"/>
    <cellStyle name="Normal 9 3 9 2 3" xfId="23840" xr:uid="{92DC0B27-DDC2-4571-9981-5A66C2255240}"/>
    <cellStyle name="Normal 9 3 9 3" xfId="11188" xr:uid="{B1CDDE83-5D52-4F6B-9ECA-54F82C4F1548}"/>
    <cellStyle name="Normal 9 3 9 4" xfId="19623" xr:uid="{3EE7E5CF-422C-4258-AFCE-530E516C1FA1}"/>
    <cellStyle name="Normal 9 4" xfId="535" xr:uid="{00000000-0005-0000-0000-000048200000}"/>
    <cellStyle name="Normal 9 4 2" xfId="1002" xr:uid="{00000000-0005-0000-0000-000049200000}"/>
    <cellStyle name="Normal 9 5" xfId="536" xr:uid="{00000000-0005-0000-0000-00004A200000}"/>
    <cellStyle name="Normal 9 5 10" xfId="17566" xr:uid="{B871CEE1-6A16-4DDD-A43C-8A3198AFEE11}"/>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6B6DC924-6735-4B6E-9E1B-AB2CEF205325}"/>
    <cellStyle name="Normal 9 5 2 2 2 2 3" xfId="24342" xr:uid="{D9E323D5-60A4-429B-8B38-20E23200B332}"/>
    <cellStyle name="Normal 9 5 2 2 2 3" xfId="11690" xr:uid="{F1720479-2458-4263-B1DA-F7D7479114E0}"/>
    <cellStyle name="Normal 9 5 2 2 2 4" xfId="20125" xr:uid="{DD4C7A05-7D95-422C-AC82-8AD180CD671B}"/>
    <cellStyle name="Normal 9 5 2 2 3" xfId="5313" xr:uid="{00000000-0005-0000-0000-00004F200000}"/>
    <cellStyle name="Normal 9 5 2 2 3 2" xfId="13763" xr:uid="{4035C872-F529-4DE9-B001-FF61D6DA2F05}"/>
    <cellStyle name="Normal 9 5 2 2 3 3" xfId="22197" xr:uid="{9D4C23CE-29EA-4867-AA37-35E33112D962}"/>
    <cellStyle name="Normal 9 5 2 2 4" xfId="9545" xr:uid="{0852F16B-422E-428F-A29A-DA48F173C20D}"/>
    <cellStyle name="Normal 9 5 2 2 5" xfId="17980" xr:uid="{1D89486D-5726-492F-B291-47C5A7A35A56}"/>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558E6A3B-6005-4AF9-AFD8-21B052AA6C7E}"/>
    <cellStyle name="Normal 9 5 2 3 2 2 3" xfId="24755" xr:uid="{3ACF7EFB-B2D0-404C-B146-E4B87979FCCA}"/>
    <cellStyle name="Normal 9 5 2 3 2 3" xfId="12103" xr:uid="{B7A4B835-6C67-46D9-8421-907D8C64A472}"/>
    <cellStyle name="Normal 9 5 2 3 2 4" xfId="20538" xr:uid="{D0DB1518-1A5D-42AB-A0A4-6A1AD55621FD}"/>
    <cellStyle name="Normal 9 5 2 3 3" xfId="5726" xr:uid="{00000000-0005-0000-0000-000053200000}"/>
    <cellStyle name="Normal 9 5 2 3 3 2" xfId="14176" xr:uid="{058EBF0E-7141-4E53-BD62-32CFE8AD84BB}"/>
    <cellStyle name="Normal 9 5 2 3 3 3" xfId="22610" xr:uid="{30C689DF-EFC2-47AE-B332-0EFF43017F96}"/>
    <cellStyle name="Normal 9 5 2 3 4" xfId="9958" xr:uid="{849215D8-7886-4321-867E-0A348ABF7257}"/>
    <cellStyle name="Normal 9 5 2 3 5" xfId="18393" xr:uid="{13300067-595B-482A-A6EB-10E5BC36D9BE}"/>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E7EF0F21-B5FE-4E17-9F2B-1284B7C9954B}"/>
    <cellStyle name="Normal 9 5 2 4 2 2 3" xfId="25168" xr:uid="{A90E3597-3B64-478B-A6CE-FF128FAFD437}"/>
    <cellStyle name="Normal 9 5 2 4 2 3" xfId="12516" xr:uid="{289D2DFC-7447-49DD-A7B7-8D653E933D75}"/>
    <cellStyle name="Normal 9 5 2 4 2 4" xfId="20951" xr:uid="{2C542D16-9B78-446B-9E2A-B4287B29A4DE}"/>
    <cellStyle name="Normal 9 5 2 4 3" xfId="6139" xr:uid="{00000000-0005-0000-0000-000057200000}"/>
    <cellStyle name="Normal 9 5 2 4 3 2" xfId="14589" xr:uid="{5DA44EFF-93F4-49B0-B6C4-C1C9F6B71322}"/>
    <cellStyle name="Normal 9 5 2 4 3 3" xfId="23023" xr:uid="{15615569-0A54-46FC-A9F6-C73D82F8CFD6}"/>
    <cellStyle name="Normal 9 5 2 4 4" xfId="10371" xr:uid="{68CEC284-9756-4A54-9F74-2B8D3DB1BA46}"/>
    <cellStyle name="Normal 9 5 2 4 5" xfId="18806" xr:uid="{416EF52C-C553-4BE3-9B69-192FD47F065B}"/>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FA29C4C2-0744-4B37-B3B5-D22CB5402154}"/>
    <cellStyle name="Normal 9 5 2 5 2 2 3" xfId="25581" xr:uid="{4A14F91E-83FF-4F12-866E-CC739BAC337D}"/>
    <cellStyle name="Normal 9 5 2 5 2 3" xfId="12929" xr:uid="{BC6B9F84-5342-46D9-9B5F-F227E7A7894F}"/>
    <cellStyle name="Normal 9 5 2 5 2 4" xfId="21364" xr:uid="{F0D3C9B3-E502-4263-A874-893DBA578827}"/>
    <cellStyle name="Normal 9 5 2 5 3" xfId="6552" xr:uid="{00000000-0005-0000-0000-00005B200000}"/>
    <cellStyle name="Normal 9 5 2 5 3 2" xfId="15002" xr:uid="{36334BE4-2797-46B4-8F05-060F348CF382}"/>
    <cellStyle name="Normal 9 5 2 5 3 3" xfId="23436" xr:uid="{8A035E6C-585B-43F5-8492-367FF931E930}"/>
    <cellStyle name="Normal 9 5 2 5 4" xfId="10784" xr:uid="{8783B39F-38C7-416E-91EA-388A016F2C89}"/>
    <cellStyle name="Normal 9 5 2 5 5" xfId="19219" xr:uid="{F46A03D5-F2EF-400C-A94C-5F8BE6EB804D}"/>
    <cellStyle name="Normal 9 5 2 6" xfId="2682" xr:uid="{00000000-0005-0000-0000-00005C200000}"/>
    <cellStyle name="Normal 9 5 2 6 2" xfId="6965" xr:uid="{00000000-0005-0000-0000-00005D200000}"/>
    <cellStyle name="Normal 9 5 2 6 2 2" xfId="15415" xr:uid="{C5925CDE-E7A3-47A1-9064-BBF2BDF43A43}"/>
    <cellStyle name="Normal 9 5 2 6 2 3" xfId="23849" xr:uid="{FB35AE51-CCB8-413D-A99B-1909D5BDD697}"/>
    <cellStyle name="Normal 9 5 2 6 3" xfId="11197" xr:uid="{9EAC5806-F889-48F6-8FF8-A25DF47352D4}"/>
    <cellStyle name="Normal 9 5 2 6 4" xfId="19632" xr:uid="{7A7828CB-4ADD-4796-AA08-408E46B4350E}"/>
    <cellStyle name="Normal 9 5 2 7" xfId="4900" xr:uid="{00000000-0005-0000-0000-00005E200000}"/>
    <cellStyle name="Normal 9 5 2 7 2" xfId="13350" xr:uid="{F3640AEA-3D0F-4489-9FBC-01496F1617A2}"/>
    <cellStyle name="Normal 9 5 2 7 3" xfId="21784" xr:uid="{96C901C5-664B-40BD-8322-D0CE1A535027}"/>
    <cellStyle name="Normal 9 5 2 8" xfId="9132" xr:uid="{F15C3403-0C30-4550-8081-381D9AE35A42}"/>
    <cellStyle name="Normal 9 5 2 9" xfId="17567" xr:uid="{3D6BD70D-A841-4481-9298-0B3D0AF50CB2}"/>
    <cellStyle name="Normal 9 5 3" xfId="1003" xr:uid="{00000000-0005-0000-0000-00005F200000}"/>
    <cellStyle name="Normal 9 5 3 2" xfId="3235" xr:uid="{00000000-0005-0000-0000-000060200000}"/>
    <cellStyle name="Normal 9 5 3 2 2" xfId="7457" xr:uid="{00000000-0005-0000-0000-000061200000}"/>
    <cellStyle name="Normal 9 5 3 2 2 2" xfId="15907" xr:uid="{56676110-FD1C-4C46-A128-C624AAEDF4B0}"/>
    <cellStyle name="Normal 9 5 3 2 2 3" xfId="24341" xr:uid="{32108ED4-ED69-4506-8866-A9C227147E4E}"/>
    <cellStyle name="Normal 9 5 3 2 3" xfId="11689" xr:uid="{A6D5CE58-FA86-4748-BEC6-ADA842267282}"/>
    <cellStyle name="Normal 9 5 3 2 4" xfId="20124" xr:uid="{F9EBF666-A126-494F-BF50-839A2FB2F899}"/>
    <cellStyle name="Normal 9 5 3 3" xfId="5312" xr:uid="{00000000-0005-0000-0000-000062200000}"/>
    <cellStyle name="Normal 9 5 3 3 2" xfId="13762" xr:uid="{BEAAAB44-0487-40C6-A7B9-F820EF3C332A}"/>
    <cellStyle name="Normal 9 5 3 3 3" xfId="22196" xr:uid="{35413ACE-89D4-4747-8881-BFCC042698A8}"/>
    <cellStyle name="Normal 9 5 3 4" xfId="9544" xr:uid="{50AD3A4B-5B44-4514-A93D-43901D799D0F}"/>
    <cellStyle name="Normal 9 5 3 5" xfId="17979" xr:uid="{0636101E-D872-4087-B976-3EA8B5CAACF6}"/>
    <cellStyle name="Normal 9 5 4" xfId="1418" xr:uid="{00000000-0005-0000-0000-000063200000}"/>
    <cellStyle name="Normal 9 5 4 2" xfId="3648" xr:uid="{00000000-0005-0000-0000-000064200000}"/>
    <cellStyle name="Normal 9 5 4 2 2" xfId="7870" xr:uid="{00000000-0005-0000-0000-000065200000}"/>
    <cellStyle name="Normal 9 5 4 2 2 2" xfId="16320" xr:uid="{CFF2CC09-E043-41EE-84CD-0137B671A147}"/>
    <cellStyle name="Normal 9 5 4 2 2 3" xfId="24754" xr:uid="{35F406B0-3BA7-474B-B4D2-AE3B6F8DBD2C}"/>
    <cellStyle name="Normal 9 5 4 2 3" xfId="12102" xr:uid="{1D40CBF8-DF60-47F2-A197-336F2C468CE2}"/>
    <cellStyle name="Normal 9 5 4 2 4" xfId="20537" xr:uid="{91571AD6-AA13-4B31-8475-E8D576C8F34C}"/>
    <cellStyle name="Normal 9 5 4 3" xfId="5725" xr:uid="{00000000-0005-0000-0000-000066200000}"/>
    <cellStyle name="Normal 9 5 4 3 2" xfId="14175" xr:uid="{EDC3688E-5770-4537-BB41-AD0B08766750}"/>
    <cellStyle name="Normal 9 5 4 3 3" xfId="22609" xr:uid="{0AC80627-3122-45E3-BFC7-9734EC7BB030}"/>
    <cellStyle name="Normal 9 5 4 4" xfId="9957" xr:uid="{7B6C39F2-AA29-49EF-9ABD-8F33BC90447E}"/>
    <cellStyle name="Normal 9 5 4 5" xfId="18392" xr:uid="{D26B5E9B-A70B-4E3C-A22A-4E09EDD4F412}"/>
    <cellStyle name="Normal 9 5 5" xfId="1831" xr:uid="{00000000-0005-0000-0000-000067200000}"/>
    <cellStyle name="Normal 9 5 5 2" xfId="4061" xr:uid="{00000000-0005-0000-0000-000068200000}"/>
    <cellStyle name="Normal 9 5 5 2 2" xfId="8283" xr:uid="{00000000-0005-0000-0000-000069200000}"/>
    <cellStyle name="Normal 9 5 5 2 2 2" xfId="16733" xr:uid="{BB267214-DF04-4EAE-B9A7-EE5C8FE67FEB}"/>
    <cellStyle name="Normal 9 5 5 2 2 3" xfId="25167" xr:uid="{FD96F060-ECEA-4A5E-A757-A2115D4CD7D3}"/>
    <cellStyle name="Normal 9 5 5 2 3" xfId="12515" xr:uid="{170E120E-9729-4CD1-B841-9726283CDF73}"/>
    <cellStyle name="Normal 9 5 5 2 4" xfId="20950" xr:uid="{5B7206C1-F94D-40DF-9A0D-674A3EDAB95D}"/>
    <cellStyle name="Normal 9 5 5 3" xfId="6138" xr:uid="{00000000-0005-0000-0000-00006A200000}"/>
    <cellStyle name="Normal 9 5 5 3 2" xfId="14588" xr:uid="{B8C328A8-C417-40AD-B183-0355A1AA0236}"/>
    <cellStyle name="Normal 9 5 5 3 3" xfId="23022" xr:uid="{F8813E60-C4F8-42A3-BCDD-0FD0B349E608}"/>
    <cellStyle name="Normal 9 5 5 4" xfId="10370" xr:uid="{D7CB0175-A63F-4C8C-B4E9-5A41EDCC732F}"/>
    <cellStyle name="Normal 9 5 5 5" xfId="18805" xr:uid="{99AF292C-9FCC-499A-834C-0938E4323911}"/>
    <cellStyle name="Normal 9 5 6" xfId="2245" xr:uid="{00000000-0005-0000-0000-00006B200000}"/>
    <cellStyle name="Normal 9 5 6 2" xfId="4474" xr:uid="{00000000-0005-0000-0000-00006C200000}"/>
    <cellStyle name="Normal 9 5 6 2 2" xfId="8696" xr:uid="{00000000-0005-0000-0000-00006D200000}"/>
    <cellStyle name="Normal 9 5 6 2 2 2" xfId="17146" xr:uid="{4D78CE9C-BA2D-41F8-B365-A053121752AE}"/>
    <cellStyle name="Normal 9 5 6 2 2 3" xfId="25580" xr:uid="{476F5816-9947-4D54-BC93-EFADA5A52580}"/>
    <cellStyle name="Normal 9 5 6 2 3" xfId="12928" xr:uid="{19153F06-A3DE-497B-9617-728505C2D0FD}"/>
    <cellStyle name="Normal 9 5 6 2 4" xfId="21363" xr:uid="{97A5FDD2-85C4-4F7B-A3C2-8330D1AA631C}"/>
    <cellStyle name="Normal 9 5 6 3" xfId="6551" xr:uid="{00000000-0005-0000-0000-00006E200000}"/>
    <cellStyle name="Normal 9 5 6 3 2" xfId="15001" xr:uid="{A3D2F08A-6FCB-4BD5-A767-C2747D1F240F}"/>
    <cellStyle name="Normal 9 5 6 3 3" xfId="23435" xr:uid="{07E27DBC-8FC2-4862-B6DB-67886327FD89}"/>
    <cellStyle name="Normal 9 5 6 4" xfId="10783" xr:uid="{A622B09A-471C-4DEB-A14C-1ACA7317FFA7}"/>
    <cellStyle name="Normal 9 5 6 5" xfId="19218" xr:uid="{31518CBD-2269-4E6C-8987-AA3E7E919358}"/>
    <cellStyle name="Normal 9 5 7" xfId="2681" xr:uid="{00000000-0005-0000-0000-00006F200000}"/>
    <cellStyle name="Normal 9 5 7 2" xfId="6964" xr:uid="{00000000-0005-0000-0000-000070200000}"/>
    <cellStyle name="Normal 9 5 7 2 2" xfId="15414" xr:uid="{AFC95856-BC39-4D56-B672-317AFCE3E7E0}"/>
    <cellStyle name="Normal 9 5 7 2 3" xfId="23848" xr:uid="{F5E7A876-A565-470F-8C2D-0A38A4A18E10}"/>
    <cellStyle name="Normal 9 5 7 3" xfId="11196" xr:uid="{4F168883-F7FB-4F12-B327-F3268EBE237F}"/>
    <cellStyle name="Normal 9 5 7 4" xfId="19631" xr:uid="{A669024F-FF6A-46A5-953C-252CF4CCDF46}"/>
    <cellStyle name="Normal 9 5 8" xfId="4899" xr:uid="{00000000-0005-0000-0000-000071200000}"/>
    <cellStyle name="Normal 9 5 8 2" xfId="13349" xr:uid="{DB7B7692-7963-43E4-B6CA-64A8AA99611B}"/>
    <cellStyle name="Normal 9 5 8 3" xfId="21783" xr:uid="{AB8822C5-00E7-463D-B6B9-BDE4DB8CD7E2}"/>
    <cellStyle name="Normal 9 5 9" xfId="9131" xr:uid="{B792731B-6B90-4A89-AE73-1B8E5065DF1B}"/>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0B7137E5-D956-4B6B-B6AA-05300D1FB8A3}"/>
    <cellStyle name="Normal 9 6 2 2 2 3" xfId="24343" xr:uid="{5E34D056-EB7B-4813-85C3-3B155EC75507}"/>
    <cellStyle name="Normal 9 6 2 2 3" xfId="11691" xr:uid="{B56FF8A1-8F26-4F22-BF0C-068D313D3801}"/>
    <cellStyle name="Normal 9 6 2 2 4" xfId="20126" xr:uid="{97286012-AC94-4BEF-8D2D-A8236A5AB3BB}"/>
    <cellStyle name="Normal 9 6 2 3" xfId="5314" xr:uid="{00000000-0005-0000-0000-000076200000}"/>
    <cellStyle name="Normal 9 6 2 3 2" xfId="13764" xr:uid="{83F9EB5E-5F27-4866-93A6-16A893A5ABBF}"/>
    <cellStyle name="Normal 9 6 2 3 3" xfId="22198" xr:uid="{3B5D60B6-F24C-4C7A-A9FD-B1D61729A74B}"/>
    <cellStyle name="Normal 9 6 2 4" xfId="9546" xr:uid="{B34D4902-F719-414D-9B2D-FF881F74A30B}"/>
    <cellStyle name="Normal 9 6 2 5" xfId="17981" xr:uid="{5B4F3696-B7F9-47AD-99A4-DB567E673CDD}"/>
    <cellStyle name="Normal 9 6 3" xfId="1420" xr:uid="{00000000-0005-0000-0000-000077200000}"/>
    <cellStyle name="Normal 9 6 3 2" xfId="3650" xr:uid="{00000000-0005-0000-0000-000078200000}"/>
    <cellStyle name="Normal 9 6 3 2 2" xfId="7872" xr:uid="{00000000-0005-0000-0000-000079200000}"/>
    <cellStyle name="Normal 9 6 3 2 2 2" xfId="16322" xr:uid="{A54768E5-0B9A-4745-BB18-B2177D58F748}"/>
    <cellStyle name="Normal 9 6 3 2 2 3" xfId="24756" xr:uid="{CEF2D352-FD69-4A76-A05C-AB8889BE6A7B}"/>
    <cellStyle name="Normal 9 6 3 2 3" xfId="12104" xr:uid="{A67E9DB9-9E0D-4206-ABEF-52F77CBB79F4}"/>
    <cellStyle name="Normal 9 6 3 2 4" xfId="20539" xr:uid="{5CD3D639-7A39-4213-9210-0DB8351D9683}"/>
    <cellStyle name="Normal 9 6 3 3" xfId="5727" xr:uid="{00000000-0005-0000-0000-00007A200000}"/>
    <cellStyle name="Normal 9 6 3 3 2" xfId="14177" xr:uid="{B0E51A69-6E7F-44CB-98BF-168C4FD7EA84}"/>
    <cellStyle name="Normal 9 6 3 3 3" xfId="22611" xr:uid="{61840888-34E0-488E-8C37-A9D7136F029A}"/>
    <cellStyle name="Normal 9 6 3 4" xfId="9959" xr:uid="{214C3437-1991-4BBB-B60C-25983B0D3560}"/>
    <cellStyle name="Normal 9 6 3 5" xfId="18394" xr:uid="{7F79C802-A80B-4D6D-9631-4CA8F1B5725F}"/>
    <cellStyle name="Normal 9 6 4" xfId="1833" xr:uid="{00000000-0005-0000-0000-00007B200000}"/>
    <cellStyle name="Normal 9 6 4 2" xfId="4063" xr:uid="{00000000-0005-0000-0000-00007C200000}"/>
    <cellStyle name="Normal 9 6 4 2 2" xfId="8285" xr:uid="{00000000-0005-0000-0000-00007D200000}"/>
    <cellStyle name="Normal 9 6 4 2 2 2" xfId="16735" xr:uid="{61A54F1A-4D47-441C-A1AF-747DB12231B7}"/>
    <cellStyle name="Normal 9 6 4 2 2 3" xfId="25169" xr:uid="{1EA86BF8-EBF6-4DC0-9881-75355AEE9F5A}"/>
    <cellStyle name="Normal 9 6 4 2 3" xfId="12517" xr:uid="{027FEA16-2A78-4F5F-9B8B-B9CBA1518B3F}"/>
    <cellStyle name="Normal 9 6 4 2 4" xfId="20952" xr:uid="{150021DF-AF17-4D80-ABD4-732FC1BD4B67}"/>
    <cellStyle name="Normal 9 6 4 3" xfId="6140" xr:uid="{00000000-0005-0000-0000-00007E200000}"/>
    <cellStyle name="Normal 9 6 4 3 2" xfId="14590" xr:uid="{AD174B38-DE08-417C-AB74-8DBE1B0A0F1C}"/>
    <cellStyle name="Normal 9 6 4 3 3" xfId="23024" xr:uid="{D1C35487-0492-471F-821E-FC14018FF11A}"/>
    <cellStyle name="Normal 9 6 4 4" xfId="10372" xr:uid="{45F27EC2-D2FA-45F6-87C1-59BB0D08179A}"/>
    <cellStyle name="Normal 9 6 4 5" xfId="18807" xr:uid="{7C8F2480-BC6A-474E-8E78-27F2191612E7}"/>
    <cellStyle name="Normal 9 6 5" xfId="2247" xr:uid="{00000000-0005-0000-0000-00007F200000}"/>
    <cellStyle name="Normal 9 6 5 2" xfId="4476" xr:uid="{00000000-0005-0000-0000-000080200000}"/>
    <cellStyle name="Normal 9 6 5 2 2" xfId="8698" xr:uid="{00000000-0005-0000-0000-000081200000}"/>
    <cellStyle name="Normal 9 6 5 2 2 2" xfId="17148" xr:uid="{7B7C3D51-1C0E-4E9C-A1AB-90F20EA2C65E}"/>
    <cellStyle name="Normal 9 6 5 2 2 3" xfId="25582" xr:uid="{8BABCDEB-45DA-4D7B-B360-D1C0DB4F726E}"/>
    <cellStyle name="Normal 9 6 5 2 3" xfId="12930" xr:uid="{58F70D1E-E136-4CCF-A533-C550B8CF06B3}"/>
    <cellStyle name="Normal 9 6 5 2 4" xfId="21365" xr:uid="{A50AC6CA-319F-4F0B-908D-3825D11DB5E1}"/>
    <cellStyle name="Normal 9 6 5 3" xfId="6553" xr:uid="{00000000-0005-0000-0000-000082200000}"/>
    <cellStyle name="Normal 9 6 5 3 2" xfId="15003" xr:uid="{BEA7EE8D-8BB8-4A6B-BCF9-AF79459E862A}"/>
    <cellStyle name="Normal 9 6 5 3 3" xfId="23437" xr:uid="{CBE75166-16BE-47F8-8CAB-5EE0BAB77BB0}"/>
    <cellStyle name="Normal 9 6 5 4" xfId="10785" xr:uid="{0B16613A-518D-4817-8558-84EF1B182DF3}"/>
    <cellStyle name="Normal 9 6 5 5" xfId="19220" xr:uid="{06A19C76-16C6-45DF-8C90-06ACE14C669E}"/>
    <cellStyle name="Normal 9 6 6" xfId="2683" xr:uid="{00000000-0005-0000-0000-000083200000}"/>
    <cellStyle name="Normal 9 6 6 2" xfId="6966" xr:uid="{00000000-0005-0000-0000-000084200000}"/>
    <cellStyle name="Normal 9 6 6 2 2" xfId="15416" xr:uid="{32299537-8041-45ED-ABF4-27BA17A7E669}"/>
    <cellStyle name="Normal 9 6 6 2 3" xfId="23850" xr:uid="{C79A8F5A-B176-403D-9B40-7F0A0A9C64BF}"/>
    <cellStyle name="Normal 9 6 6 3" xfId="11198" xr:uid="{0778C64B-8931-4130-B5A6-695339593960}"/>
    <cellStyle name="Normal 9 6 6 4" xfId="19633" xr:uid="{551B83EB-E3C2-4185-A256-268EF0107024}"/>
    <cellStyle name="Normal 9 6 7" xfId="4901" xr:uid="{00000000-0005-0000-0000-000085200000}"/>
    <cellStyle name="Normal 9 6 7 2" xfId="13351" xr:uid="{649A161D-BAFE-4259-A96C-33CD0CC8983E}"/>
    <cellStyle name="Normal 9 6 7 3" xfId="21785" xr:uid="{10BD8786-E1D8-4031-9284-28ED32822530}"/>
    <cellStyle name="Normal 9 6 8" xfId="9133" xr:uid="{19D0E9BA-C115-40FA-9BB6-6CCD6591E2BE}"/>
    <cellStyle name="Normal 9 6 9" xfId="17568" xr:uid="{5B171700-C1D7-4F2F-8634-576BB3AB42D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D56B9396-BB23-4D2A-967F-92277005A570}"/>
    <cellStyle name="Note 2 2 10 2 3" xfId="23931" xr:uid="{6D5FB6CE-0EFD-453D-8F2E-58E69BB798BC}"/>
    <cellStyle name="Note 2 2 10 3" xfId="11279" xr:uid="{25568A39-7986-40B8-9AF3-A4FE687B3DD4}"/>
    <cellStyle name="Note 2 2 10 4" xfId="19714" xr:uid="{196E943F-2607-4ABC-B52F-E0C3694DD863}"/>
    <cellStyle name="Note 2 2 11" xfId="4902" xr:uid="{00000000-0005-0000-0000-000094200000}"/>
    <cellStyle name="Note 2 2 11 2" xfId="13352" xr:uid="{6E7A1E93-8310-47B2-91E5-E3654F8310C3}"/>
    <cellStyle name="Note 2 2 11 3" xfId="21786" xr:uid="{176FE6A4-B145-4A9A-85FC-9B04EE81E1D3}"/>
    <cellStyle name="Note 2 2 12" xfId="9134" xr:uid="{E9ED1C70-8C37-4EB7-9D54-39B5ED7D465F}"/>
    <cellStyle name="Note 2 2 13" xfId="17569" xr:uid="{1920A001-56B6-41A6-999E-EF4793E4BEE7}"/>
    <cellStyle name="Note 2 2 2" xfId="546" xr:uid="{00000000-0005-0000-0000-000095200000}"/>
    <cellStyle name="Note 2 2 2 10" xfId="4903" xr:uid="{00000000-0005-0000-0000-000096200000}"/>
    <cellStyle name="Note 2 2 2 10 2" xfId="13353" xr:uid="{39F45AC0-E449-474B-BD0C-4360C9FA3D53}"/>
    <cellStyle name="Note 2 2 2 10 3" xfId="21787" xr:uid="{302B060D-4AD2-45B9-A45F-09044F3B4044}"/>
    <cellStyle name="Note 2 2 2 11" xfId="9135" xr:uid="{3EC1D1A7-CBE0-4158-948C-CCBC9AEFC97A}"/>
    <cellStyle name="Note 2 2 2 12" xfId="17570" xr:uid="{8ED0C916-4206-4160-8D31-B5D32977646A}"/>
    <cellStyle name="Note 2 2 2 2" xfId="547" xr:uid="{00000000-0005-0000-0000-000097200000}"/>
    <cellStyle name="Note 2 2 2 2 10" xfId="9136" xr:uid="{0CFB0AFD-8FE7-4C2D-B101-9CB4A69DECEA}"/>
    <cellStyle name="Note 2 2 2 2 11" xfId="17571" xr:uid="{9990BD9E-A9D0-4CA6-8F0A-A67BE0E8EE06}"/>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B1D5B05F-A64D-462D-A5F2-A4804EC3B7A3}"/>
    <cellStyle name="Note 2 2 2 2 2 2 2 3" xfId="24346" xr:uid="{85B7A84B-39EC-4661-9623-3BF10FAB9186}"/>
    <cellStyle name="Note 2 2 2 2 2 2 3" xfId="11694" xr:uid="{448F9F95-83EC-4311-9004-97A907BD57E1}"/>
    <cellStyle name="Note 2 2 2 2 2 2 4" xfId="20129" xr:uid="{8512550B-BE9A-4B93-AF9F-632FDC698935}"/>
    <cellStyle name="Note 2 2 2 2 2 3" xfId="5317" xr:uid="{00000000-0005-0000-0000-00009B200000}"/>
    <cellStyle name="Note 2 2 2 2 2 3 2" xfId="13767" xr:uid="{0ADCA3E5-924E-4014-9371-157700B5FF01}"/>
    <cellStyle name="Note 2 2 2 2 2 3 3" xfId="22201" xr:uid="{DE8187D9-21DE-4E81-BBDC-662FE91F3A00}"/>
    <cellStyle name="Note 2 2 2 2 2 4" xfId="9549" xr:uid="{5D77A54D-ECD6-4400-A350-F462CA5E1FAD}"/>
    <cellStyle name="Note 2 2 2 2 2 5" xfId="17984" xr:uid="{BAA978D2-0BDA-4437-967E-118746CFC88B}"/>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2682F61C-E9D6-4C28-9365-87FCE4EA57FA}"/>
    <cellStyle name="Note 2 2 2 2 3 2 2 3" xfId="24759" xr:uid="{8A127DD3-A9D4-43EF-9C9C-93DCEF3CFC41}"/>
    <cellStyle name="Note 2 2 2 2 3 2 3" xfId="12107" xr:uid="{2D064853-0EEE-4F50-B6CB-71B763BADF0C}"/>
    <cellStyle name="Note 2 2 2 2 3 2 4" xfId="20542" xr:uid="{1EB9F12F-641B-4C43-A27B-74766D23EB51}"/>
    <cellStyle name="Note 2 2 2 2 3 3" xfId="5730" xr:uid="{00000000-0005-0000-0000-00009F200000}"/>
    <cellStyle name="Note 2 2 2 2 3 3 2" xfId="14180" xr:uid="{01F5648E-6B43-46C7-BFFE-A03A6FFAA368}"/>
    <cellStyle name="Note 2 2 2 2 3 3 3" xfId="22614" xr:uid="{F565867C-F31A-4F41-9EC2-31767E66DA30}"/>
    <cellStyle name="Note 2 2 2 2 3 4" xfId="9962" xr:uid="{8F16CE8B-4D43-41D2-A6A1-E9D54AF6B0C0}"/>
    <cellStyle name="Note 2 2 2 2 3 5" xfId="18397" xr:uid="{05E213D4-6F67-4E87-9E2C-FB0B7D17AFAA}"/>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2CB4D04B-5B0A-4C08-815B-4C0C07E3E163}"/>
    <cellStyle name="Note 2 2 2 2 4 2 2 3" xfId="25172" xr:uid="{06B4112E-7A09-409F-923E-CFDA8BC99322}"/>
    <cellStyle name="Note 2 2 2 2 4 2 3" xfId="12520" xr:uid="{951595AC-AF7D-4D33-BF39-7C7BDB7A7A2C}"/>
    <cellStyle name="Note 2 2 2 2 4 2 4" xfId="20955" xr:uid="{DD5C15DB-0525-494D-BA65-D24027232079}"/>
    <cellStyle name="Note 2 2 2 2 4 3" xfId="6143" xr:uid="{00000000-0005-0000-0000-0000A3200000}"/>
    <cellStyle name="Note 2 2 2 2 4 3 2" xfId="14593" xr:uid="{2D73D1BF-A81F-4D1D-BAE0-969FBCC38889}"/>
    <cellStyle name="Note 2 2 2 2 4 3 3" xfId="23027" xr:uid="{94562EF7-08F6-4EBA-99AA-DBB4F71E405C}"/>
    <cellStyle name="Note 2 2 2 2 4 4" xfId="10375" xr:uid="{FF0054DD-0295-45B7-A8D5-B6AE86F98A3D}"/>
    <cellStyle name="Note 2 2 2 2 4 5" xfId="18810" xr:uid="{EA8F50F8-54A0-49BB-A31F-39831F8563C0}"/>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4B79F08F-09F3-41DD-8638-1232F78B5F81}"/>
    <cellStyle name="Note 2 2 2 2 5 2 2 3" xfId="25585" xr:uid="{0E2DA82D-853F-4576-B261-0C8BCC51B502}"/>
    <cellStyle name="Note 2 2 2 2 5 2 3" xfId="12933" xr:uid="{36075B12-A57A-4A25-859E-C18A8BE82DBD}"/>
    <cellStyle name="Note 2 2 2 2 5 2 4" xfId="21368" xr:uid="{6A698138-AF8C-4E24-8AD8-F472CEF71BA6}"/>
    <cellStyle name="Note 2 2 2 2 5 3" xfId="6556" xr:uid="{00000000-0005-0000-0000-0000A7200000}"/>
    <cellStyle name="Note 2 2 2 2 5 3 2" xfId="15006" xr:uid="{61546F67-EFA4-449C-95EE-FDB2F320FF82}"/>
    <cellStyle name="Note 2 2 2 2 5 3 3" xfId="23440" xr:uid="{907DF897-0C13-4CB6-B66C-48042224725A}"/>
    <cellStyle name="Note 2 2 2 2 5 4" xfId="10788" xr:uid="{23769369-CDCD-4E40-A208-36C0F194CB8E}"/>
    <cellStyle name="Note 2 2 2 2 5 5" xfId="19223" xr:uid="{CBCB48A1-40DE-40D6-9DA4-73EAB740240C}"/>
    <cellStyle name="Note 2 2 2 2 6" xfId="2686" xr:uid="{00000000-0005-0000-0000-0000A8200000}"/>
    <cellStyle name="Note 2 2 2 2 6 2" xfId="6969" xr:uid="{00000000-0005-0000-0000-0000A9200000}"/>
    <cellStyle name="Note 2 2 2 2 6 2 2" xfId="15419" xr:uid="{12BF7F7C-F05E-4223-B31C-C7403889FD3E}"/>
    <cellStyle name="Note 2 2 2 2 6 2 3" xfId="23853" xr:uid="{FF6CC619-2EA3-4B34-809F-8DC7F55B9692}"/>
    <cellStyle name="Note 2 2 2 2 6 3" xfId="11201" xr:uid="{3BA8C9CC-EC9D-40CE-AFBD-902DC7633FA5}"/>
    <cellStyle name="Note 2 2 2 2 6 4" xfId="19636" xr:uid="{4B9ACF15-F483-431A-AB22-BD01E5CEFEC8}"/>
    <cellStyle name="Note 2 2 2 2 7" xfId="2745" xr:uid="{00000000-0005-0000-0000-0000AA200000}"/>
    <cellStyle name="Note 2 2 2 2 8" xfId="2826" xr:uid="{00000000-0005-0000-0000-0000AB200000}"/>
    <cellStyle name="Note 2 2 2 2 8 2" xfId="7049" xr:uid="{00000000-0005-0000-0000-0000AC200000}"/>
    <cellStyle name="Note 2 2 2 2 8 2 2" xfId="15499" xr:uid="{79639763-4774-4048-AAD0-34CAEDD117C3}"/>
    <cellStyle name="Note 2 2 2 2 8 2 3" xfId="23933" xr:uid="{F53987A4-77E1-4D5E-8D7C-00532593743B}"/>
    <cellStyle name="Note 2 2 2 2 8 3" xfId="11281" xr:uid="{7D4F4CF0-1375-4B24-97FC-59DF425FA5F7}"/>
    <cellStyle name="Note 2 2 2 2 8 4" xfId="19716" xr:uid="{BFDCC94A-70F1-4731-ABC5-981002A05577}"/>
    <cellStyle name="Note 2 2 2 2 9" xfId="4904" xr:uid="{00000000-0005-0000-0000-0000AD200000}"/>
    <cellStyle name="Note 2 2 2 2 9 2" xfId="13354" xr:uid="{AC696B47-F5D3-4643-A8A0-08C9CF040075}"/>
    <cellStyle name="Note 2 2 2 2 9 3" xfId="21788" xr:uid="{378146AE-B809-4296-8EE8-E0CEFBBE3A23}"/>
    <cellStyle name="Note 2 2 2 3" xfId="1007" xr:uid="{00000000-0005-0000-0000-0000AE200000}"/>
    <cellStyle name="Note 2 2 2 3 2" xfId="3239" xr:uid="{00000000-0005-0000-0000-0000AF200000}"/>
    <cellStyle name="Note 2 2 2 3 2 2" xfId="7461" xr:uid="{00000000-0005-0000-0000-0000B0200000}"/>
    <cellStyle name="Note 2 2 2 3 2 2 2" xfId="15911" xr:uid="{B02BEF68-E8AB-4E72-A9C6-2FE315E1B9E6}"/>
    <cellStyle name="Note 2 2 2 3 2 2 3" xfId="24345" xr:uid="{DEED9FDF-3039-4A4E-99A0-8965168E1AB8}"/>
    <cellStyle name="Note 2 2 2 3 2 3" xfId="11693" xr:uid="{045E959F-18DA-446E-9B30-35E95496EA8A}"/>
    <cellStyle name="Note 2 2 2 3 2 4" xfId="20128" xr:uid="{746F7118-60CA-452F-B437-21D5C70EB53E}"/>
    <cellStyle name="Note 2 2 2 3 3" xfId="5316" xr:uid="{00000000-0005-0000-0000-0000B1200000}"/>
    <cellStyle name="Note 2 2 2 3 3 2" xfId="13766" xr:uid="{1D11B8BB-A2AE-4A9B-8E86-548D5F2FA04C}"/>
    <cellStyle name="Note 2 2 2 3 3 3" xfId="22200" xr:uid="{C56D8722-6431-4FB7-A564-8139BF3E723D}"/>
    <cellStyle name="Note 2 2 2 3 4" xfId="9548" xr:uid="{F6E0C1AA-F8A2-4CA7-8A7B-E6630486337D}"/>
    <cellStyle name="Note 2 2 2 3 5" xfId="17983" xr:uid="{49668927-26C0-4680-A272-B84CB59B8F5B}"/>
    <cellStyle name="Note 2 2 2 4" xfId="1422" xr:uid="{00000000-0005-0000-0000-0000B2200000}"/>
    <cellStyle name="Note 2 2 2 4 2" xfId="3652" xr:uid="{00000000-0005-0000-0000-0000B3200000}"/>
    <cellStyle name="Note 2 2 2 4 2 2" xfId="7874" xr:uid="{00000000-0005-0000-0000-0000B4200000}"/>
    <cellStyle name="Note 2 2 2 4 2 2 2" xfId="16324" xr:uid="{30F2D6C0-2F32-4436-82E8-0B1EE250E5A2}"/>
    <cellStyle name="Note 2 2 2 4 2 2 3" xfId="24758" xr:uid="{DE0E3DC7-4CC5-48EF-82A9-F8B9A77C7A9F}"/>
    <cellStyle name="Note 2 2 2 4 2 3" xfId="12106" xr:uid="{645799C8-9971-4D06-A75E-70B53F5EE3F2}"/>
    <cellStyle name="Note 2 2 2 4 2 4" xfId="20541" xr:uid="{78816E3E-D810-4DDE-BBA6-67FC9E472514}"/>
    <cellStyle name="Note 2 2 2 4 3" xfId="5729" xr:uid="{00000000-0005-0000-0000-0000B5200000}"/>
    <cellStyle name="Note 2 2 2 4 3 2" xfId="14179" xr:uid="{6E086744-F747-4B76-82C1-13A3795F282D}"/>
    <cellStyle name="Note 2 2 2 4 3 3" xfId="22613" xr:uid="{8F1E7A19-ADF7-4245-9312-C3B0C5897198}"/>
    <cellStyle name="Note 2 2 2 4 4" xfId="9961" xr:uid="{C1E6FFE8-40AA-400B-9A15-F012B8ABE71F}"/>
    <cellStyle name="Note 2 2 2 4 5" xfId="18396" xr:uid="{B42C26E7-78D7-4BDE-944E-CB07C4FB2808}"/>
    <cellStyle name="Note 2 2 2 5" xfId="1836" xr:uid="{00000000-0005-0000-0000-0000B6200000}"/>
    <cellStyle name="Note 2 2 2 5 2" xfId="4065" xr:uid="{00000000-0005-0000-0000-0000B7200000}"/>
    <cellStyle name="Note 2 2 2 5 2 2" xfId="8287" xr:uid="{00000000-0005-0000-0000-0000B8200000}"/>
    <cellStyle name="Note 2 2 2 5 2 2 2" xfId="16737" xr:uid="{98F483A9-A61B-4BA3-BB90-00B8B4F1F5E9}"/>
    <cellStyle name="Note 2 2 2 5 2 2 3" xfId="25171" xr:uid="{D91572F2-095B-40D0-966E-B235337B0895}"/>
    <cellStyle name="Note 2 2 2 5 2 3" xfId="12519" xr:uid="{C2F549B2-D053-4BC7-97C4-DFD1505F7628}"/>
    <cellStyle name="Note 2 2 2 5 2 4" xfId="20954" xr:uid="{54B61A45-7159-4182-9BC7-D678E5C2908A}"/>
    <cellStyle name="Note 2 2 2 5 3" xfId="6142" xr:uid="{00000000-0005-0000-0000-0000B9200000}"/>
    <cellStyle name="Note 2 2 2 5 3 2" xfId="14592" xr:uid="{9D9466FD-7FFC-41B9-8FDC-13EB27C47C1E}"/>
    <cellStyle name="Note 2 2 2 5 3 3" xfId="23026" xr:uid="{D5C2C33F-39B3-460F-8046-C2A90B1620C8}"/>
    <cellStyle name="Note 2 2 2 5 4" xfId="10374" xr:uid="{BFCD9EA4-D278-4B9C-827D-7322D6165F41}"/>
    <cellStyle name="Note 2 2 2 5 5" xfId="18809" xr:uid="{B9A204EE-B657-4DAF-9449-C7ACB3A29CB6}"/>
    <cellStyle name="Note 2 2 2 6" xfId="2249" xr:uid="{00000000-0005-0000-0000-0000BA200000}"/>
    <cellStyle name="Note 2 2 2 6 2" xfId="4478" xr:uid="{00000000-0005-0000-0000-0000BB200000}"/>
    <cellStyle name="Note 2 2 2 6 2 2" xfId="8700" xr:uid="{00000000-0005-0000-0000-0000BC200000}"/>
    <cellStyle name="Note 2 2 2 6 2 2 2" xfId="17150" xr:uid="{63EF53E5-8F3C-4697-942D-F8B453C5AB14}"/>
    <cellStyle name="Note 2 2 2 6 2 2 3" xfId="25584" xr:uid="{C6EC065B-EB9D-4597-ACC8-867905FF2569}"/>
    <cellStyle name="Note 2 2 2 6 2 3" xfId="12932" xr:uid="{5BAC8A6E-3641-4FF4-B140-2DA4766A9FC0}"/>
    <cellStyle name="Note 2 2 2 6 2 4" xfId="21367" xr:uid="{302F4E2E-9DFF-4B38-9ED0-A479FD59E296}"/>
    <cellStyle name="Note 2 2 2 6 3" xfId="6555" xr:uid="{00000000-0005-0000-0000-0000BD200000}"/>
    <cellStyle name="Note 2 2 2 6 3 2" xfId="15005" xr:uid="{03044AC0-8435-4FD3-ABE1-F265AD114B9F}"/>
    <cellStyle name="Note 2 2 2 6 3 3" xfId="23439" xr:uid="{197B6FE9-9904-4B81-A5A4-C25ED437E07E}"/>
    <cellStyle name="Note 2 2 2 6 4" xfId="10787" xr:uid="{14DC10F3-EFAE-4243-9A7B-096E70DF357D}"/>
    <cellStyle name="Note 2 2 2 6 5" xfId="19222" xr:uid="{384517C9-C387-4CD6-B75E-422645EBF973}"/>
    <cellStyle name="Note 2 2 2 7" xfId="2685" xr:uid="{00000000-0005-0000-0000-0000BE200000}"/>
    <cellStyle name="Note 2 2 2 7 2" xfId="6968" xr:uid="{00000000-0005-0000-0000-0000BF200000}"/>
    <cellStyle name="Note 2 2 2 7 2 2" xfId="15418" xr:uid="{6EE4C447-CAB5-44E2-B89C-F34F736BF308}"/>
    <cellStyle name="Note 2 2 2 7 2 3" xfId="23852" xr:uid="{8D11F611-C743-4DA6-8D27-8890C7C3799E}"/>
    <cellStyle name="Note 2 2 2 7 3" xfId="11200" xr:uid="{327CFBD1-1C52-4E05-B1D2-2B35B7628C3F}"/>
    <cellStyle name="Note 2 2 2 7 4" xfId="19635" xr:uid="{7D43D0F4-47F3-4EA2-ABBD-E2DBCC224440}"/>
    <cellStyle name="Note 2 2 2 8" xfId="2744" xr:uid="{00000000-0005-0000-0000-0000C0200000}"/>
    <cellStyle name="Note 2 2 2 9" xfId="2825" xr:uid="{00000000-0005-0000-0000-0000C1200000}"/>
    <cellStyle name="Note 2 2 2 9 2" xfId="7048" xr:uid="{00000000-0005-0000-0000-0000C2200000}"/>
    <cellStyle name="Note 2 2 2 9 2 2" xfId="15498" xr:uid="{1BFFFA56-E323-41B5-88EE-0421B55233D2}"/>
    <cellStyle name="Note 2 2 2 9 2 3" xfId="23932" xr:uid="{60720018-815A-4C6D-8EE4-8C8C17218738}"/>
    <cellStyle name="Note 2 2 2 9 3" xfId="11280" xr:uid="{1FC3E5F1-2F6F-45F5-9EFB-ED770B588DFD}"/>
    <cellStyle name="Note 2 2 2 9 4" xfId="19715" xr:uid="{9CCC1226-A9B3-4F2C-94E2-7AD0FA78EA13}"/>
    <cellStyle name="Note 2 2 3" xfId="548" xr:uid="{00000000-0005-0000-0000-0000C3200000}"/>
    <cellStyle name="Note 2 2 3 10" xfId="9137" xr:uid="{6DA716F2-245B-4EFD-9795-47492E0BAF4E}"/>
    <cellStyle name="Note 2 2 3 11" xfId="17572" xr:uid="{644FC5B8-A077-4CF2-91FC-50E49E6DA7C2}"/>
    <cellStyle name="Note 2 2 3 2" xfId="1009" xr:uid="{00000000-0005-0000-0000-0000C4200000}"/>
    <cellStyle name="Note 2 2 3 2 2" xfId="3241" xr:uid="{00000000-0005-0000-0000-0000C5200000}"/>
    <cellStyle name="Note 2 2 3 2 2 2" xfId="7463" xr:uid="{00000000-0005-0000-0000-0000C6200000}"/>
    <cellStyle name="Note 2 2 3 2 2 2 2" xfId="15913" xr:uid="{E9F1A5F5-7D96-4AC1-8748-E39018D7DED1}"/>
    <cellStyle name="Note 2 2 3 2 2 2 3" xfId="24347" xr:uid="{B26103D8-DE7E-4EB2-9798-5BC0DEAAB75B}"/>
    <cellStyle name="Note 2 2 3 2 2 3" xfId="11695" xr:uid="{E19FEE4A-1F24-4F71-9795-A023BD331488}"/>
    <cellStyle name="Note 2 2 3 2 2 4" xfId="20130" xr:uid="{A0A8E9ED-06DA-493F-8ADD-58A36618768F}"/>
    <cellStyle name="Note 2 2 3 2 3" xfId="5318" xr:uid="{00000000-0005-0000-0000-0000C7200000}"/>
    <cellStyle name="Note 2 2 3 2 3 2" xfId="13768" xr:uid="{0924EDF3-73BF-41E2-ABA9-1DF039304D6A}"/>
    <cellStyle name="Note 2 2 3 2 3 3" xfId="22202" xr:uid="{D00ECDDB-99F8-4890-A2CA-FCA33651D379}"/>
    <cellStyle name="Note 2 2 3 2 4" xfId="9550" xr:uid="{C0827CBC-069C-4A39-BBCD-3D05F057019E}"/>
    <cellStyle name="Note 2 2 3 2 5" xfId="17985" xr:uid="{016E0D3D-FC4C-488A-9950-2F966C036FF3}"/>
    <cellStyle name="Note 2 2 3 3" xfId="1424" xr:uid="{00000000-0005-0000-0000-0000C8200000}"/>
    <cellStyle name="Note 2 2 3 3 2" xfId="3654" xr:uid="{00000000-0005-0000-0000-0000C9200000}"/>
    <cellStyle name="Note 2 2 3 3 2 2" xfId="7876" xr:uid="{00000000-0005-0000-0000-0000CA200000}"/>
    <cellStyle name="Note 2 2 3 3 2 2 2" xfId="16326" xr:uid="{2F93A372-D128-493A-8823-A1DEE80664FE}"/>
    <cellStyle name="Note 2 2 3 3 2 2 3" xfId="24760" xr:uid="{4F1EEB2C-1CA4-4422-84DD-7DE54096EF4D}"/>
    <cellStyle name="Note 2 2 3 3 2 3" xfId="12108" xr:uid="{5BD9507E-5F20-421F-9C66-8CA1FDFEF59D}"/>
    <cellStyle name="Note 2 2 3 3 2 4" xfId="20543" xr:uid="{BFD0AD78-6D34-4A2C-AEF9-742D33DA55ED}"/>
    <cellStyle name="Note 2 2 3 3 3" xfId="5731" xr:uid="{00000000-0005-0000-0000-0000CB200000}"/>
    <cellStyle name="Note 2 2 3 3 3 2" xfId="14181" xr:uid="{0A837C8B-79E3-4C41-9FF3-6383F8DF47E7}"/>
    <cellStyle name="Note 2 2 3 3 3 3" xfId="22615" xr:uid="{314D4DE5-2E80-47C1-93DA-A12D3227977F}"/>
    <cellStyle name="Note 2 2 3 3 4" xfId="9963" xr:uid="{A5D75BF2-2120-45F1-9E86-7A5D9AE1D50D}"/>
    <cellStyle name="Note 2 2 3 3 5" xfId="18398" xr:uid="{32B10ABA-022E-4350-8346-D291DA2DD8D2}"/>
    <cellStyle name="Note 2 2 3 4" xfId="1838" xr:uid="{00000000-0005-0000-0000-0000CC200000}"/>
    <cellStyle name="Note 2 2 3 4 2" xfId="4067" xr:uid="{00000000-0005-0000-0000-0000CD200000}"/>
    <cellStyle name="Note 2 2 3 4 2 2" xfId="8289" xr:uid="{00000000-0005-0000-0000-0000CE200000}"/>
    <cellStyle name="Note 2 2 3 4 2 2 2" xfId="16739" xr:uid="{A6FBB9FE-F837-43F8-B6FD-0B2467B159AD}"/>
    <cellStyle name="Note 2 2 3 4 2 2 3" xfId="25173" xr:uid="{B75DEF59-DA05-4422-9879-8F15952B4B98}"/>
    <cellStyle name="Note 2 2 3 4 2 3" xfId="12521" xr:uid="{F58991D1-D988-4698-9DDF-FA78CE8A289E}"/>
    <cellStyle name="Note 2 2 3 4 2 4" xfId="20956" xr:uid="{137597C3-735D-47B4-ADE7-12B6DE2DD3A7}"/>
    <cellStyle name="Note 2 2 3 4 3" xfId="6144" xr:uid="{00000000-0005-0000-0000-0000CF200000}"/>
    <cellStyle name="Note 2 2 3 4 3 2" xfId="14594" xr:uid="{7F1FF839-4CD1-4D88-B700-AFD00F55CC9A}"/>
    <cellStyle name="Note 2 2 3 4 3 3" xfId="23028" xr:uid="{FDF42CD1-2473-4D55-A01C-F9655936C4CE}"/>
    <cellStyle name="Note 2 2 3 4 4" xfId="10376" xr:uid="{81644E00-55F9-4654-B9BB-9986E4424CF3}"/>
    <cellStyle name="Note 2 2 3 4 5" xfId="18811" xr:uid="{258A6A78-2BC4-45D5-805C-19A0BB23B920}"/>
    <cellStyle name="Note 2 2 3 5" xfId="2251" xr:uid="{00000000-0005-0000-0000-0000D0200000}"/>
    <cellStyle name="Note 2 2 3 5 2" xfId="4480" xr:uid="{00000000-0005-0000-0000-0000D1200000}"/>
    <cellStyle name="Note 2 2 3 5 2 2" xfId="8702" xr:uid="{00000000-0005-0000-0000-0000D2200000}"/>
    <cellStyle name="Note 2 2 3 5 2 2 2" xfId="17152" xr:uid="{010A1DF8-A481-480D-93EA-8BF09003E441}"/>
    <cellStyle name="Note 2 2 3 5 2 2 3" xfId="25586" xr:uid="{BF71F34E-F24A-4274-BE62-3BA9EE853CA0}"/>
    <cellStyle name="Note 2 2 3 5 2 3" xfId="12934" xr:uid="{F3E113C8-5675-448E-B2BE-52A236583AB8}"/>
    <cellStyle name="Note 2 2 3 5 2 4" xfId="21369" xr:uid="{29BA37F5-B913-4821-8F41-E2CF6C395662}"/>
    <cellStyle name="Note 2 2 3 5 3" xfId="6557" xr:uid="{00000000-0005-0000-0000-0000D3200000}"/>
    <cellStyle name="Note 2 2 3 5 3 2" xfId="15007" xr:uid="{98058070-C548-4297-ADD4-BEF9267968B3}"/>
    <cellStyle name="Note 2 2 3 5 3 3" xfId="23441" xr:uid="{0BB5C1C0-0ECA-4B36-82AA-265F07E81554}"/>
    <cellStyle name="Note 2 2 3 5 4" xfId="10789" xr:uid="{06FA1762-99C0-4E5D-B9CD-BE06A19F4EF3}"/>
    <cellStyle name="Note 2 2 3 5 5" xfId="19224" xr:uid="{D300E116-AB71-497C-84DB-49659EA7F3A0}"/>
    <cellStyle name="Note 2 2 3 6" xfId="2687" xr:uid="{00000000-0005-0000-0000-0000D4200000}"/>
    <cellStyle name="Note 2 2 3 6 2" xfId="6970" xr:uid="{00000000-0005-0000-0000-0000D5200000}"/>
    <cellStyle name="Note 2 2 3 6 2 2" xfId="15420" xr:uid="{BF9711EB-A47E-4953-BA20-9748AD3E0CA7}"/>
    <cellStyle name="Note 2 2 3 6 2 3" xfId="23854" xr:uid="{85B4E5BF-0D1B-4B87-9DF3-E07E0AE46ADC}"/>
    <cellStyle name="Note 2 2 3 6 3" xfId="11202" xr:uid="{3327DF14-E5F7-4941-B42F-730977B68D80}"/>
    <cellStyle name="Note 2 2 3 6 4" xfId="19637" xr:uid="{36EAFED6-CDC0-4C2D-B2DA-E4E99C542403}"/>
    <cellStyle name="Note 2 2 3 7" xfId="2746" xr:uid="{00000000-0005-0000-0000-0000D6200000}"/>
    <cellStyle name="Note 2 2 3 8" xfId="2827" xr:uid="{00000000-0005-0000-0000-0000D7200000}"/>
    <cellStyle name="Note 2 2 3 8 2" xfId="7050" xr:uid="{00000000-0005-0000-0000-0000D8200000}"/>
    <cellStyle name="Note 2 2 3 8 2 2" xfId="15500" xr:uid="{A4DDC43C-98F9-486E-80CE-B1ABCA17B936}"/>
    <cellStyle name="Note 2 2 3 8 2 3" xfId="23934" xr:uid="{3BA13185-D882-4693-B3B7-95F1210621B0}"/>
    <cellStyle name="Note 2 2 3 8 3" xfId="11282" xr:uid="{0C11522F-F128-42CD-A2AA-8E91C42C93E5}"/>
    <cellStyle name="Note 2 2 3 8 4" xfId="19717" xr:uid="{6EF43A4A-8011-48C1-9465-D0F9DFFB07D6}"/>
    <cellStyle name="Note 2 2 3 9" xfId="4905" xr:uid="{00000000-0005-0000-0000-0000D9200000}"/>
    <cellStyle name="Note 2 2 3 9 2" xfId="13355" xr:uid="{43237B1D-5D6A-4F18-BB98-1209389E76AB}"/>
    <cellStyle name="Note 2 2 3 9 3" xfId="21789" xr:uid="{187211F9-FAEB-4C71-A3E5-BC232472B307}"/>
    <cellStyle name="Note 2 2 4" xfId="1006" xr:uid="{00000000-0005-0000-0000-0000DA200000}"/>
    <cellStyle name="Note 2 2 4 2" xfId="3238" xr:uid="{00000000-0005-0000-0000-0000DB200000}"/>
    <cellStyle name="Note 2 2 4 2 2" xfId="7460" xr:uid="{00000000-0005-0000-0000-0000DC200000}"/>
    <cellStyle name="Note 2 2 4 2 2 2" xfId="15910" xr:uid="{B4175C93-F26B-446B-8E50-E4AC90F1C1E2}"/>
    <cellStyle name="Note 2 2 4 2 2 3" xfId="24344" xr:uid="{4018FE11-B16E-472D-A601-841EFE97CFDD}"/>
    <cellStyle name="Note 2 2 4 2 3" xfId="11692" xr:uid="{58F6BCE0-35E4-43DC-B2A1-AD7F68F11E6E}"/>
    <cellStyle name="Note 2 2 4 2 4" xfId="20127" xr:uid="{C102F200-1437-4BA5-8D4C-764387F536DC}"/>
    <cellStyle name="Note 2 2 4 3" xfId="5315" xr:uid="{00000000-0005-0000-0000-0000DD200000}"/>
    <cellStyle name="Note 2 2 4 3 2" xfId="13765" xr:uid="{1624A015-612C-4504-8CBB-96384021508B}"/>
    <cellStyle name="Note 2 2 4 3 3" xfId="22199" xr:uid="{3B2AC668-E360-4B25-A5A7-3CD9A03FEAB3}"/>
    <cellStyle name="Note 2 2 4 4" xfId="9547" xr:uid="{5A13B6C2-1981-4EB0-A28F-6EEA1417C2CF}"/>
    <cellStyle name="Note 2 2 4 5" xfId="17982" xr:uid="{6A4EECEF-AD2C-4F8A-B36B-F270EF4EECA8}"/>
    <cellStyle name="Note 2 2 5" xfId="1421" xr:uid="{00000000-0005-0000-0000-0000DE200000}"/>
    <cellStyle name="Note 2 2 5 2" xfId="3651" xr:uid="{00000000-0005-0000-0000-0000DF200000}"/>
    <cellStyle name="Note 2 2 5 2 2" xfId="7873" xr:uid="{00000000-0005-0000-0000-0000E0200000}"/>
    <cellStyle name="Note 2 2 5 2 2 2" xfId="16323" xr:uid="{939385A6-1123-46AD-9697-6F1E729730B8}"/>
    <cellStyle name="Note 2 2 5 2 2 3" xfId="24757" xr:uid="{1E68C913-A546-4CE2-92C8-BE2E649D6335}"/>
    <cellStyle name="Note 2 2 5 2 3" xfId="12105" xr:uid="{F7E72F47-FA66-4985-A6BB-F3F1DCA2F313}"/>
    <cellStyle name="Note 2 2 5 2 4" xfId="20540" xr:uid="{A1E2395E-950F-400F-9E80-72F50D5C936F}"/>
    <cellStyle name="Note 2 2 5 3" xfId="5728" xr:uid="{00000000-0005-0000-0000-0000E1200000}"/>
    <cellStyle name="Note 2 2 5 3 2" xfId="14178" xr:uid="{F2AA1936-6D32-4BF3-8257-3D93CE79F7AB}"/>
    <cellStyle name="Note 2 2 5 3 3" xfId="22612" xr:uid="{4BE64A48-05B4-4C98-9BFC-C88D97AE90D5}"/>
    <cellStyle name="Note 2 2 5 4" xfId="9960" xr:uid="{A10E460C-27AA-4524-AD3B-8D6538D3D790}"/>
    <cellStyle name="Note 2 2 5 5" xfId="18395" xr:uid="{CC86F861-ABBD-449A-8CCD-9C0CC70168C3}"/>
    <cellStyle name="Note 2 2 6" xfId="1835" xr:uid="{00000000-0005-0000-0000-0000E2200000}"/>
    <cellStyle name="Note 2 2 6 2" xfId="4064" xr:uid="{00000000-0005-0000-0000-0000E3200000}"/>
    <cellStyle name="Note 2 2 6 2 2" xfId="8286" xr:uid="{00000000-0005-0000-0000-0000E4200000}"/>
    <cellStyle name="Note 2 2 6 2 2 2" xfId="16736" xr:uid="{4221BB72-5738-4F49-96C7-C47C42BAC892}"/>
    <cellStyle name="Note 2 2 6 2 2 3" xfId="25170" xr:uid="{8B496D1C-F9FF-4F9E-B213-9D83BAD0FE7C}"/>
    <cellStyle name="Note 2 2 6 2 3" xfId="12518" xr:uid="{C476AA9C-970E-4537-BBA5-36676B9E484F}"/>
    <cellStyle name="Note 2 2 6 2 4" xfId="20953" xr:uid="{7B1D7BE0-E6D3-4661-8AD5-C7BFCEABBCC1}"/>
    <cellStyle name="Note 2 2 6 3" xfId="6141" xr:uid="{00000000-0005-0000-0000-0000E5200000}"/>
    <cellStyle name="Note 2 2 6 3 2" xfId="14591" xr:uid="{F85C78D3-3B2B-4B4A-A72F-C097B2F4F063}"/>
    <cellStyle name="Note 2 2 6 3 3" xfId="23025" xr:uid="{291689E9-AD27-4982-A2CF-1D7C9D9FE94B}"/>
    <cellStyle name="Note 2 2 6 4" xfId="10373" xr:uid="{3BFE34AD-BF2D-4354-A43D-70234425DF55}"/>
    <cellStyle name="Note 2 2 6 5" xfId="18808" xr:uid="{FBADCC9D-47D9-4C01-8CC5-DF668EF2E67D}"/>
    <cellStyle name="Note 2 2 7" xfId="2248" xr:uid="{00000000-0005-0000-0000-0000E6200000}"/>
    <cellStyle name="Note 2 2 7 2" xfId="4477" xr:uid="{00000000-0005-0000-0000-0000E7200000}"/>
    <cellStyle name="Note 2 2 7 2 2" xfId="8699" xr:uid="{00000000-0005-0000-0000-0000E8200000}"/>
    <cellStyle name="Note 2 2 7 2 2 2" xfId="17149" xr:uid="{4F5619EE-9625-473C-92CF-EAB3B82244AD}"/>
    <cellStyle name="Note 2 2 7 2 2 3" xfId="25583" xr:uid="{EA3F2A35-7917-4411-A6FD-828051638E41}"/>
    <cellStyle name="Note 2 2 7 2 3" xfId="12931" xr:uid="{F5C6D7F7-71DF-4DC9-97FD-EA67A3199102}"/>
    <cellStyle name="Note 2 2 7 2 4" xfId="21366" xr:uid="{49DCDCA6-5897-49CB-830C-27E3AC81613D}"/>
    <cellStyle name="Note 2 2 7 3" xfId="6554" xr:uid="{00000000-0005-0000-0000-0000E9200000}"/>
    <cellStyle name="Note 2 2 7 3 2" xfId="15004" xr:uid="{33AD2700-AF59-4A57-B4D2-24126FEA9E8E}"/>
    <cellStyle name="Note 2 2 7 3 3" xfId="23438" xr:uid="{ECE0921E-2AC4-493D-9AF2-6EEF7E2D672B}"/>
    <cellStyle name="Note 2 2 7 4" xfId="10786" xr:uid="{42DAB214-F831-4328-853C-E85F4CCFF918}"/>
    <cellStyle name="Note 2 2 7 5" xfId="19221" xr:uid="{2D14CDB9-CF87-427B-B286-9AC4D2EF2946}"/>
    <cellStyle name="Note 2 2 8" xfId="2684" xr:uid="{00000000-0005-0000-0000-0000EA200000}"/>
    <cellStyle name="Note 2 2 8 2" xfId="6967" xr:uid="{00000000-0005-0000-0000-0000EB200000}"/>
    <cellStyle name="Note 2 2 8 2 2" xfId="15417" xr:uid="{45EE4649-6691-4A36-8CA8-954BA53C744B}"/>
    <cellStyle name="Note 2 2 8 2 3" xfId="23851" xr:uid="{983FD6B9-1DBD-406C-9777-771D6370A1CC}"/>
    <cellStyle name="Note 2 2 8 3" xfId="11199" xr:uid="{3640577B-D9E5-4D67-9351-E158FCBCCD9D}"/>
    <cellStyle name="Note 2 2 8 4" xfId="19634" xr:uid="{A9514BDB-201F-4009-852C-E3906ABFA4DB}"/>
    <cellStyle name="Note 2 2 9" xfId="2743" xr:uid="{00000000-0005-0000-0000-0000EC200000}"/>
    <cellStyle name="Note 2 3" xfId="549" xr:uid="{00000000-0005-0000-0000-0000ED200000}"/>
    <cellStyle name="Note 2 3 10" xfId="4906" xr:uid="{00000000-0005-0000-0000-0000EE200000}"/>
    <cellStyle name="Note 2 3 10 2" xfId="13356" xr:uid="{1D2197E3-9A95-4669-8B6D-73AABBA83B7C}"/>
    <cellStyle name="Note 2 3 10 3" xfId="21790" xr:uid="{E93AC2CE-A7E3-41C6-8B97-191B087A2A18}"/>
    <cellStyle name="Note 2 3 11" xfId="9138" xr:uid="{67EA664B-5E8B-4667-80CE-BE1A6D0D2769}"/>
    <cellStyle name="Note 2 3 12" xfId="17573" xr:uid="{13C93D8C-D691-4226-AA08-AF6F66FCC3FA}"/>
    <cellStyle name="Note 2 3 2" xfId="550" xr:uid="{00000000-0005-0000-0000-0000EF200000}"/>
    <cellStyle name="Note 2 3 2 10" xfId="9139" xr:uid="{BEAD3877-27B7-4168-A617-CC9F4A586AA9}"/>
    <cellStyle name="Note 2 3 2 11" xfId="17574" xr:uid="{0EFB3ADC-B145-45D2-BA91-E17E122E33C9}"/>
    <cellStyle name="Note 2 3 2 2" xfId="1011" xr:uid="{00000000-0005-0000-0000-0000F0200000}"/>
    <cellStyle name="Note 2 3 2 2 2" xfId="3243" xr:uid="{00000000-0005-0000-0000-0000F1200000}"/>
    <cellStyle name="Note 2 3 2 2 2 2" xfId="7465" xr:uid="{00000000-0005-0000-0000-0000F2200000}"/>
    <cellStyle name="Note 2 3 2 2 2 2 2" xfId="15915" xr:uid="{3A83D1C9-FD7A-402D-A6C0-0F19F11DB036}"/>
    <cellStyle name="Note 2 3 2 2 2 2 3" xfId="24349" xr:uid="{6ACA5B36-AB82-4112-B318-8F69693B09F5}"/>
    <cellStyle name="Note 2 3 2 2 2 3" xfId="11697" xr:uid="{332F5D21-BFF4-4EE3-8CFF-0E286F423A8F}"/>
    <cellStyle name="Note 2 3 2 2 2 4" xfId="20132" xr:uid="{4DE2EA46-A09C-49E0-B17D-44F87CF4DA8D}"/>
    <cellStyle name="Note 2 3 2 2 3" xfId="5320" xr:uid="{00000000-0005-0000-0000-0000F3200000}"/>
    <cellStyle name="Note 2 3 2 2 3 2" xfId="13770" xr:uid="{1E120B21-8673-411F-8E0F-5FCC7C721986}"/>
    <cellStyle name="Note 2 3 2 2 3 3" xfId="22204" xr:uid="{ADE77109-D6AB-43AF-9B41-3096C8B60A92}"/>
    <cellStyle name="Note 2 3 2 2 4" xfId="9552" xr:uid="{8124F756-2B5A-46CF-B9D4-688124889909}"/>
    <cellStyle name="Note 2 3 2 2 5" xfId="17987" xr:uid="{8150B9C2-1427-4A0E-8A07-4E2F46FF468E}"/>
    <cellStyle name="Note 2 3 2 3" xfId="1426" xr:uid="{00000000-0005-0000-0000-0000F4200000}"/>
    <cellStyle name="Note 2 3 2 3 2" xfId="3656" xr:uid="{00000000-0005-0000-0000-0000F5200000}"/>
    <cellStyle name="Note 2 3 2 3 2 2" xfId="7878" xr:uid="{00000000-0005-0000-0000-0000F6200000}"/>
    <cellStyle name="Note 2 3 2 3 2 2 2" xfId="16328" xr:uid="{599AEF47-3317-4502-BE88-87165E78D393}"/>
    <cellStyle name="Note 2 3 2 3 2 2 3" xfId="24762" xr:uid="{F47743E9-2E1F-460D-8C7B-0DECB18214CF}"/>
    <cellStyle name="Note 2 3 2 3 2 3" xfId="12110" xr:uid="{4223703D-E4FB-40C9-A27D-3042877B8314}"/>
    <cellStyle name="Note 2 3 2 3 2 4" xfId="20545" xr:uid="{3DF007C2-6B51-4716-87DD-269A5639664D}"/>
    <cellStyle name="Note 2 3 2 3 3" xfId="5733" xr:uid="{00000000-0005-0000-0000-0000F7200000}"/>
    <cellStyle name="Note 2 3 2 3 3 2" xfId="14183" xr:uid="{94EF1EDA-19B5-4132-A2EF-09E3070C62D3}"/>
    <cellStyle name="Note 2 3 2 3 3 3" xfId="22617" xr:uid="{ACF7B843-50F2-449A-B1A0-E5298DFEC2E1}"/>
    <cellStyle name="Note 2 3 2 3 4" xfId="9965" xr:uid="{44077C34-FF6F-4923-BEBD-C833B5CB4BAA}"/>
    <cellStyle name="Note 2 3 2 3 5" xfId="18400" xr:uid="{50A314C3-8114-47FE-87AB-41CAB2C31A8C}"/>
    <cellStyle name="Note 2 3 2 4" xfId="1840" xr:uid="{00000000-0005-0000-0000-0000F8200000}"/>
    <cellStyle name="Note 2 3 2 4 2" xfId="4069" xr:uid="{00000000-0005-0000-0000-0000F9200000}"/>
    <cellStyle name="Note 2 3 2 4 2 2" xfId="8291" xr:uid="{00000000-0005-0000-0000-0000FA200000}"/>
    <cellStyle name="Note 2 3 2 4 2 2 2" xfId="16741" xr:uid="{48CA3A06-D6B7-41C5-B541-08FD40F24C08}"/>
    <cellStyle name="Note 2 3 2 4 2 2 3" xfId="25175" xr:uid="{EF015616-1237-439E-B41D-D00E1AAE1462}"/>
    <cellStyle name="Note 2 3 2 4 2 3" xfId="12523" xr:uid="{655DE859-4B08-4CC0-B0C9-2488009BA1F4}"/>
    <cellStyle name="Note 2 3 2 4 2 4" xfId="20958" xr:uid="{482B2D9E-C6DD-4661-825B-A323BA2A5CB8}"/>
    <cellStyle name="Note 2 3 2 4 3" xfId="6146" xr:uid="{00000000-0005-0000-0000-0000FB200000}"/>
    <cellStyle name="Note 2 3 2 4 3 2" xfId="14596" xr:uid="{2950EF45-D8BA-411E-A8E9-6CD512155AC6}"/>
    <cellStyle name="Note 2 3 2 4 3 3" xfId="23030" xr:uid="{1B0D35B3-3EB2-4DAE-80F6-DA4E16C7E622}"/>
    <cellStyle name="Note 2 3 2 4 4" xfId="10378" xr:uid="{55E87114-3C29-4C43-AFEF-1A40776AC5C3}"/>
    <cellStyle name="Note 2 3 2 4 5" xfId="18813" xr:uid="{6DBDBF4B-B959-4617-8EC3-DA87999568BD}"/>
    <cellStyle name="Note 2 3 2 5" xfId="2253" xr:uid="{00000000-0005-0000-0000-0000FC200000}"/>
    <cellStyle name="Note 2 3 2 5 2" xfId="4482" xr:uid="{00000000-0005-0000-0000-0000FD200000}"/>
    <cellStyle name="Note 2 3 2 5 2 2" xfId="8704" xr:uid="{00000000-0005-0000-0000-0000FE200000}"/>
    <cellStyle name="Note 2 3 2 5 2 2 2" xfId="17154" xr:uid="{78224135-5BC4-4611-A4A6-50FAB3F9D6F6}"/>
    <cellStyle name="Note 2 3 2 5 2 2 3" xfId="25588" xr:uid="{287FA093-B603-41EC-8D34-555EEB22BB77}"/>
    <cellStyle name="Note 2 3 2 5 2 3" xfId="12936" xr:uid="{86D27847-0DCF-4C91-A664-FFBDA1080495}"/>
    <cellStyle name="Note 2 3 2 5 2 4" xfId="21371" xr:uid="{962CB488-C612-4814-9CCF-2CD7495954FC}"/>
    <cellStyle name="Note 2 3 2 5 3" xfId="6559" xr:uid="{00000000-0005-0000-0000-0000FF200000}"/>
    <cellStyle name="Note 2 3 2 5 3 2" xfId="15009" xr:uid="{7A551240-A906-4348-A957-9C29EED7DD8B}"/>
    <cellStyle name="Note 2 3 2 5 3 3" xfId="23443" xr:uid="{06E839D1-45CD-40D3-9A9E-03943DC2358C}"/>
    <cellStyle name="Note 2 3 2 5 4" xfId="10791" xr:uid="{98625179-7698-4B73-9A44-C9B589669C04}"/>
    <cellStyle name="Note 2 3 2 5 5" xfId="19226" xr:uid="{6D502FE4-414D-46C0-B928-8A257FF59F1C}"/>
    <cellStyle name="Note 2 3 2 6" xfId="2689" xr:uid="{00000000-0005-0000-0000-000000210000}"/>
    <cellStyle name="Note 2 3 2 6 2" xfId="6972" xr:uid="{00000000-0005-0000-0000-000001210000}"/>
    <cellStyle name="Note 2 3 2 6 2 2" xfId="15422" xr:uid="{5E838265-0792-4885-98B5-AE18FF747D19}"/>
    <cellStyle name="Note 2 3 2 6 2 3" xfId="23856" xr:uid="{165D9E77-F431-4A66-B209-D2545E6406BB}"/>
    <cellStyle name="Note 2 3 2 6 3" xfId="11204" xr:uid="{2A48A535-6D2E-4171-A25A-92EABC3FC2B5}"/>
    <cellStyle name="Note 2 3 2 6 4" xfId="19639" xr:uid="{408CC136-7E92-44F7-B2D8-B0AE98E6E8FD}"/>
    <cellStyle name="Note 2 3 2 7" xfId="2748" xr:uid="{00000000-0005-0000-0000-000002210000}"/>
    <cellStyle name="Note 2 3 2 8" xfId="2829" xr:uid="{00000000-0005-0000-0000-000003210000}"/>
    <cellStyle name="Note 2 3 2 8 2" xfId="7052" xr:uid="{00000000-0005-0000-0000-000004210000}"/>
    <cellStyle name="Note 2 3 2 8 2 2" xfId="15502" xr:uid="{07342AFE-AABC-4BF7-A965-F4AE07849C05}"/>
    <cellStyle name="Note 2 3 2 8 2 3" xfId="23936" xr:uid="{4388F0D3-A586-4420-822A-872B6BB86FA6}"/>
    <cellStyle name="Note 2 3 2 8 3" xfId="11284" xr:uid="{1CFD23F5-9AD6-42F4-8692-3E79F486EEF7}"/>
    <cellStyle name="Note 2 3 2 8 4" xfId="19719" xr:uid="{76F8556B-C184-40D5-9441-F564531C82C9}"/>
    <cellStyle name="Note 2 3 2 9" xfId="4907" xr:uid="{00000000-0005-0000-0000-000005210000}"/>
    <cellStyle name="Note 2 3 2 9 2" xfId="13357" xr:uid="{1E7F6EC2-1C8D-4AFC-84A5-306718B21538}"/>
    <cellStyle name="Note 2 3 2 9 3" xfId="21791" xr:uid="{93445D51-BBDE-4FA4-AF49-21AECEBD7532}"/>
    <cellStyle name="Note 2 3 3" xfId="1010" xr:uid="{00000000-0005-0000-0000-000006210000}"/>
    <cellStyle name="Note 2 3 3 2" xfId="3242" xr:uid="{00000000-0005-0000-0000-000007210000}"/>
    <cellStyle name="Note 2 3 3 2 2" xfId="7464" xr:uid="{00000000-0005-0000-0000-000008210000}"/>
    <cellStyle name="Note 2 3 3 2 2 2" xfId="15914" xr:uid="{5C3260F3-50DC-4C07-9494-BCF0F63CE7B4}"/>
    <cellStyle name="Note 2 3 3 2 2 3" xfId="24348" xr:uid="{228E104C-6818-409D-8AD7-4FFDB73C12B2}"/>
    <cellStyle name="Note 2 3 3 2 3" xfId="11696" xr:uid="{31340140-12D1-4215-8841-5E34C4C7A446}"/>
    <cellStyle name="Note 2 3 3 2 4" xfId="20131" xr:uid="{872A2D1E-BF84-4EE1-94D6-3B3C11BECAD3}"/>
    <cellStyle name="Note 2 3 3 3" xfId="5319" xr:uid="{00000000-0005-0000-0000-000009210000}"/>
    <cellStyle name="Note 2 3 3 3 2" xfId="13769" xr:uid="{C4D2F352-B043-4708-B8F8-33E27E1F2DCB}"/>
    <cellStyle name="Note 2 3 3 3 3" xfId="22203" xr:uid="{0643ACE7-9676-45F0-91F2-F9BC48DB8E31}"/>
    <cellStyle name="Note 2 3 3 4" xfId="9551" xr:uid="{B869CE62-43F6-4A13-B942-3D35D4ECB604}"/>
    <cellStyle name="Note 2 3 3 5" xfId="17986" xr:uid="{CBCFD495-C4FA-448E-9B95-6DB486238343}"/>
    <cellStyle name="Note 2 3 4" xfId="1425" xr:uid="{00000000-0005-0000-0000-00000A210000}"/>
    <cellStyle name="Note 2 3 4 2" xfId="3655" xr:uid="{00000000-0005-0000-0000-00000B210000}"/>
    <cellStyle name="Note 2 3 4 2 2" xfId="7877" xr:uid="{00000000-0005-0000-0000-00000C210000}"/>
    <cellStyle name="Note 2 3 4 2 2 2" xfId="16327" xr:uid="{2C294F15-E380-4694-BDA7-AFBA31078A5A}"/>
    <cellStyle name="Note 2 3 4 2 2 3" xfId="24761" xr:uid="{84B0041D-4EAA-4531-A2AD-6A002F3BF39C}"/>
    <cellStyle name="Note 2 3 4 2 3" xfId="12109" xr:uid="{017E29D6-6C10-4AE2-9699-176487A13E56}"/>
    <cellStyle name="Note 2 3 4 2 4" xfId="20544" xr:uid="{70D6EC85-9B9A-455F-81FD-D99431CB1149}"/>
    <cellStyle name="Note 2 3 4 3" xfId="5732" xr:uid="{00000000-0005-0000-0000-00000D210000}"/>
    <cellStyle name="Note 2 3 4 3 2" xfId="14182" xr:uid="{835251B3-10C4-4B17-AE82-8DA61E04370D}"/>
    <cellStyle name="Note 2 3 4 3 3" xfId="22616" xr:uid="{AD41CE38-DCC6-4ACA-87A1-B600881AEF4D}"/>
    <cellStyle name="Note 2 3 4 4" xfId="9964" xr:uid="{BEB7A749-AA00-46F5-9FC0-8F8570F3AAEB}"/>
    <cellStyle name="Note 2 3 4 5" xfId="18399" xr:uid="{8EFDC142-E5F3-4143-B43F-9747A3D626F2}"/>
    <cellStyle name="Note 2 3 5" xfId="1839" xr:uid="{00000000-0005-0000-0000-00000E210000}"/>
    <cellStyle name="Note 2 3 5 2" xfId="4068" xr:uid="{00000000-0005-0000-0000-00000F210000}"/>
    <cellStyle name="Note 2 3 5 2 2" xfId="8290" xr:uid="{00000000-0005-0000-0000-000010210000}"/>
    <cellStyle name="Note 2 3 5 2 2 2" xfId="16740" xr:uid="{41493205-2A1F-4C53-99BA-1D375736257E}"/>
    <cellStyle name="Note 2 3 5 2 2 3" xfId="25174" xr:uid="{887862A0-96F9-43D9-B02F-3D54AF815024}"/>
    <cellStyle name="Note 2 3 5 2 3" xfId="12522" xr:uid="{7D736CB6-2B4A-4387-8AB9-639B48A34AF5}"/>
    <cellStyle name="Note 2 3 5 2 4" xfId="20957" xr:uid="{DEDAD741-5D59-4ABD-A146-73A5D15C89F3}"/>
    <cellStyle name="Note 2 3 5 3" xfId="6145" xr:uid="{00000000-0005-0000-0000-000011210000}"/>
    <cellStyle name="Note 2 3 5 3 2" xfId="14595" xr:uid="{09EFFB42-02D2-490F-82BA-DFA23CC35217}"/>
    <cellStyle name="Note 2 3 5 3 3" xfId="23029" xr:uid="{6F90AA50-90C1-4BA9-BCFC-ABE2E7AC4C43}"/>
    <cellStyle name="Note 2 3 5 4" xfId="10377" xr:uid="{D16F8775-2160-4D60-B745-390D5A1D52F2}"/>
    <cellStyle name="Note 2 3 5 5" xfId="18812" xr:uid="{25FFC15D-A454-4C47-9A95-104CA0FD0371}"/>
    <cellStyle name="Note 2 3 6" xfId="2252" xr:uid="{00000000-0005-0000-0000-000012210000}"/>
    <cellStyle name="Note 2 3 6 2" xfId="4481" xr:uid="{00000000-0005-0000-0000-000013210000}"/>
    <cellStyle name="Note 2 3 6 2 2" xfId="8703" xr:uid="{00000000-0005-0000-0000-000014210000}"/>
    <cellStyle name="Note 2 3 6 2 2 2" xfId="17153" xr:uid="{792C99C5-D78B-4029-8D48-9B7B033A8048}"/>
    <cellStyle name="Note 2 3 6 2 2 3" xfId="25587" xr:uid="{5B27493B-A31D-4744-8C75-F6D8F26CA215}"/>
    <cellStyle name="Note 2 3 6 2 3" xfId="12935" xr:uid="{1F53AA8B-6F24-47E9-B705-D235091109C4}"/>
    <cellStyle name="Note 2 3 6 2 4" xfId="21370" xr:uid="{DDB028F8-8D0B-4793-904F-4C1406E77DA3}"/>
    <cellStyle name="Note 2 3 6 3" xfId="6558" xr:uid="{00000000-0005-0000-0000-000015210000}"/>
    <cellStyle name="Note 2 3 6 3 2" xfId="15008" xr:uid="{47DB8540-0DF7-4A8C-B87F-D3EFB816AF99}"/>
    <cellStyle name="Note 2 3 6 3 3" xfId="23442" xr:uid="{DC6AC9E8-BE15-4665-B79D-B617FFC4D0C3}"/>
    <cellStyle name="Note 2 3 6 4" xfId="10790" xr:uid="{924AFCF8-DE0B-41E6-AE8E-5CA2FAF466CA}"/>
    <cellStyle name="Note 2 3 6 5" xfId="19225" xr:uid="{812025EF-96CE-49E6-9910-25D73126B558}"/>
    <cellStyle name="Note 2 3 7" xfId="2688" xr:uid="{00000000-0005-0000-0000-000016210000}"/>
    <cellStyle name="Note 2 3 7 2" xfId="6971" xr:uid="{00000000-0005-0000-0000-000017210000}"/>
    <cellStyle name="Note 2 3 7 2 2" xfId="15421" xr:uid="{53BF18D8-2DBF-41EF-AD89-1C3010FCE92B}"/>
    <cellStyle name="Note 2 3 7 2 3" xfId="23855" xr:uid="{EEE2BA93-9943-4A0B-87FE-8132E001EBBD}"/>
    <cellStyle name="Note 2 3 7 3" xfId="11203" xr:uid="{389A5C08-4BC9-43CE-9607-801C70F0D77D}"/>
    <cellStyle name="Note 2 3 7 4" xfId="19638" xr:uid="{5D5370DB-F87A-43A0-B43F-55E0952A5406}"/>
    <cellStyle name="Note 2 3 8" xfId="2747" xr:uid="{00000000-0005-0000-0000-000018210000}"/>
    <cellStyle name="Note 2 3 9" xfId="2828" xr:uid="{00000000-0005-0000-0000-000019210000}"/>
    <cellStyle name="Note 2 3 9 2" xfId="7051" xr:uid="{00000000-0005-0000-0000-00001A210000}"/>
    <cellStyle name="Note 2 3 9 2 2" xfId="15501" xr:uid="{7FC1C5BA-61A7-4BED-974E-201A0820BA18}"/>
    <cellStyle name="Note 2 3 9 2 3" xfId="23935" xr:uid="{AAC92C26-42E4-422A-842E-5C6FE663C01C}"/>
    <cellStyle name="Note 2 3 9 3" xfId="11283" xr:uid="{831840FD-D2E3-450F-A8C0-4EA85467F02F}"/>
    <cellStyle name="Note 2 3 9 4" xfId="19718" xr:uid="{AD28FD88-EA86-4EBE-B45E-FE9D209C2967}"/>
    <cellStyle name="Note 2 4" xfId="551" xr:uid="{00000000-0005-0000-0000-00001B210000}"/>
    <cellStyle name="Note 2 4 10" xfId="9140" xr:uid="{883B9934-10F1-4678-84F8-00BBBCF03988}"/>
    <cellStyle name="Note 2 4 11" xfId="17575" xr:uid="{F74D0CF8-C79B-41D2-95EC-1892535DE04A}"/>
    <cellStyle name="Note 2 4 2" xfId="1012" xr:uid="{00000000-0005-0000-0000-00001C210000}"/>
    <cellStyle name="Note 2 4 2 2" xfId="3244" xr:uid="{00000000-0005-0000-0000-00001D210000}"/>
    <cellStyle name="Note 2 4 2 2 2" xfId="7466" xr:uid="{00000000-0005-0000-0000-00001E210000}"/>
    <cellStyle name="Note 2 4 2 2 2 2" xfId="15916" xr:uid="{C62EECC3-2DB1-47FA-874D-59049A170D40}"/>
    <cellStyle name="Note 2 4 2 2 2 3" xfId="24350" xr:uid="{1FAFF529-C3D1-4D2C-8F2F-6DEBE29F21D9}"/>
    <cellStyle name="Note 2 4 2 2 3" xfId="11698" xr:uid="{B9C99738-CC33-4AE2-B0B1-FECEE11FB67C}"/>
    <cellStyle name="Note 2 4 2 2 4" xfId="20133" xr:uid="{280B8B3A-8F39-423D-A4CB-4E7BB800E1AC}"/>
    <cellStyle name="Note 2 4 2 3" xfId="5321" xr:uid="{00000000-0005-0000-0000-00001F210000}"/>
    <cellStyle name="Note 2 4 2 3 2" xfId="13771" xr:uid="{2E30DA41-A810-4A6E-871F-A094128588FE}"/>
    <cellStyle name="Note 2 4 2 3 3" xfId="22205" xr:uid="{F94E4F90-485A-4EE4-A989-D703BBFA0EED}"/>
    <cellStyle name="Note 2 4 2 4" xfId="9553" xr:uid="{39D1FE22-C37B-45D3-AF51-48E9E9A7B593}"/>
    <cellStyle name="Note 2 4 2 5" xfId="17988" xr:uid="{9C885BA7-4906-4DCE-8FEB-A5001F24126B}"/>
    <cellStyle name="Note 2 4 3" xfId="1427" xr:uid="{00000000-0005-0000-0000-000020210000}"/>
    <cellStyle name="Note 2 4 3 2" xfId="3657" xr:uid="{00000000-0005-0000-0000-000021210000}"/>
    <cellStyle name="Note 2 4 3 2 2" xfId="7879" xr:uid="{00000000-0005-0000-0000-000022210000}"/>
    <cellStyle name="Note 2 4 3 2 2 2" xfId="16329" xr:uid="{CB712810-C025-485A-8E3D-1A24BCC6E79D}"/>
    <cellStyle name="Note 2 4 3 2 2 3" xfId="24763" xr:uid="{F49F647A-2759-47BC-B480-0DCE041C5A65}"/>
    <cellStyle name="Note 2 4 3 2 3" xfId="12111" xr:uid="{E5F3FFBF-8717-467C-82BD-EA8437BE857B}"/>
    <cellStyle name="Note 2 4 3 2 4" xfId="20546" xr:uid="{43B40E8B-E5AC-456A-B454-6732A36B4D3C}"/>
    <cellStyle name="Note 2 4 3 3" xfId="5734" xr:uid="{00000000-0005-0000-0000-000023210000}"/>
    <cellStyle name="Note 2 4 3 3 2" xfId="14184" xr:uid="{27C745FC-695B-4F3C-B712-A191ADD687B5}"/>
    <cellStyle name="Note 2 4 3 3 3" xfId="22618" xr:uid="{76692A93-9482-47EE-9F4F-158FFBC2C11B}"/>
    <cellStyle name="Note 2 4 3 4" xfId="9966" xr:uid="{2D5790F3-6324-404A-8D1D-9BDA15AF154E}"/>
    <cellStyle name="Note 2 4 3 5" xfId="18401" xr:uid="{A69807AD-2703-41EB-A35D-D61C292E717A}"/>
    <cellStyle name="Note 2 4 4" xfId="1841" xr:uid="{00000000-0005-0000-0000-000024210000}"/>
    <cellStyle name="Note 2 4 4 2" xfId="4070" xr:uid="{00000000-0005-0000-0000-000025210000}"/>
    <cellStyle name="Note 2 4 4 2 2" xfId="8292" xr:uid="{00000000-0005-0000-0000-000026210000}"/>
    <cellStyle name="Note 2 4 4 2 2 2" xfId="16742" xr:uid="{6FBE91FE-680C-4468-8D8E-2071DD46CCC4}"/>
    <cellStyle name="Note 2 4 4 2 2 3" xfId="25176" xr:uid="{D1E345AA-2797-4D31-97DE-A59B14EDB374}"/>
    <cellStyle name="Note 2 4 4 2 3" xfId="12524" xr:uid="{66E31E66-3860-4AF1-A38E-5700B56DCEBB}"/>
    <cellStyle name="Note 2 4 4 2 4" xfId="20959" xr:uid="{5F640DFD-217A-4758-9C09-7C86273B39D6}"/>
    <cellStyle name="Note 2 4 4 3" xfId="6147" xr:uid="{00000000-0005-0000-0000-000027210000}"/>
    <cellStyle name="Note 2 4 4 3 2" xfId="14597" xr:uid="{067B3B01-779A-41BB-A322-3D3E58E9E344}"/>
    <cellStyle name="Note 2 4 4 3 3" xfId="23031" xr:uid="{0594D7AC-6C78-492C-A2F2-547E6CD15AF2}"/>
    <cellStyle name="Note 2 4 4 4" xfId="10379" xr:uid="{7D6DC906-A5DE-480A-B34E-911EA3F61EBF}"/>
    <cellStyle name="Note 2 4 4 5" xfId="18814" xr:uid="{9F66A4BF-2367-4951-A02F-618A613E6893}"/>
    <cellStyle name="Note 2 4 5" xfId="2254" xr:uid="{00000000-0005-0000-0000-000028210000}"/>
    <cellStyle name="Note 2 4 5 2" xfId="4483" xr:uid="{00000000-0005-0000-0000-000029210000}"/>
    <cellStyle name="Note 2 4 5 2 2" xfId="8705" xr:uid="{00000000-0005-0000-0000-00002A210000}"/>
    <cellStyle name="Note 2 4 5 2 2 2" xfId="17155" xr:uid="{315CB9E1-EA3E-4E7F-8EC9-E9C8F27F56A7}"/>
    <cellStyle name="Note 2 4 5 2 2 3" xfId="25589" xr:uid="{EE54B474-13FE-4369-844D-D1F2F8894F55}"/>
    <cellStyle name="Note 2 4 5 2 3" xfId="12937" xr:uid="{D44EF016-6443-4C67-B822-78256A05D623}"/>
    <cellStyle name="Note 2 4 5 2 4" xfId="21372" xr:uid="{30B98FCC-27E1-43CD-BED6-0A1EBD09865B}"/>
    <cellStyle name="Note 2 4 5 3" xfId="6560" xr:uid="{00000000-0005-0000-0000-00002B210000}"/>
    <cellStyle name="Note 2 4 5 3 2" xfId="15010" xr:uid="{3E5A1A63-D0CD-40C1-BD61-11CB6F47662D}"/>
    <cellStyle name="Note 2 4 5 3 3" xfId="23444" xr:uid="{D8F47595-D2F0-4AFE-B8BD-CEF25292B32E}"/>
    <cellStyle name="Note 2 4 5 4" xfId="10792" xr:uid="{F2EE3720-474B-44CF-B386-149730A1F446}"/>
    <cellStyle name="Note 2 4 5 5" xfId="19227" xr:uid="{5D167C97-2208-4F34-8339-E5817C1234F9}"/>
    <cellStyle name="Note 2 4 6" xfId="2690" xr:uid="{00000000-0005-0000-0000-00002C210000}"/>
    <cellStyle name="Note 2 4 6 2" xfId="6973" xr:uid="{00000000-0005-0000-0000-00002D210000}"/>
    <cellStyle name="Note 2 4 6 2 2" xfId="15423" xr:uid="{AFD05C26-0B11-4A2B-80C5-A7D92D2BD74B}"/>
    <cellStyle name="Note 2 4 6 2 3" xfId="23857" xr:uid="{BB184FAF-3B98-48BC-9433-1B0F14EDBBDE}"/>
    <cellStyle name="Note 2 4 6 3" xfId="11205" xr:uid="{F4F1578A-9A6B-4694-AB21-4D0B89BC4838}"/>
    <cellStyle name="Note 2 4 6 4" xfId="19640" xr:uid="{113AF251-86E6-4873-848E-94B53C8C4F28}"/>
    <cellStyle name="Note 2 4 7" xfId="2749" xr:uid="{00000000-0005-0000-0000-00002E210000}"/>
    <cellStyle name="Note 2 4 8" xfId="2830" xr:uid="{00000000-0005-0000-0000-00002F210000}"/>
    <cellStyle name="Note 2 4 8 2" xfId="7053" xr:uid="{00000000-0005-0000-0000-000030210000}"/>
    <cellStyle name="Note 2 4 8 2 2" xfId="15503" xr:uid="{8A78879E-AD22-47C6-96D0-6641125C78DD}"/>
    <cellStyle name="Note 2 4 8 2 3" xfId="23937" xr:uid="{C1284717-565A-486A-B109-F0EDDF9B0B3C}"/>
    <cellStyle name="Note 2 4 8 3" xfId="11285" xr:uid="{70B848FC-C455-48A1-A175-B6711B881C81}"/>
    <cellStyle name="Note 2 4 8 4" xfId="19720" xr:uid="{BCFD9EB1-ECB6-4D46-A06E-5ABA127A6DF0}"/>
    <cellStyle name="Note 2 4 9" xfId="4908" xr:uid="{00000000-0005-0000-0000-000031210000}"/>
    <cellStyle name="Note 2 4 9 2" xfId="13358" xr:uid="{EDC3A175-1B15-4D49-8984-CC043B11741C}"/>
    <cellStyle name="Note 2 4 9 3" xfId="21792" xr:uid="{864E2AF3-E238-44E9-9963-DE6308A7505F}"/>
    <cellStyle name="Note 2 5" xfId="552" xr:uid="{00000000-0005-0000-0000-000032210000}"/>
    <cellStyle name="Note 2 5 10" xfId="9141" xr:uid="{F06CBAC3-E5D7-4643-A58F-0309731F776C}"/>
    <cellStyle name="Note 2 5 11" xfId="17576" xr:uid="{3028248D-0BF9-4923-932B-39F04DCBAC5A}"/>
    <cellStyle name="Note 2 5 2" xfId="1013" xr:uid="{00000000-0005-0000-0000-000033210000}"/>
    <cellStyle name="Note 2 5 2 2" xfId="3245" xr:uid="{00000000-0005-0000-0000-000034210000}"/>
    <cellStyle name="Note 2 5 2 2 2" xfId="7467" xr:uid="{00000000-0005-0000-0000-000035210000}"/>
    <cellStyle name="Note 2 5 2 2 2 2" xfId="15917" xr:uid="{4724C95A-73CC-46E0-952C-58342A5F5BBC}"/>
    <cellStyle name="Note 2 5 2 2 2 3" xfId="24351" xr:uid="{F0E983C0-B652-4285-89DB-40B65989617C}"/>
    <cellStyle name="Note 2 5 2 2 3" xfId="11699" xr:uid="{EB0D9AB4-21BF-455A-9ABD-E6F51C949810}"/>
    <cellStyle name="Note 2 5 2 2 4" xfId="20134" xr:uid="{8CE1F6D9-2112-4E43-A3B6-30775382B565}"/>
    <cellStyle name="Note 2 5 2 3" xfId="5322" xr:uid="{00000000-0005-0000-0000-000036210000}"/>
    <cellStyle name="Note 2 5 2 3 2" xfId="13772" xr:uid="{2C0918A1-7391-4BF0-A588-00D6FBE5F860}"/>
    <cellStyle name="Note 2 5 2 3 3" xfId="22206" xr:uid="{4F0C67E3-04E8-4BCD-A142-6ABADF4ABBA4}"/>
    <cellStyle name="Note 2 5 2 4" xfId="9554" xr:uid="{5F103966-3F1E-4B85-8D6E-6E2E4E4B271C}"/>
    <cellStyle name="Note 2 5 2 5" xfId="17989" xr:uid="{E9BC927C-DB46-47DF-A873-A015C8D1E21F}"/>
    <cellStyle name="Note 2 5 3" xfId="1428" xr:uid="{00000000-0005-0000-0000-000037210000}"/>
    <cellStyle name="Note 2 5 3 2" xfId="3658" xr:uid="{00000000-0005-0000-0000-000038210000}"/>
    <cellStyle name="Note 2 5 3 2 2" xfId="7880" xr:uid="{00000000-0005-0000-0000-000039210000}"/>
    <cellStyle name="Note 2 5 3 2 2 2" xfId="16330" xr:uid="{7B0267E8-EB6D-4C39-B585-ABE68A91645B}"/>
    <cellStyle name="Note 2 5 3 2 2 3" xfId="24764" xr:uid="{E4584E27-AC46-4DB6-952F-14FFFA031CAA}"/>
    <cellStyle name="Note 2 5 3 2 3" xfId="12112" xr:uid="{CF26884B-96AB-4058-AA86-C073EEDA7BDB}"/>
    <cellStyle name="Note 2 5 3 2 4" xfId="20547" xr:uid="{04CA6BB8-4499-41D0-9A9C-99F8CAA3B9B5}"/>
    <cellStyle name="Note 2 5 3 3" xfId="5735" xr:uid="{00000000-0005-0000-0000-00003A210000}"/>
    <cellStyle name="Note 2 5 3 3 2" xfId="14185" xr:uid="{91DD3A78-D248-4C42-A8E5-9CE98E3A1B8E}"/>
    <cellStyle name="Note 2 5 3 3 3" xfId="22619" xr:uid="{A15988EB-9CBA-4704-B04F-23BA35718FCE}"/>
    <cellStyle name="Note 2 5 3 4" xfId="9967" xr:uid="{415146DB-F7C7-4C09-B67B-EF6548F2E486}"/>
    <cellStyle name="Note 2 5 3 5" xfId="18402" xr:uid="{A0EB3052-5228-463B-9DDC-A9EEF3D85B61}"/>
    <cellStyle name="Note 2 5 4" xfId="1842" xr:uid="{00000000-0005-0000-0000-00003B210000}"/>
    <cellStyle name="Note 2 5 4 2" xfId="4071" xr:uid="{00000000-0005-0000-0000-00003C210000}"/>
    <cellStyle name="Note 2 5 4 2 2" xfId="8293" xr:uid="{00000000-0005-0000-0000-00003D210000}"/>
    <cellStyle name="Note 2 5 4 2 2 2" xfId="16743" xr:uid="{680F07BA-CBF1-4ABF-AE8C-8EEA7EEF3642}"/>
    <cellStyle name="Note 2 5 4 2 2 3" xfId="25177" xr:uid="{53297021-90E0-4837-8561-A7ACC0A7376D}"/>
    <cellStyle name="Note 2 5 4 2 3" xfId="12525" xr:uid="{CA6B6EED-9A82-4ADE-8A73-B0ACBECDE399}"/>
    <cellStyle name="Note 2 5 4 2 4" xfId="20960" xr:uid="{9223CB2C-B366-4DA9-ACEF-56BBCB2A05E1}"/>
    <cellStyle name="Note 2 5 4 3" xfId="6148" xr:uid="{00000000-0005-0000-0000-00003E210000}"/>
    <cellStyle name="Note 2 5 4 3 2" xfId="14598" xr:uid="{814DE4CD-0164-4EC1-82EB-B68FA4AB3F08}"/>
    <cellStyle name="Note 2 5 4 3 3" xfId="23032" xr:uid="{CDFE455D-086E-4569-9279-E69E8CF8C9FA}"/>
    <cellStyle name="Note 2 5 4 4" xfId="10380" xr:uid="{3C093996-E8B1-4010-A527-CE7765DB1A92}"/>
    <cellStyle name="Note 2 5 4 5" xfId="18815" xr:uid="{7974967B-8845-4363-BCDE-6F18E47C7A4D}"/>
    <cellStyle name="Note 2 5 5" xfId="2255" xr:uid="{00000000-0005-0000-0000-00003F210000}"/>
    <cellStyle name="Note 2 5 5 2" xfId="4484" xr:uid="{00000000-0005-0000-0000-000040210000}"/>
    <cellStyle name="Note 2 5 5 2 2" xfId="8706" xr:uid="{00000000-0005-0000-0000-000041210000}"/>
    <cellStyle name="Note 2 5 5 2 2 2" xfId="17156" xr:uid="{50097FAE-77A4-47E0-91E4-55FC02992796}"/>
    <cellStyle name="Note 2 5 5 2 2 3" xfId="25590" xr:uid="{FC898C77-7AD1-4627-8251-C03EFEDFEB9F}"/>
    <cellStyle name="Note 2 5 5 2 3" xfId="12938" xr:uid="{14EAC6FC-7323-4D95-97A7-D561D1129C17}"/>
    <cellStyle name="Note 2 5 5 2 4" xfId="21373" xr:uid="{CD272F14-D73D-4DC0-89DC-519DBA8B0AC9}"/>
    <cellStyle name="Note 2 5 5 3" xfId="6561" xr:uid="{00000000-0005-0000-0000-000042210000}"/>
    <cellStyle name="Note 2 5 5 3 2" xfId="15011" xr:uid="{D60DEA7C-F2AA-400E-A1AB-8284A93627C4}"/>
    <cellStyle name="Note 2 5 5 3 3" xfId="23445" xr:uid="{FFA4EF20-450B-4794-9C08-66564B25414B}"/>
    <cellStyle name="Note 2 5 5 4" xfId="10793" xr:uid="{A509A7D0-59BA-4687-AA33-22C5626A567F}"/>
    <cellStyle name="Note 2 5 5 5" xfId="19228" xr:uid="{BDC4B3DF-AD61-43F3-AE93-7C7168F67D7C}"/>
    <cellStyle name="Note 2 5 6" xfId="2691" xr:uid="{00000000-0005-0000-0000-000043210000}"/>
    <cellStyle name="Note 2 5 6 2" xfId="6974" xr:uid="{00000000-0005-0000-0000-000044210000}"/>
    <cellStyle name="Note 2 5 6 2 2" xfId="15424" xr:uid="{C8D5CD3F-885D-4324-9E38-57298EAE1CBB}"/>
    <cellStyle name="Note 2 5 6 2 3" xfId="23858" xr:uid="{C5FC1267-7B3B-4E8B-B868-FE0CBFAF98D7}"/>
    <cellStyle name="Note 2 5 6 3" xfId="11206" xr:uid="{1CD18E59-764F-40CE-8209-B5E263474AE0}"/>
    <cellStyle name="Note 2 5 6 4" xfId="19641" xr:uid="{16A1D676-55EC-47DD-AC9F-262BE83525C1}"/>
    <cellStyle name="Note 2 5 7" xfId="2750" xr:uid="{00000000-0005-0000-0000-000045210000}"/>
    <cellStyle name="Note 2 5 8" xfId="2831" xr:uid="{00000000-0005-0000-0000-000046210000}"/>
    <cellStyle name="Note 2 5 8 2" xfId="7054" xr:uid="{00000000-0005-0000-0000-000047210000}"/>
    <cellStyle name="Note 2 5 8 2 2" xfId="15504" xr:uid="{F2F075EF-B5D6-491E-90CA-7CD004626087}"/>
    <cellStyle name="Note 2 5 8 2 3" xfId="23938" xr:uid="{39F3F5F0-E0CA-493A-967A-DE08BA194A90}"/>
    <cellStyle name="Note 2 5 8 3" xfId="11286" xr:uid="{1F6DA4E2-B1BD-4FA0-8E9D-9804855729A9}"/>
    <cellStyle name="Note 2 5 8 4" xfId="19721" xr:uid="{E5440F51-CE0A-40DF-B445-07B5D18DD6A2}"/>
    <cellStyle name="Note 2 5 9" xfId="4909" xr:uid="{00000000-0005-0000-0000-000048210000}"/>
    <cellStyle name="Note 2 5 9 2" xfId="13359" xr:uid="{58A7B8E4-50C3-455B-B69D-ACFDAD3F7E4B}"/>
    <cellStyle name="Note 2 5 9 3" xfId="21793" xr:uid="{4AF14A82-FAD2-45C2-B656-3E3BCB7BCF0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A61B1636-42F8-4E11-8D59-5502A5364F66}"/>
    <cellStyle name="Note 3 2 10 2 3" xfId="23939" xr:uid="{F1D41F6C-AFBE-430D-A137-9A1053F2BF7E}"/>
    <cellStyle name="Note 3 2 10 3" xfId="11287" xr:uid="{C55F98FC-F874-4930-BFBA-D9D7FA26165B}"/>
    <cellStyle name="Note 3 2 10 4" xfId="19722" xr:uid="{BF26A837-2811-46BD-9F8A-72E554417186}"/>
    <cellStyle name="Note 3 2 11" xfId="4910" xr:uid="{00000000-0005-0000-0000-00004D210000}"/>
    <cellStyle name="Note 3 2 11 2" xfId="13360" xr:uid="{825DFDBB-296B-4FBC-A60D-73A3BE146965}"/>
    <cellStyle name="Note 3 2 11 3" xfId="21794" xr:uid="{923FDE53-20D9-4C63-A08C-5F1BDDB74E8A}"/>
    <cellStyle name="Note 3 2 12" xfId="9142" xr:uid="{B1D28575-65A4-436A-A711-4184E795C8E6}"/>
    <cellStyle name="Note 3 2 13" xfId="17577" xr:uid="{5230971A-A6C4-467B-8943-48A09F95E5C8}"/>
    <cellStyle name="Note 3 2 2" xfId="555" xr:uid="{00000000-0005-0000-0000-00004E210000}"/>
    <cellStyle name="Note 3 2 2 10" xfId="4911" xr:uid="{00000000-0005-0000-0000-00004F210000}"/>
    <cellStyle name="Note 3 2 2 10 2" xfId="13361" xr:uid="{851E33CD-FE32-4F51-894C-9B766FF36C96}"/>
    <cellStyle name="Note 3 2 2 10 3" xfId="21795" xr:uid="{B4C13BD9-95E4-4449-9459-49A23CDB57E7}"/>
    <cellStyle name="Note 3 2 2 11" xfId="9143" xr:uid="{A975C25F-27D0-4B6A-B662-4A60850AC89A}"/>
    <cellStyle name="Note 3 2 2 12" xfId="17578" xr:uid="{20CDC046-D195-4BB7-8E3D-6418C88DE681}"/>
    <cellStyle name="Note 3 2 2 2" xfId="556" xr:uid="{00000000-0005-0000-0000-000050210000}"/>
    <cellStyle name="Note 3 2 2 2 10" xfId="9144" xr:uid="{2E5F1D16-80F9-4CD3-874B-7B56CD741813}"/>
    <cellStyle name="Note 3 2 2 2 11" xfId="17579" xr:uid="{25A453A8-B91F-4396-8E96-54EF08F4E1F6}"/>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364B8302-D301-4B97-A231-78D1781400E7}"/>
    <cellStyle name="Note 3 2 2 2 2 2 2 3" xfId="24354" xr:uid="{6F08A28E-C8E2-4854-B91A-E21C6A548C5D}"/>
    <cellStyle name="Note 3 2 2 2 2 2 3" xfId="11702" xr:uid="{1F08DF6D-11A1-4BB9-ADF8-C7BA34EB94E8}"/>
    <cellStyle name="Note 3 2 2 2 2 2 4" xfId="20137" xr:uid="{D21B32A1-7E9C-4957-ACD2-FA2CF06C52D8}"/>
    <cellStyle name="Note 3 2 2 2 2 3" xfId="5325" xr:uid="{00000000-0005-0000-0000-000054210000}"/>
    <cellStyle name="Note 3 2 2 2 2 3 2" xfId="13775" xr:uid="{009CAF8E-56B0-42BE-8527-BFB9F404360C}"/>
    <cellStyle name="Note 3 2 2 2 2 3 3" xfId="22209" xr:uid="{1F0EF77A-7317-4B3C-8745-CF8E114051C8}"/>
    <cellStyle name="Note 3 2 2 2 2 4" xfId="9557" xr:uid="{2D6AC626-FC05-4BC8-97D6-64CDFCE8DD22}"/>
    <cellStyle name="Note 3 2 2 2 2 5" xfId="17992" xr:uid="{B04EC698-D7B0-4D2C-99F1-E8CD24350791}"/>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863AE10F-B1DD-40F9-9C8B-AFDA3987E52F}"/>
    <cellStyle name="Note 3 2 2 2 3 2 2 3" xfId="24767" xr:uid="{FD606893-43D2-416B-B60A-FBA6CCC9D513}"/>
    <cellStyle name="Note 3 2 2 2 3 2 3" xfId="12115" xr:uid="{87143620-7C70-4C3A-908A-EEC6C8A8A9E5}"/>
    <cellStyle name="Note 3 2 2 2 3 2 4" xfId="20550" xr:uid="{2F266EAA-B16B-4043-BDBD-1CAEDF6A4C77}"/>
    <cellStyle name="Note 3 2 2 2 3 3" xfId="5738" xr:uid="{00000000-0005-0000-0000-000058210000}"/>
    <cellStyle name="Note 3 2 2 2 3 3 2" xfId="14188" xr:uid="{5B61301C-0E98-4D8D-889F-63BE538051AD}"/>
    <cellStyle name="Note 3 2 2 2 3 3 3" xfId="22622" xr:uid="{2DC6B2EA-A687-4E9C-8AE2-EAE1CED85679}"/>
    <cellStyle name="Note 3 2 2 2 3 4" xfId="9970" xr:uid="{4C3C77B7-3798-4FEB-9294-97637D19AD91}"/>
    <cellStyle name="Note 3 2 2 2 3 5" xfId="18405" xr:uid="{9C87AB28-A039-49C1-BCED-909A736CAA23}"/>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3939FB4-D281-41BA-8574-75A4CD606CFB}"/>
    <cellStyle name="Note 3 2 2 2 4 2 2 3" xfId="25180" xr:uid="{464D5E1D-0E9C-4CC3-B3C9-D8AD174A1BD8}"/>
    <cellStyle name="Note 3 2 2 2 4 2 3" xfId="12528" xr:uid="{FF086872-DB05-4F26-A0E6-D4C5074FA32D}"/>
    <cellStyle name="Note 3 2 2 2 4 2 4" xfId="20963" xr:uid="{D7EA71BD-1777-4EEF-A41D-595534821C62}"/>
    <cellStyle name="Note 3 2 2 2 4 3" xfId="6151" xr:uid="{00000000-0005-0000-0000-00005C210000}"/>
    <cellStyle name="Note 3 2 2 2 4 3 2" xfId="14601" xr:uid="{41AFE398-6A52-425A-8BDD-A41C38B683B0}"/>
    <cellStyle name="Note 3 2 2 2 4 3 3" xfId="23035" xr:uid="{0B046728-8665-4C93-8905-3712BBB16B22}"/>
    <cellStyle name="Note 3 2 2 2 4 4" xfId="10383" xr:uid="{BA470572-F8E0-459D-8761-F731332A9EFA}"/>
    <cellStyle name="Note 3 2 2 2 4 5" xfId="18818" xr:uid="{ED53A749-1B21-4C85-86A3-9F28E8720B7E}"/>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93313E2-69C6-4451-89EC-EC7E488A48DC}"/>
    <cellStyle name="Note 3 2 2 2 5 2 2 3" xfId="25593" xr:uid="{479E436F-B85B-4266-AADA-B1146D862F7A}"/>
    <cellStyle name="Note 3 2 2 2 5 2 3" xfId="12941" xr:uid="{628793CE-C743-4A70-B977-68CD6F0BAC00}"/>
    <cellStyle name="Note 3 2 2 2 5 2 4" xfId="21376" xr:uid="{2DF71375-B46F-4510-9CCE-B0BE2DAF7C5D}"/>
    <cellStyle name="Note 3 2 2 2 5 3" xfId="6564" xr:uid="{00000000-0005-0000-0000-000060210000}"/>
    <cellStyle name="Note 3 2 2 2 5 3 2" xfId="15014" xr:uid="{02C259C7-ACFF-4D98-A422-89EFF84F46F0}"/>
    <cellStyle name="Note 3 2 2 2 5 3 3" xfId="23448" xr:uid="{E1C55C2A-1308-4F4F-8B08-48397E34C7B5}"/>
    <cellStyle name="Note 3 2 2 2 5 4" xfId="10796" xr:uid="{423FAE00-8E5B-47ED-AA87-7D3AF95B5840}"/>
    <cellStyle name="Note 3 2 2 2 5 5" xfId="19231" xr:uid="{859D164D-732A-44E1-8FE4-DF2376A159EE}"/>
    <cellStyle name="Note 3 2 2 2 6" xfId="2694" xr:uid="{00000000-0005-0000-0000-000061210000}"/>
    <cellStyle name="Note 3 2 2 2 6 2" xfId="6977" xr:uid="{00000000-0005-0000-0000-000062210000}"/>
    <cellStyle name="Note 3 2 2 2 6 2 2" xfId="15427" xr:uid="{F059DED6-A6AB-41DB-B8DF-7D98FF09AC8A}"/>
    <cellStyle name="Note 3 2 2 2 6 2 3" xfId="23861" xr:uid="{C7B6B106-9F7A-48E2-BFC5-92077453ADBA}"/>
    <cellStyle name="Note 3 2 2 2 6 3" xfId="11209" xr:uid="{B501CF8F-A678-4C25-8313-30ACCACBF298}"/>
    <cellStyle name="Note 3 2 2 2 6 4" xfId="19644" xr:uid="{76EBEBDD-5078-4085-8337-36703DD56C3B}"/>
    <cellStyle name="Note 3 2 2 2 7" xfId="2753" xr:uid="{00000000-0005-0000-0000-000063210000}"/>
    <cellStyle name="Note 3 2 2 2 8" xfId="2834" xr:uid="{00000000-0005-0000-0000-000064210000}"/>
    <cellStyle name="Note 3 2 2 2 8 2" xfId="7057" xr:uid="{00000000-0005-0000-0000-000065210000}"/>
    <cellStyle name="Note 3 2 2 2 8 2 2" xfId="15507" xr:uid="{7BC3E0AC-FEF1-4D41-9340-9F84FBF7BD78}"/>
    <cellStyle name="Note 3 2 2 2 8 2 3" xfId="23941" xr:uid="{4EBFD528-F178-48AF-8A92-E3BD8AB97E36}"/>
    <cellStyle name="Note 3 2 2 2 8 3" xfId="11289" xr:uid="{9D78EDD0-12B3-4D5C-AD20-F8BEC123CBE9}"/>
    <cellStyle name="Note 3 2 2 2 8 4" xfId="19724" xr:uid="{DAFC6584-5B7B-4A06-B207-E08FD1D7E589}"/>
    <cellStyle name="Note 3 2 2 2 9" xfId="4912" xr:uid="{00000000-0005-0000-0000-000066210000}"/>
    <cellStyle name="Note 3 2 2 2 9 2" xfId="13362" xr:uid="{B73234F9-02D3-488A-8A1B-2E1E994741B2}"/>
    <cellStyle name="Note 3 2 2 2 9 3" xfId="21796" xr:uid="{1CCEAA01-6952-45A5-A348-932BC40F0491}"/>
    <cellStyle name="Note 3 2 2 3" xfId="1015" xr:uid="{00000000-0005-0000-0000-000067210000}"/>
    <cellStyle name="Note 3 2 2 3 2" xfId="3247" xr:uid="{00000000-0005-0000-0000-000068210000}"/>
    <cellStyle name="Note 3 2 2 3 2 2" xfId="7469" xr:uid="{00000000-0005-0000-0000-000069210000}"/>
    <cellStyle name="Note 3 2 2 3 2 2 2" xfId="15919" xr:uid="{3F250744-334A-445E-A984-B4584DA2F668}"/>
    <cellStyle name="Note 3 2 2 3 2 2 3" xfId="24353" xr:uid="{A9B71E80-8B74-4FEF-A9E8-2957EB55D269}"/>
    <cellStyle name="Note 3 2 2 3 2 3" xfId="11701" xr:uid="{B18117F2-E4BE-4AA2-B44F-DA4117F9F7A4}"/>
    <cellStyle name="Note 3 2 2 3 2 4" xfId="20136" xr:uid="{FACB4E57-B104-485F-84BE-74F4AA95D600}"/>
    <cellStyle name="Note 3 2 2 3 3" xfId="5324" xr:uid="{00000000-0005-0000-0000-00006A210000}"/>
    <cellStyle name="Note 3 2 2 3 3 2" xfId="13774" xr:uid="{192FDFE2-B9D1-4D59-95C3-FD6B239E1664}"/>
    <cellStyle name="Note 3 2 2 3 3 3" xfId="22208" xr:uid="{96DD7E5C-6ABF-45EE-80A8-EC99E6153BD7}"/>
    <cellStyle name="Note 3 2 2 3 4" xfId="9556" xr:uid="{409DA8B7-5072-435D-A8CD-1FB1018762F6}"/>
    <cellStyle name="Note 3 2 2 3 5" xfId="17991" xr:uid="{92FFECCF-55F0-47E1-A45A-FE3B2971E735}"/>
    <cellStyle name="Note 3 2 2 4" xfId="1430" xr:uid="{00000000-0005-0000-0000-00006B210000}"/>
    <cellStyle name="Note 3 2 2 4 2" xfId="3660" xr:uid="{00000000-0005-0000-0000-00006C210000}"/>
    <cellStyle name="Note 3 2 2 4 2 2" xfId="7882" xr:uid="{00000000-0005-0000-0000-00006D210000}"/>
    <cellStyle name="Note 3 2 2 4 2 2 2" xfId="16332" xr:uid="{B28F4371-6C8B-4F59-9CB1-AFCA15B6D63A}"/>
    <cellStyle name="Note 3 2 2 4 2 2 3" xfId="24766" xr:uid="{D6FBC812-D953-4B06-9135-171C596C264D}"/>
    <cellStyle name="Note 3 2 2 4 2 3" xfId="12114" xr:uid="{28238EE1-F0F5-418F-ADA9-B74DB9743410}"/>
    <cellStyle name="Note 3 2 2 4 2 4" xfId="20549" xr:uid="{6A6EF1ED-786C-49E0-ADDE-DF9A4A079295}"/>
    <cellStyle name="Note 3 2 2 4 3" xfId="5737" xr:uid="{00000000-0005-0000-0000-00006E210000}"/>
    <cellStyle name="Note 3 2 2 4 3 2" xfId="14187" xr:uid="{4C68CC98-F5B5-40FE-873C-984D1E639541}"/>
    <cellStyle name="Note 3 2 2 4 3 3" xfId="22621" xr:uid="{35E3AF80-A38D-4A79-8BD3-7CB325F0A132}"/>
    <cellStyle name="Note 3 2 2 4 4" xfId="9969" xr:uid="{1F5E0621-7114-4E86-A569-93CFE3C2E2C2}"/>
    <cellStyle name="Note 3 2 2 4 5" xfId="18404" xr:uid="{A2C05960-A908-4EC7-BB3D-4AC114856179}"/>
    <cellStyle name="Note 3 2 2 5" xfId="1844" xr:uid="{00000000-0005-0000-0000-00006F210000}"/>
    <cellStyle name="Note 3 2 2 5 2" xfId="4073" xr:uid="{00000000-0005-0000-0000-000070210000}"/>
    <cellStyle name="Note 3 2 2 5 2 2" xfId="8295" xr:uid="{00000000-0005-0000-0000-000071210000}"/>
    <cellStyle name="Note 3 2 2 5 2 2 2" xfId="16745" xr:uid="{2FE36D84-942A-4BE1-8761-2662A50AC321}"/>
    <cellStyle name="Note 3 2 2 5 2 2 3" xfId="25179" xr:uid="{0085282A-367E-4232-8C31-84CF8ABA57CC}"/>
    <cellStyle name="Note 3 2 2 5 2 3" xfId="12527" xr:uid="{3F801BBB-E61A-4321-A165-D9AA6581068F}"/>
    <cellStyle name="Note 3 2 2 5 2 4" xfId="20962" xr:uid="{26E6CE50-C5B7-4888-95CA-C96E1B9BFA75}"/>
    <cellStyle name="Note 3 2 2 5 3" xfId="6150" xr:uid="{00000000-0005-0000-0000-000072210000}"/>
    <cellStyle name="Note 3 2 2 5 3 2" xfId="14600" xr:uid="{0789DCE5-E751-4A16-BD74-CA1210FC7870}"/>
    <cellStyle name="Note 3 2 2 5 3 3" xfId="23034" xr:uid="{E6691AC2-E738-4BAC-98B8-80D5ADF79D4D}"/>
    <cellStyle name="Note 3 2 2 5 4" xfId="10382" xr:uid="{DCDD92F0-C9CF-46B7-BB42-2698B1241A11}"/>
    <cellStyle name="Note 3 2 2 5 5" xfId="18817" xr:uid="{B4E499AE-962C-40A6-935D-65956FE9296E}"/>
    <cellStyle name="Note 3 2 2 6" xfId="2257" xr:uid="{00000000-0005-0000-0000-000073210000}"/>
    <cellStyle name="Note 3 2 2 6 2" xfId="4486" xr:uid="{00000000-0005-0000-0000-000074210000}"/>
    <cellStyle name="Note 3 2 2 6 2 2" xfId="8708" xr:uid="{00000000-0005-0000-0000-000075210000}"/>
    <cellStyle name="Note 3 2 2 6 2 2 2" xfId="17158" xr:uid="{B397853A-F424-478A-9D4F-DE973DBDEA7E}"/>
    <cellStyle name="Note 3 2 2 6 2 2 3" xfId="25592" xr:uid="{AA40F521-32C7-45AE-B5D7-F6BDE2C160C6}"/>
    <cellStyle name="Note 3 2 2 6 2 3" xfId="12940" xr:uid="{89523EE0-6A80-4676-A365-26072AA8757C}"/>
    <cellStyle name="Note 3 2 2 6 2 4" xfId="21375" xr:uid="{3CAA604A-412C-411F-BFA3-0C1630B10A8C}"/>
    <cellStyle name="Note 3 2 2 6 3" xfId="6563" xr:uid="{00000000-0005-0000-0000-000076210000}"/>
    <cellStyle name="Note 3 2 2 6 3 2" xfId="15013" xr:uid="{2B22DFF7-BFE1-4CD1-A3A0-B384B059CAF1}"/>
    <cellStyle name="Note 3 2 2 6 3 3" xfId="23447" xr:uid="{ADF8AA16-9F8E-4D3F-8A4C-1072B794056E}"/>
    <cellStyle name="Note 3 2 2 6 4" xfId="10795" xr:uid="{8D8EE374-FD32-4AE8-BCB3-761E6A779CC1}"/>
    <cellStyle name="Note 3 2 2 6 5" xfId="19230" xr:uid="{651FA15C-0DE9-4D16-98CE-9320EBBE321A}"/>
    <cellStyle name="Note 3 2 2 7" xfId="2693" xr:uid="{00000000-0005-0000-0000-000077210000}"/>
    <cellStyle name="Note 3 2 2 7 2" xfId="6976" xr:uid="{00000000-0005-0000-0000-000078210000}"/>
    <cellStyle name="Note 3 2 2 7 2 2" xfId="15426" xr:uid="{EE3B484F-E4A8-42FF-8FEA-8ECA97765ACD}"/>
    <cellStyle name="Note 3 2 2 7 2 3" xfId="23860" xr:uid="{500E96D9-630A-4DCD-B849-35CB886F120C}"/>
    <cellStyle name="Note 3 2 2 7 3" xfId="11208" xr:uid="{50ADAEBB-16EB-4D80-80E4-AF98339558DF}"/>
    <cellStyle name="Note 3 2 2 7 4" xfId="19643" xr:uid="{27C0159A-5C31-4E6E-92B1-5FC106021E68}"/>
    <cellStyle name="Note 3 2 2 8" xfId="2752" xr:uid="{00000000-0005-0000-0000-000079210000}"/>
    <cellStyle name="Note 3 2 2 9" xfId="2833" xr:uid="{00000000-0005-0000-0000-00007A210000}"/>
    <cellStyle name="Note 3 2 2 9 2" xfId="7056" xr:uid="{00000000-0005-0000-0000-00007B210000}"/>
    <cellStyle name="Note 3 2 2 9 2 2" xfId="15506" xr:uid="{CC35FC48-CE43-4A60-9791-0F9D44259CFA}"/>
    <cellStyle name="Note 3 2 2 9 2 3" xfId="23940" xr:uid="{615A3B25-79CD-4E95-BFEC-CE4C4F66E0CB}"/>
    <cellStyle name="Note 3 2 2 9 3" xfId="11288" xr:uid="{FED2084B-7B48-419E-8A27-D0E800758931}"/>
    <cellStyle name="Note 3 2 2 9 4" xfId="19723" xr:uid="{53BD5649-5469-4A25-A537-0F05DA10ABF9}"/>
    <cellStyle name="Note 3 2 3" xfId="557" xr:uid="{00000000-0005-0000-0000-00007C210000}"/>
    <cellStyle name="Note 3 2 3 10" xfId="9145" xr:uid="{7E9D9F4B-AB30-48FA-B15D-03A299984AE2}"/>
    <cellStyle name="Note 3 2 3 11" xfId="17580" xr:uid="{66F31625-F7E9-4F0B-837C-44E568EB4992}"/>
    <cellStyle name="Note 3 2 3 2" xfId="1017" xr:uid="{00000000-0005-0000-0000-00007D210000}"/>
    <cellStyle name="Note 3 2 3 2 2" xfId="3249" xr:uid="{00000000-0005-0000-0000-00007E210000}"/>
    <cellStyle name="Note 3 2 3 2 2 2" xfId="7471" xr:uid="{00000000-0005-0000-0000-00007F210000}"/>
    <cellStyle name="Note 3 2 3 2 2 2 2" xfId="15921" xr:uid="{D292D28E-3195-4F7D-915A-3BAD473ECD58}"/>
    <cellStyle name="Note 3 2 3 2 2 2 3" xfId="24355" xr:uid="{EB88936D-437A-47F8-9DBF-22C0E1CCF70E}"/>
    <cellStyle name="Note 3 2 3 2 2 3" xfId="11703" xr:uid="{14BFEF6E-BCB2-4FF9-BCEF-BE3216B881C7}"/>
    <cellStyle name="Note 3 2 3 2 2 4" xfId="20138" xr:uid="{860349D7-5F82-4E5C-984B-7F7044E3DCA2}"/>
    <cellStyle name="Note 3 2 3 2 3" xfId="5326" xr:uid="{00000000-0005-0000-0000-000080210000}"/>
    <cellStyle name="Note 3 2 3 2 3 2" xfId="13776" xr:uid="{5314D060-2B71-4E72-81BA-54743D95F0FB}"/>
    <cellStyle name="Note 3 2 3 2 3 3" xfId="22210" xr:uid="{4326B891-BCBB-4295-96AA-204B4B238544}"/>
    <cellStyle name="Note 3 2 3 2 4" xfId="9558" xr:uid="{282064DB-6941-4BF4-95D4-303BF54BCD26}"/>
    <cellStyle name="Note 3 2 3 2 5" xfId="17993" xr:uid="{0E3B5188-1609-4A34-921B-8EE2AA78943F}"/>
    <cellStyle name="Note 3 2 3 3" xfId="1432" xr:uid="{00000000-0005-0000-0000-000081210000}"/>
    <cellStyle name="Note 3 2 3 3 2" xfId="3662" xr:uid="{00000000-0005-0000-0000-000082210000}"/>
    <cellStyle name="Note 3 2 3 3 2 2" xfId="7884" xr:uid="{00000000-0005-0000-0000-000083210000}"/>
    <cellStyle name="Note 3 2 3 3 2 2 2" xfId="16334" xr:uid="{6A91B800-F666-4EB6-B538-8E58C6247AF7}"/>
    <cellStyle name="Note 3 2 3 3 2 2 3" xfId="24768" xr:uid="{FF0CBDEE-56EB-455E-A39D-2A9CDC537797}"/>
    <cellStyle name="Note 3 2 3 3 2 3" xfId="12116" xr:uid="{EBEE95D0-0B0B-45A9-A5FD-AEC9D792D345}"/>
    <cellStyle name="Note 3 2 3 3 2 4" xfId="20551" xr:uid="{B2480B78-D333-43F7-B041-1BAC49A227DE}"/>
    <cellStyle name="Note 3 2 3 3 3" xfId="5739" xr:uid="{00000000-0005-0000-0000-000084210000}"/>
    <cellStyle name="Note 3 2 3 3 3 2" xfId="14189" xr:uid="{1D03303D-91E0-4801-8C9C-B8B4B1F59DEE}"/>
    <cellStyle name="Note 3 2 3 3 3 3" xfId="22623" xr:uid="{D9835AC6-E264-4031-93C5-67722CB74C36}"/>
    <cellStyle name="Note 3 2 3 3 4" xfId="9971" xr:uid="{97325B04-F9BF-4A9F-8CEA-2ABA20BBDC29}"/>
    <cellStyle name="Note 3 2 3 3 5" xfId="18406" xr:uid="{DFF999F9-6601-4490-B99D-9993748A5F2C}"/>
    <cellStyle name="Note 3 2 3 4" xfId="1846" xr:uid="{00000000-0005-0000-0000-000085210000}"/>
    <cellStyle name="Note 3 2 3 4 2" xfId="4075" xr:uid="{00000000-0005-0000-0000-000086210000}"/>
    <cellStyle name="Note 3 2 3 4 2 2" xfId="8297" xr:uid="{00000000-0005-0000-0000-000087210000}"/>
    <cellStyle name="Note 3 2 3 4 2 2 2" xfId="16747" xr:uid="{3773A55C-0991-4CEC-99F2-33F0B8C6DB93}"/>
    <cellStyle name="Note 3 2 3 4 2 2 3" xfId="25181" xr:uid="{706F1638-DD3B-42A0-B379-7D70CE30DB6D}"/>
    <cellStyle name="Note 3 2 3 4 2 3" xfId="12529" xr:uid="{E3E14118-42F4-47C1-AEEA-049515007D0D}"/>
    <cellStyle name="Note 3 2 3 4 2 4" xfId="20964" xr:uid="{1857CECE-741C-4F89-8FF3-29D6437C6531}"/>
    <cellStyle name="Note 3 2 3 4 3" xfId="6152" xr:uid="{00000000-0005-0000-0000-000088210000}"/>
    <cellStyle name="Note 3 2 3 4 3 2" xfId="14602" xr:uid="{35642508-1C46-46ED-864D-90470B60AFD6}"/>
    <cellStyle name="Note 3 2 3 4 3 3" xfId="23036" xr:uid="{A3C4A590-958B-4104-8470-953D8D40C80D}"/>
    <cellStyle name="Note 3 2 3 4 4" xfId="10384" xr:uid="{FC1B8E50-B8B7-400D-90F9-686E6C61F4F3}"/>
    <cellStyle name="Note 3 2 3 4 5" xfId="18819" xr:uid="{0B9D5D56-C1CA-4C90-BAD4-0D89885362EF}"/>
    <cellStyle name="Note 3 2 3 5" xfId="2259" xr:uid="{00000000-0005-0000-0000-000089210000}"/>
    <cellStyle name="Note 3 2 3 5 2" xfId="4488" xr:uid="{00000000-0005-0000-0000-00008A210000}"/>
    <cellStyle name="Note 3 2 3 5 2 2" xfId="8710" xr:uid="{00000000-0005-0000-0000-00008B210000}"/>
    <cellStyle name="Note 3 2 3 5 2 2 2" xfId="17160" xr:uid="{F66B2ECC-73B1-4397-B862-AB08541A6532}"/>
    <cellStyle name="Note 3 2 3 5 2 2 3" xfId="25594" xr:uid="{4383397A-12A4-4120-A468-1210DAEF6F42}"/>
    <cellStyle name="Note 3 2 3 5 2 3" xfId="12942" xr:uid="{4CF58D4B-A10D-4475-8372-091A8359B0E5}"/>
    <cellStyle name="Note 3 2 3 5 2 4" xfId="21377" xr:uid="{A139D8ED-FDF7-4906-9FE9-13B80F17C422}"/>
    <cellStyle name="Note 3 2 3 5 3" xfId="6565" xr:uid="{00000000-0005-0000-0000-00008C210000}"/>
    <cellStyle name="Note 3 2 3 5 3 2" xfId="15015" xr:uid="{86A45327-E93A-476A-92F2-F8EFC4A92F6B}"/>
    <cellStyle name="Note 3 2 3 5 3 3" xfId="23449" xr:uid="{AB9366E8-8E0B-45DC-A1C4-6ED766A711B0}"/>
    <cellStyle name="Note 3 2 3 5 4" xfId="10797" xr:uid="{5905E8C4-B160-446A-8149-B7BD8F590628}"/>
    <cellStyle name="Note 3 2 3 5 5" xfId="19232" xr:uid="{D96B6E51-D5F0-4E86-91E5-EDEF18D12727}"/>
    <cellStyle name="Note 3 2 3 6" xfId="2695" xr:uid="{00000000-0005-0000-0000-00008D210000}"/>
    <cellStyle name="Note 3 2 3 6 2" xfId="6978" xr:uid="{00000000-0005-0000-0000-00008E210000}"/>
    <cellStyle name="Note 3 2 3 6 2 2" xfId="15428" xr:uid="{491A6B6B-9C27-4AFC-ACBE-060E75F8F4C5}"/>
    <cellStyle name="Note 3 2 3 6 2 3" xfId="23862" xr:uid="{6EAC4BBF-CF4F-45B9-B0FF-063F3CF306AD}"/>
    <cellStyle name="Note 3 2 3 6 3" xfId="11210" xr:uid="{7D600B41-B81F-4C49-AEE3-D31922DFE915}"/>
    <cellStyle name="Note 3 2 3 6 4" xfId="19645" xr:uid="{055A5F72-5496-4A16-88B9-25484209FD27}"/>
    <cellStyle name="Note 3 2 3 7" xfId="2754" xr:uid="{00000000-0005-0000-0000-00008F210000}"/>
    <cellStyle name="Note 3 2 3 8" xfId="2835" xr:uid="{00000000-0005-0000-0000-000090210000}"/>
    <cellStyle name="Note 3 2 3 8 2" xfId="7058" xr:uid="{00000000-0005-0000-0000-000091210000}"/>
    <cellStyle name="Note 3 2 3 8 2 2" xfId="15508" xr:uid="{B2F4202F-39A3-4E7D-81D1-81BC68B92DC2}"/>
    <cellStyle name="Note 3 2 3 8 2 3" xfId="23942" xr:uid="{7E1D9AF1-8818-413F-B147-821F6456CA2A}"/>
    <cellStyle name="Note 3 2 3 8 3" xfId="11290" xr:uid="{C5757D03-4900-4BEF-96FD-59581AE8A590}"/>
    <cellStyle name="Note 3 2 3 8 4" xfId="19725" xr:uid="{E8D66D0F-8A79-4435-81E5-937E330990D6}"/>
    <cellStyle name="Note 3 2 3 9" xfId="4913" xr:uid="{00000000-0005-0000-0000-000092210000}"/>
    <cellStyle name="Note 3 2 3 9 2" xfId="13363" xr:uid="{3785849B-6692-4CDB-BB75-C70B91C33EB3}"/>
    <cellStyle name="Note 3 2 3 9 3" xfId="21797" xr:uid="{AC4C72D9-B6B5-4A08-A5DA-F11BBCC350E6}"/>
    <cellStyle name="Note 3 2 4" xfId="1014" xr:uid="{00000000-0005-0000-0000-000093210000}"/>
    <cellStyle name="Note 3 2 4 2" xfId="3246" xr:uid="{00000000-0005-0000-0000-000094210000}"/>
    <cellStyle name="Note 3 2 4 2 2" xfId="7468" xr:uid="{00000000-0005-0000-0000-000095210000}"/>
    <cellStyle name="Note 3 2 4 2 2 2" xfId="15918" xr:uid="{A54E4E4A-4BBD-467E-9B18-7213A7181724}"/>
    <cellStyle name="Note 3 2 4 2 2 3" xfId="24352" xr:uid="{882CAFD2-E2DA-4449-A15A-B2579A9517BC}"/>
    <cellStyle name="Note 3 2 4 2 3" xfId="11700" xr:uid="{DE1CF26A-4D96-4B5B-AA5C-75BE85538609}"/>
    <cellStyle name="Note 3 2 4 2 4" xfId="20135" xr:uid="{91ED2733-7FEB-4266-9A33-DCE5BD1CBBCF}"/>
    <cellStyle name="Note 3 2 4 3" xfId="5323" xr:uid="{00000000-0005-0000-0000-000096210000}"/>
    <cellStyle name="Note 3 2 4 3 2" xfId="13773" xr:uid="{E9589B59-4C89-4E9B-919B-AED30DA88AB0}"/>
    <cellStyle name="Note 3 2 4 3 3" xfId="22207" xr:uid="{8355435D-1F78-4E21-8999-08D5DFBDA890}"/>
    <cellStyle name="Note 3 2 4 4" xfId="9555" xr:uid="{4908A0EA-83CB-42CD-955E-61C56FA1442C}"/>
    <cellStyle name="Note 3 2 4 5" xfId="17990" xr:uid="{5E2E271F-980F-4158-842D-1A5C10C74D77}"/>
    <cellStyle name="Note 3 2 5" xfId="1429" xr:uid="{00000000-0005-0000-0000-000097210000}"/>
    <cellStyle name="Note 3 2 5 2" xfId="3659" xr:uid="{00000000-0005-0000-0000-000098210000}"/>
    <cellStyle name="Note 3 2 5 2 2" xfId="7881" xr:uid="{00000000-0005-0000-0000-000099210000}"/>
    <cellStyle name="Note 3 2 5 2 2 2" xfId="16331" xr:uid="{CED12B1D-C059-4EF7-B2FF-CBAF6409A6A9}"/>
    <cellStyle name="Note 3 2 5 2 2 3" xfId="24765" xr:uid="{96A56B46-6550-45D9-9173-204463EDF638}"/>
    <cellStyle name="Note 3 2 5 2 3" xfId="12113" xr:uid="{F5A4F596-A1CE-4E53-A84C-5EDA0679EBBE}"/>
    <cellStyle name="Note 3 2 5 2 4" xfId="20548" xr:uid="{14795472-D005-472F-960E-51372D9DE811}"/>
    <cellStyle name="Note 3 2 5 3" xfId="5736" xr:uid="{00000000-0005-0000-0000-00009A210000}"/>
    <cellStyle name="Note 3 2 5 3 2" xfId="14186" xr:uid="{9C6B902D-6B39-4A7B-A9D8-81C2C08D6DA0}"/>
    <cellStyle name="Note 3 2 5 3 3" xfId="22620" xr:uid="{098080D8-F42F-4FF7-83B8-B444DA70EDC8}"/>
    <cellStyle name="Note 3 2 5 4" xfId="9968" xr:uid="{64A00C01-F34F-419B-87E7-DC875A50F480}"/>
    <cellStyle name="Note 3 2 5 5" xfId="18403" xr:uid="{0214EC23-DC82-4F0D-A91A-2543C20E0DFE}"/>
    <cellStyle name="Note 3 2 6" xfId="1843" xr:uid="{00000000-0005-0000-0000-00009B210000}"/>
    <cellStyle name="Note 3 2 6 2" xfId="4072" xr:uid="{00000000-0005-0000-0000-00009C210000}"/>
    <cellStyle name="Note 3 2 6 2 2" xfId="8294" xr:uid="{00000000-0005-0000-0000-00009D210000}"/>
    <cellStyle name="Note 3 2 6 2 2 2" xfId="16744" xr:uid="{5051E82E-F86C-4A36-8F52-B7512EA60189}"/>
    <cellStyle name="Note 3 2 6 2 2 3" xfId="25178" xr:uid="{58F65785-4B9E-4E72-B8F4-C62DBB5FF81E}"/>
    <cellStyle name="Note 3 2 6 2 3" xfId="12526" xr:uid="{0F80BDEA-A425-42EA-9CD8-A200D0EE4CEE}"/>
    <cellStyle name="Note 3 2 6 2 4" xfId="20961" xr:uid="{33652246-35A3-4874-BA3A-549409FC95AE}"/>
    <cellStyle name="Note 3 2 6 3" xfId="6149" xr:uid="{00000000-0005-0000-0000-00009E210000}"/>
    <cellStyle name="Note 3 2 6 3 2" xfId="14599" xr:uid="{7029D155-887A-414E-B289-7582720F6488}"/>
    <cellStyle name="Note 3 2 6 3 3" xfId="23033" xr:uid="{55A0F35D-EFC6-4CF3-BCE7-CB2C182CDA75}"/>
    <cellStyle name="Note 3 2 6 4" xfId="10381" xr:uid="{53229FBF-95F7-467D-B4BA-F2CF685CB335}"/>
    <cellStyle name="Note 3 2 6 5" xfId="18816" xr:uid="{430ACF9D-DE1B-47D2-9FFE-9F0E0E8D6738}"/>
    <cellStyle name="Note 3 2 7" xfId="2256" xr:uid="{00000000-0005-0000-0000-00009F210000}"/>
    <cellStyle name="Note 3 2 7 2" xfId="4485" xr:uid="{00000000-0005-0000-0000-0000A0210000}"/>
    <cellStyle name="Note 3 2 7 2 2" xfId="8707" xr:uid="{00000000-0005-0000-0000-0000A1210000}"/>
    <cellStyle name="Note 3 2 7 2 2 2" xfId="17157" xr:uid="{EACA859D-9114-4951-8A8E-A8EA279CF073}"/>
    <cellStyle name="Note 3 2 7 2 2 3" xfId="25591" xr:uid="{F9700544-5784-45CD-B77E-0A9D3FA165EE}"/>
    <cellStyle name="Note 3 2 7 2 3" xfId="12939" xr:uid="{225DF93F-331F-4C56-871B-8DDD5EE81F09}"/>
    <cellStyle name="Note 3 2 7 2 4" xfId="21374" xr:uid="{E9D43F56-0046-4A01-9488-821F8C5FB339}"/>
    <cellStyle name="Note 3 2 7 3" xfId="6562" xr:uid="{00000000-0005-0000-0000-0000A2210000}"/>
    <cellStyle name="Note 3 2 7 3 2" xfId="15012" xr:uid="{5FD8FCF2-89C9-47B1-BC6D-9614D19F230E}"/>
    <cellStyle name="Note 3 2 7 3 3" xfId="23446" xr:uid="{6BC55818-703D-4BA6-8214-D14EDCBBAB09}"/>
    <cellStyle name="Note 3 2 7 4" xfId="10794" xr:uid="{07E5B7CC-50D4-4569-811C-0E1B9EF52F22}"/>
    <cellStyle name="Note 3 2 7 5" xfId="19229" xr:uid="{305CF69E-B63F-43A2-ADB7-4685E1CAFDC4}"/>
    <cellStyle name="Note 3 2 8" xfId="2692" xr:uid="{00000000-0005-0000-0000-0000A3210000}"/>
    <cellStyle name="Note 3 2 8 2" xfId="6975" xr:uid="{00000000-0005-0000-0000-0000A4210000}"/>
    <cellStyle name="Note 3 2 8 2 2" xfId="15425" xr:uid="{DC1828BE-BF3B-41AE-A6FE-75BE0D80764B}"/>
    <cellStyle name="Note 3 2 8 2 3" xfId="23859" xr:uid="{A6AA0D88-713A-42D1-B9E0-7F0421C107DF}"/>
    <cellStyle name="Note 3 2 8 3" xfId="11207" xr:uid="{A9AFA7C1-EB56-4CFB-AC7E-201D73D198DC}"/>
    <cellStyle name="Note 3 2 8 4" xfId="19642" xr:uid="{C264EE6C-5FA8-495C-BBEC-A038892EFF7C}"/>
    <cellStyle name="Note 3 2 9" xfId="2751" xr:uid="{00000000-0005-0000-0000-0000A5210000}"/>
    <cellStyle name="Note 3 3" xfId="558" xr:uid="{00000000-0005-0000-0000-0000A6210000}"/>
    <cellStyle name="Note 3 3 10" xfId="4914" xr:uid="{00000000-0005-0000-0000-0000A7210000}"/>
    <cellStyle name="Note 3 3 10 2" xfId="13364" xr:uid="{7EC20352-0B95-44A6-A843-6DE86011EC39}"/>
    <cellStyle name="Note 3 3 10 3" xfId="21798" xr:uid="{A1240BB9-B607-462C-8408-74C3D7EFF3BB}"/>
    <cellStyle name="Note 3 3 11" xfId="9146" xr:uid="{DC23E514-8971-4052-9154-0C245462BC81}"/>
    <cellStyle name="Note 3 3 12" xfId="17581" xr:uid="{E75F8342-9698-47AF-8C56-7CF180F4195B}"/>
    <cellStyle name="Note 3 3 2" xfId="559" xr:uid="{00000000-0005-0000-0000-0000A8210000}"/>
    <cellStyle name="Note 3 3 2 10" xfId="9147" xr:uid="{1B685E66-5D80-4691-847B-69B02E6B21F2}"/>
    <cellStyle name="Note 3 3 2 11" xfId="17582" xr:uid="{C7DBF76B-CD8F-4C08-9B4F-CE9DFEE6FB21}"/>
    <cellStyle name="Note 3 3 2 2" xfId="1019" xr:uid="{00000000-0005-0000-0000-0000A9210000}"/>
    <cellStyle name="Note 3 3 2 2 2" xfId="3251" xr:uid="{00000000-0005-0000-0000-0000AA210000}"/>
    <cellStyle name="Note 3 3 2 2 2 2" xfId="7473" xr:uid="{00000000-0005-0000-0000-0000AB210000}"/>
    <cellStyle name="Note 3 3 2 2 2 2 2" xfId="15923" xr:uid="{50C03D51-B510-403C-AF23-02C9A0BEBC18}"/>
    <cellStyle name="Note 3 3 2 2 2 2 3" xfId="24357" xr:uid="{C405CA17-7CD1-48D4-97D4-3E0107CB821E}"/>
    <cellStyle name="Note 3 3 2 2 2 3" xfId="11705" xr:uid="{C680F833-9767-4EC1-928E-756E50D5E92A}"/>
    <cellStyle name="Note 3 3 2 2 2 4" xfId="20140" xr:uid="{B2063E3E-6540-4F95-89F8-203099A6F5FB}"/>
    <cellStyle name="Note 3 3 2 2 3" xfId="5328" xr:uid="{00000000-0005-0000-0000-0000AC210000}"/>
    <cellStyle name="Note 3 3 2 2 3 2" xfId="13778" xr:uid="{0ED7B830-006F-4A62-989A-FA37C898F50A}"/>
    <cellStyle name="Note 3 3 2 2 3 3" xfId="22212" xr:uid="{75775BE4-B2BF-4A25-BD1C-310056CBC88D}"/>
    <cellStyle name="Note 3 3 2 2 4" xfId="9560" xr:uid="{02D6C620-5A59-4C76-B448-D944086DAACC}"/>
    <cellStyle name="Note 3 3 2 2 5" xfId="17995" xr:uid="{4F8FF3C4-8B0A-4247-ACDF-59E83B212911}"/>
    <cellStyle name="Note 3 3 2 3" xfId="1434" xr:uid="{00000000-0005-0000-0000-0000AD210000}"/>
    <cellStyle name="Note 3 3 2 3 2" xfId="3664" xr:uid="{00000000-0005-0000-0000-0000AE210000}"/>
    <cellStyle name="Note 3 3 2 3 2 2" xfId="7886" xr:uid="{00000000-0005-0000-0000-0000AF210000}"/>
    <cellStyle name="Note 3 3 2 3 2 2 2" xfId="16336" xr:uid="{065C6702-CF69-4C16-B7D2-98297B04FA7A}"/>
    <cellStyle name="Note 3 3 2 3 2 2 3" xfId="24770" xr:uid="{A0E4AF2F-0825-4409-89D0-49051D358266}"/>
    <cellStyle name="Note 3 3 2 3 2 3" xfId="12118" xr:uid="{22FEAD57-812D-4FDC-9839-2ECD1D8B6E31}"/>
    <cellStyle name="Note 3 3 2 3 2 4" xfId="20553" xr:uid="{7D8427FD-2C7E-466B-8596-F4D179DE9EDC}"/>
    <cellStyle name="Note 3 3 2 3 3" xfId="5741" xr:uid="{00000000-0005-0000-0000-0000B0210000}"/>
    <cellStyle name="Note 3 3 2 3 3 2" xfId="14191" xr:uid="{7B352059-2773-4E77-8E40-A9E932DF7086}"/>
    <cellStyle name="Note 3 3 2 3 3 3" xfId="22625" xr:uid="{CC55C2AB-005A-4272-90C3-54447B85626D}"/>
    <cellStyle name="Note 3 3 2 3 4" xfId="9973" xr:uid="{E71721C2-4233-4FF9-A4F3-818C66707110}"/>
    <cellStyle name="Note 3 3 2 3 5" xfId="18408" xr:uid="{1946C46F-530C-4100-84EC-861CD2BBB467}"/>
    <cellStyle name="Note 3 3 2 4" xfId="1848" xr:uid="{00000000-0005-0000-0000-0000B1210000}"/>
    <cellStyle name="Note 3 3 2 4 2" xfId="4077" xr:uid="{00000000-0005-0000-0000-0000B2210000}"/>
    <cellStyle name="Note 3 3 2 4 2 2" xfId="8299" xr:uid="{00000000-0005-0000-0000-0000B3210000}"/>
    <cellStyle name="Note 3 3 2 4 2 2 2" xfId="16749" xr:uid="{31472E79-FC22-409D-9A56-52A7BF4848CD}"/>
    <cellStyle name="Note 3 3 2 4 2 2 3" xfId="25183" xr:uid="{CD2CC32D-4091-4F64-82E0-8DBE5BA93A45}"/>
    <cellStyle name="Note 3 3 2 4 2 3" xfId="12531" xr:uid="{24A904DC-5AE2-4CB7-8A94-EB9638B0858B}"/>
    <cellStyle name="Note 3 3 2 4 2 4" xfId="20966" xr:uid="{28A5E6F0-803D-4E50-9F96-A03350977421}"/>
    <cellStyle name="Note 3 3 2 4 3" xfId="6154" xr:uid="{00000000-0005-0000-0000-0000B4210000}"/>
    <cellStyle name="Note 3 3 2 4 3 2" xfId="14604" xr:uid="{630BAECC-3FA1-43BB-A144-2E5C627447B7}"/>
    <cellStyle name="Note 3 3 2 4 3 3" xfId="23038" xr:uid="{4FE20857-78A2-475D-AE2D-B51E2DA955C6}"/>
    <cellStyle name="Note 3 3 2 4 4" xfId="10386" xr:uid="{43466AC9-C42A-4D22-B283-070C93DAB7DD}"/>
    <cellStyle name="Note 3 3 2 4 5" xfId="18821" xr:uid="{6BB0AD86-4536-4774-BDB6-05F716E2BFFD}"/>
    <cellStyle name="Note 3 3 2 5" xfId="2261" xr:uid="{00000000-0005-0000-0000-0000B5210000}"/>
    <cellStyle name="Note 3 3 2 5 2" xfId="4490" xr:uid="{00000000-0005-0000-0000-0000B6210000}"/>
    <cellStyle name="Note 3 3 2 5 2 2" xfId="8712" xr:uid="{00000000-0005-0000-0000-0000B7210000}"/>
    <cellStyle name="Note 3 3 2 5 2 2 2" xfId="17162" xr:uid="{6332871B-058A-4996-B73E-87A97F1BD514}"/>
    <cellStyle name="Note 3 3 2 5 2 2 3" xfId="25596" xr:uid="{E374FE40-CDD5-4E9E-A2E4-F8783F48522A}"/>
    <cellStyle name="Note 3 3 2 5 2 3" xfId="12944" xr:uid="{9993F01C-F50F-44C5-B795-01D5E6D46AC4}"/>
    <cellStyle name="Note 3 3 2 5 2 4" xfId="21379" xr:uid="{CAA55BB6-AC79-4211-AB8B-D49B3E5298F6}"/>
    <cellStyle name="Note 3 3 2 5 3" xfId="6567" xr:uid="{00000000-0005-0000-0000-0000B8210000}"/>
    <cellStyle name="Note 3 3 2 5 3 2" xfId="15017" xr:uid="{D8251EB3-39AC-4F80-A777-6685FB0A0FBF}"/>
    <cellStyle name="Note 3 3 2 5 3 3" xfId="23451" xr:uid="{B22725F3-AF7A-47FD-AF68-4DD0B2394EB4}"/>
    <cellStyle name="Note 3 3 2 5 4" xfId="10799" xr:uid="{657F9EB1-3499-4AB0-B19E-3AE47E22D7A1}"/>
    <cellStyle name="Note 3 3 2 5 5" xfId="19234" xr:uid="{FEC8D08D-9C9B-4103-B1BD-FF9B47957135}"/>
    <cellStyle name="Note 3 3 2 6" xfId="2697" xr:uid="{00000000-0005-0000-0000-0000B9210000}"/>
    <cellStyle name="Note 3 3 2 6 2" xfId="6980" xr:uid="{00000000-0005-0000-0000-0000BA210000}"/>
    <cellStyle name="Note 3 3 2 6 2 2" xfId="15430" xr:uid="{D72E16A8-3122-4044-B7E3-B20736BF2EFA}"/>
    <cellStyle name="Note 3 3 2 6 2 3" xfId="23864" xr:uid="{720D84EE-18F6-4133-B6B6-1A15D0818C34}"/>
    <cellStyle name="Note 3 3 2 6 3" xfId="11212" xr:uid="{F27EC034-DA51-43A5-BAC2-B78427B8EC83}"/>
    <cellStyle name="Note 3 3 2 6 4" xfId="19647" xr:uid="{A5600A73-E1E3-4FEE-AD04-4CD17E1D54A1}"/>
    <cellStyle name="Note 3 3 2 7" xfId="2756" xr:uid="{00000000-0005-0000-0000-0000BB210000}"/>
    <cellStyle name="Note 3 3 2 8" xfId="2837" xr:uid="{00000000-0005-0000-0000-0000BC210000}"/>
    <cellStyle name="Note 3 3 2 8 2" xfId="7060" xr:uid="{00000000-0005-0000-0000-0000BD210000}"/>
    <cellStyle name="Note 3 3 2 8 2 2" xfId="15510" xr:uid="{5C04AC95-8BB4-42E4-8082-33749E19CAA4}"/>
    <cellStyle name="Note 3 3 2 8 2 3" xfId="23944" xr:uid="{AA68749D-12EB-4001-9916-5BD948CC98AE}"/>
    <cellStyle name="Note 3 3 2 8 3" xfId="11292" xr:uid="{F20A6340-A12B-49D2-8CD3-1DB532B44A64}"/>
    <cellStyle name="Note 3 3 2 8 4" xfId="19727" xr:uid="{3B7D0A09-5077-4DF8-A678-C45E1A75B050}"/>
    <cellStyle name="Note 3 3 2 9" xfId="4915" xr:uid="{00000000-0005-0000-0000-0000BE210000}"/>
    <cellStyle name="Note 3 3 2 9 2" xfId="13365" xr:uid="{E07F4EE4-BAC6-4546-8BE4-16CFC0041755}"/>
    <cellStyle name="Note 3 3 2 9 3" xfId="21799" xr:uid="{0C194D4B-3A7B-4490-B24C-275572CFDAFE}"/>
    <cellStyle name="Note 3 3 3" xfId="1018" xr:uid="{00000000-0005-0000-0000-0000BF210000}"/>
    <cellStyle name="Note 3 3 3 2" xfId="3250" xr:uid="{00000000-0005-0000-0000-0000C0210000}"/>
    <cellStyle name="Note 3 3 3 2 2" xfId="7472" xr:uid="{00000000-0005-0000-0000-0000C1210000}"/>
    <cellStyle name="Note 3 3 3 2 2 2" xfId="15922" xr:uid="{C049BFFE-9892-46BA-B7E8-1A37C91807DB}"/>
    <cellStyle name="Note 3 3 3 2 2 3" xfId="24356" xr:uid="{60BC6477-CA6F-4FE1-8C33-5AAB4BA0ACE8}"/>
    <cellStyle name="Note 3 3 3 2 3" xfId="11704" xr:uid="{05068EE3-273E-4130-9081-A6DE48E466AA}"/>
    <cellStyle name="Note 3 3 3 2 4" xfId="20139" xr:uid="{68C8FBAD-554A-4BB5-B1C7-FBEEF48E0387}"/>
    <cellStyle name="Note 3 3 3 3" xfId="5327" xr:uid="{00000000-0005-0000-0000-0000C2210000}"/>
    <cellStyle name="Note 3 3 3 3 2" xfId="13777" xr:uid="{938D5A07-8618-4020-BB0D-BB8E7D3E5D66}"/>
    <cellStyle name="Note 3 3 3 3 3" xfId="22211" xr:uid="{4FC968A0-4A5D-43AF-9FEB-BB58FC9DF6C4}"/>
    <cellStyle name="Note 3 3 3 4" xfId="9559" xr:uid="{51C9633C-214C-49FA-A765-0C2195DCFBF0}"/>
    <cellStyle name="Note 3 3 3 5" xfId="17994" xr:uid="{866E5BD6-7276-486A-B125-2C301117A20E}"/>
    <cellStyle name="Note 3 3 4" xfId="1433" xr:uid="{00000000-0005-0000-0000-0000C3210000}"/>
    <cellStyle name="Note 3 3 4 2" xfId="3663" xr:uid="{00000000-0005-0000-0000-0000C4210000}"/>
    <cellStyle name="Note 3 3 4 2 2" xfId="7885" xr:uid="{00000000-0005-0000-0000-0000C5210000}"/>
    <cellStyle name="Note 3 3 4 2 2 2" xfId="16335" xr:uid="{12E48F15-455B-4F22-A420-BAE0752A8473}"/>
    <cellStyle name="Note 3 3 4 2 2 3" xfId="24769" xr:uid="{34754447-D824-4F04-85A9-594D307CFAC8}"/>
    <cellStyle name="Note 3 3 4 2 3" xfId="12117" xr:uid="{7D384271-2841-4603-AB7D-E857599FF3E7}"/>
    <cellStyle name="Note 3 3 4 2 4" xfId="20552" xr:uid="{A56CC7F8-A153-4FE0-B746-619D3909F4EE}"/>
    <cellStyle name="Note 3 3 4 3" xfId="5740" xr:uid="{00000000-0005-0000-0000-0000C6210000}"/>
    <cellStyle name="Note 3 3 4 3 2" xfId="14190" xr:uid="{DD9FE412-2793-42F0-AAEE-B906CC46CDB5}"/>
    <cellStyle name="Note 3 3 4 3 3" xfId="22624" xr:uid="{7196C70C-2CEC-487D-A27C-4A427E435BC3}"/>
    <cellStyle name="Note 3 3 4 4" xfId="9972" xr:uid="{1886D1FB-0552-45E9-89AA-863654A53A43}"/>
    <cellStyle name="Note 3 3 4 5" xfId="18407" xr:uid="{78750955-39E6-43E1-B18D-F0A901024386}"/>
    <cellStyle name="Note 3 3 5" xfId="1847" xr:uid="{00000000-0005-0000-0000-0000C7210000}"/>
    <cellStyle name="Note 3 3 5 2" xfId="4076" xr:uid="{00000000-0005-0000-0000-0000C8210000}"/>
    <cellStyle name="Note 3 3 5 2 2" xfId="8298" xr:uid="{00000000-0005-0000-0000-0000C9210000}"/>
    <cellStyle name="Note 3 3 5 2 2 2" xfId="16748" xr:uid="{F926B2D3-80EC-4889-A094-CAD5473E0C0B}"/>
    <cellStyle name="Note 3 3 5 2 2 3" xfId="25182" xr:uid="{4E0FF51E-F3C3-40F0-B5EF-EABAA2E15E11}"/>
    <cellStyle name="Note 3 3 5 2 3" xfId="12530" xr:uid="{5ABCD16D-2485-4143-8AD6-D49ED94DA35A}"/>
    <cellStyle name="Note 3 3 5 2 4" xfId="20965" xr:uid="{6F3F1026-795E-4ECE-84C8-4DA0973C1F15}"/>
    <cellStyle name="Note 3 3 5 3" xfId="6153" xr:uid="{00000000-0005-0000-0000-0000CA210000}"/>
    <cellStyle name="Note 3 3 5 3 2" xfId="14603" xr:uid="{83FF3A9E-71CA-4E16-94EE-43BB2D89E5A7}"/>
    <cellStyle name="Note 3 3 5 3 3" xfId="23037" xr:uid="{A8F2F50F-B4E6-44D5-B6F2-E1254C1F2A84}"/>
    <cellStyle name="Note 3 3 5 4" xfId="10385" xr:uid="{7734B04A-AD97-4B0F-80DF-432BD081C755}"/>
    <cellStyle name="Note 3 3 5 5" xfId="18820" xr:uid="{B20DE368-DCE4-4ABD-8B6C-973C30CC00D3}"/>
    <cellStyle name="Note 3 3 6" xfId="2260" xr:uid="{00000000-0005-0000-0000-0000CB210000}"/>
    <cellStyle name="Note 3 3 6 2" xfId="4489" xr:uid="{00000000-0005-0000-0000-0000CC210000}"/>
    <cellStyle name="Note 3 3 6 2 2" xfId="8711" xr:uid="{00000000-0005-0000-0000-0000CD210000}"/>
    <cellStyle name="Note 3 3 6 2 2 2" xfId="17161" xr:uid="{E2220AE5-E8A5-4821-A29E-30826DFFCD29}"/>
    <cellStyle name="Note 3 3 6 2 2 3" xfId="25595" xr:uid="{FFA7D4CF-F6B3-4C93-A99A-B3D49B68C523}"/>
    <cellStyle name="Note 3 3 6 2 3" xfId="12943" xr:uid="{BEF3C36D-277F-4901-825B-F66164F37BB8}"/>
    <cellStyle name="Note 3 3 6 2 4" xfId="21378" xr:uid="{06FB9E69-0F9F-477C-BD59-BE4674A3E397}"/>
    <cellStyle name="Note 3 3 6 3" xfId="6566" xr:uid="{00000000-0005-0000-0000-0000CE210000}"/>
    <cellStyle name="Note 3 3 6 3 2" xfId="15016" xr:uid="{BF43413D-19FC-42F7-B6AD-07C89358E3E6}"/>
    <cellStyle name="Note 3 3 6 3 3" xfId="23450" xr:uid="{F03E9D2A-D8AA-4597-8D36-3F0149642EE3}"/>
    <cellStyle name="Note 3 3 6 4" xfId="10798" xr:uid="{1D0E2EE7-C8EB-40DC-BFC0-0DCBBDCA33FD}"/>
    <cellStyle name="Note 3 3 6 5" xfId="19233" xr:uid="{026C2EEB-56E5-4E7C-91B2-4B82ADAE03E4}"/>
    <cellStyle name="Note 3 3 7" xfId="2696" xr:uid="{00000000-0005-0000-0000-0000CF210000}"/>
    <cellStyle name="Note 3 3 7 2" xfId="6979" xr:uid="{00000000-0005-0000-0000-0000D0210000}"/>
    <cellStyle name="Note 3 3 7 2 2" xfId="15429" xr:uid="{E3581349-2218-4F1F-B922-400BEA7EF48A}"/>
    <cellStyle name="Note 3 3 7 2 3" xfId="23863" xr:uid="{8B97088C-309C-4666-8EF3-B26EF52CB702}"/>
    <cellStyle name="Note 3 3 7 3" xfId="11211" xr:uid="{69DE5171-D652-45A2-A3D7-7AE2CF154DF2}"/>
    <cellStyle name="Note 3 3 7 4" xfId="19646" xr:uid="{86998D3E-4ACB-4F57-ADC2-FB972866F8E2}"/>
    <cellStyle name="Note 3 3 8" xfId="2755" xr:uid="{00000000-0005-0000-0000-0000D1210000}"/>
    <cellStyle name="Note 3 3 9" xfId="2836" xr:uid="{00000000-0005-0000-0000-0000D2210000}"/>
    <cellStyle name="Note 3 3 9 2" xfId="7059" xr:uid="{00000000-0005-0000-0000-0000D3210000}"/>
    <cellStyle name="Note 3 3 9 2 2" xfId="15509" xr:uid="{3895A2F1-7614-4FD4-B9BA-24D417077073}"/>
    <cellStyle name="Note 3 3 9 2 3" xfId="23943" xr:uid="{99BEF273-484C-4BE3-979C-9F717A7759FC}"/>
    <cellStyle name="Note 3 3 9 3" xfId="11291" xr:uid="{1F3A908B-8C8F-4CE4-A6BF-F1A258A80DBF}"/>
    <cellStyle name="Note 3 3 9 4" xfId="19726" xr:uid="{A5F56520-1188-49AA-AC4E-E5A719BC5A4D}"/>
    <cellStyle name="Note 3 4" xfId="560" xr:uid="{00000000-0005-0000-0000-0000D4210000}"/>
    <cellStyle name="Note 3 4 10" xfId="9148" xr:uid="{FC7585B8-48EE-4B24-A873-55A7B8DAC545}"/>
    <cellStyle name="Note 3 4 11" xfId="17583" xr:uid="{0CE7A187-58B2-4E97-978D-8432F44DEC12}"/>
    <cellStyle name="Note 3 4 2" xfId="1020" xr:uid="{00000000-0005-0000-0000-0000D5210000}"/>
    <cellStyle name="Note 3 4 2 2" xfId="3252" xr:uid="{00000000-0005-0000-0000-0000D6210000}"/>
    <cellStyle name="Note 3 4 2 2 2" xfId="7474" xr:uid="{00000000-0005-0000-0000-0000D7210000}"/>
    <cellStyle name="Note 3 4 2 2 2 2" xfId="15924" xr:uid="{5AD0BB48-7A22-4D8B-8CDA-B106D7233878}"/>
    <cellStyle name="Note 3 4 2 2 2 3" xfId="24358" xr:uid="{5A2F39A4-3F27-4C53-BF24-3C3918A684B7}"/>
    <cellStyle name="Note 3 4 2 2 3" xfId="11706" xr:uid="{2125647F-0FB1-47D9-A5F5-1A47A37C6129}"/>
    <cellStyle name="Note 3 4 2 2 4" xfId="20141" xr:uid="{8F49A5FE-280C-4283-BD85-E33A8FD64C94}"/>
    <cellStyle name="Note 3 4 2 3" xfId="5329" xr:uid="{00000000-0005-0000-0000-0000D8210000}"/>
    <cellStyle name="Note 3 4 2 3 2" xfId="13779" xr:uid="{3B49EC33-067E-42FA-BDDD-1C0F77908129}"/>
    <cellStyle name="Note 3 4 2 3 3" xfId="22213" xr:uid="{C94774F5-7E5C-42DF-99C4-DA9B3CFE34C2}"/>
    <cellStyle name="Note 3 4 2 4" xfId="9561" xr:uid="{3CD7F1AF-17FC-47AC-BEA9-853CC66A4864}"/>
    <cellStyle name="Note 3 4 2 5" xfId="17996" xr:uid="{6B341ABD-B740-40DC-8568-2302F312EB9B}"/>
    <cellStyle name="Note 3 4 3" xfId="1435" xr:uid="{00000000-0005-0000-0000-0000D9210000}"/>
    <cellStyle name="Note 3 4 3 2" xfId="3665" xr:uid="{00000000-0005-0000-0000-0000DA210000}"/>
    <cellStyle name="Note 3 4 3 2 2" xfId="7887" xr:uid="{00000000-0005-0000-0000-0000DB210000}"/>
    <cellStyle name="Note 3 4 3 2 2 2" xfId="16337" xr:uid="{A50D1DE3-138C-4F55-AA91-8A60C11F671E}"/>
    <cellStyle name="Note 3 4 3 2 2 3" xfId="24771" xr:uid="{26EAABA7-11DC-4BEE-A1C7-D46C85B999A9}"/>
    <cellStyle name="Note 3 4 3 2 3" xfId="12119" xr:uid="{2F635AE4-AB56-4518-8713-3D43DDDCC266}"/>
    <cellStyle name="Note 3 4 3 2 4" xfId="20554" xr:uid="{0A5ACB63-72AE-4913-89C5-A2135A37D7B3}"/>
    <cellStyle name="Note 3 4 3 3" xfId="5742" xr:uid="{00000000-0005-0000-0000-0000DC210000}"/>
    <cellStyle name="Note 3 4 3 3 2" xfId="14192" xr:uid="{CC78AF46-2B5A-4DDF-BC1D-A020F9496E8B}"/>
    <cellStyle name="Note 3 4 3 3 3" xfId="22626" xr:uid="{74D86D96-50E0-45F0-8669-B3381BB690C4}"/>
    <cellStyle name="Note 3 4 3 4" xfId="9974" xr:uid="{E122F13A-797E-4D5B-A841-2D9593420D7C}"/>
    <cellStyle name="Note 3 4 3 5" xfId="18409" xr:uid="{804B1DC9-634A-4288-9FBC-566F775CF4AC}"/>
    <cellStyle name="Note 3 4 4" xfId="1849" xr:uid="{00000000-0005-0000-0000-0000DD210000}"/>
    <cellStyle name="Note 3 4 4 2" xfId="4078" xr:uid="{00000000-0005-0000-0000-0000DE210000}"/>
    <cellStyle name="Note 3 4 4 2 2" xfId="8300" xr:uid="{00000000-0005-0000-0000-0000DF210000}"/>
    <cellStyle name="Note 3 4 4 2 2 2" xfId="16750" xr:uid="{5F13F3E7-9BAB-4065-AA48-48C93A7D524D}"/>
    <cellStyle name="Note 3 4 4 2 2 3" xfId="25184" xr:uid="{953ED6A7-4416-4C59-A83B-381EAC4BF793}"/>
    <cellStyle name="Note 3 4 4 2 3" xfId="12532" xr:uid="{A7684095-DD8D-42F7-94B8-64613BE79B90}"/>
    <cellStyle name="Note 3 4 4 2 4" xfId="20967" xr:uid="{A054AB24-1205-4FA3-BFD0-D103EF3B8BA9}"/>
    <cellStyle name="Note 3 4 4 3" xfId="6155" xr:uid="{00000000-0005-0000-0000-0000E0210000}"/>
    <cellStyle name="Note 3 4 4 3 2" xfId="14605" xr:uid="{1B63742C-AF26-4D71-85AA-3274EB565625}"/>
    <cellStyle name="Note 3 4 4 3 3" xfId="23039" xr:uid="{5980A66D-9570-4407-86B7-68D453F86192}"/>
    <cellStyle name="Note 3 4 4 4" xfId="10387" xr:uid="{72444CFF-4B0D-4AEB-B9BE-A628EF80EE75}"/>
    <cellStyle name="Note 3 4 4 5" xfId="18822" xr:uid="{9E4FE981-87F4-4C98-9304-B3618483B154}"/>
    <cellStyle name="Note 3 4 5" xfId="2262" xr:uid="{00000000-0005-0000-0000-0000E1210000}"/>
    <cellStyle name="Note 3 4 5 2" xfId="4491" xr:uid="{00000000-0005-0000-0000-0000E2210000}"/>
    <cellStyle name="Note 3 4 5 2 2" xfId="8713" xr:uid="{00000000-0005-0000-0000-0000E3210000}"/>
    <cellStyle name="Note 3 4 5 2 2 2" xfId="17163" xr:uid="{040F73C2-5153-4F5F-BAA5-C201DF7992B8}"/>
    <cellStyle name="Note 3 4 5 2 2 3" xfId="25597" xr:uid="{7B82E8CF-8C41-41F5-B8E4-4A96E43835CA}"/>
    <cellStyle name="Note 3 4 5 2 3" xfId="12945" xr:uid="{E36157EE-4D8D-4D14-9B7A-94DDA91C53D6}"/>
    <cellStyle name="Note 3 4 5 2 4" xfId="21380" xr:uid="{33F468A4-C0A7-4600-8381-48F535875512}"/>
    <cellStyle name="Note 3 4 5 3" xfId="6568" xr:uid="{00000000-0005-0000-0000-0000E4210000}"/>
    <cellStyle name="Note 3 4 5 3 2" xfId="15018" xr:uid="{ADCD5C7A-23B2-4B34-BC58-09D0125405F5}"/>
    <cellStyle name="Note 3 4 5 3 3" xfId="23452" xr:uid="{332F94D2-F7CA-4544-B840-AF955773EEED}"/>
    <cellStyle name="Note 3 4 5 4" xfId="10800" xr:uid="{48E8DA83-ED72-4941-84A4-A6477A7DACBA}"/>
    <cellStyle name="Note 3 4 5 5" xfId="19235" xr:uid="{8939744B-75AF-4BC4-A111-41196FFE0F9E}"/>
    <cellStyle name="Note 3 4 6" xfId="2698" xr:uid="{00000000-0005-0000-0000-0000E5210000}"/>
    <cellStyle name="Note 3 4 6 2" xfId="6981" xr:uid="{00000000-0005-0000-0000-0000E6210000}"/>
    <cellStyle name="Note 3 4 6 2 2" xfId="15431" xr:uid="{F0202434-7848-418D-846A-00B1F1240B40}"/>
    <cellStyle name="Note 3 4 6 2 3" xfId="23865" xr:uid="{4EBFC6B6-234F-4866-9AC5-60E266D491DC}"/>
    <cellStyle name="Note 3 4 6 3" xfId="11213" xr:uid="{07F98565-16D2-462F-A1E0-5063A8960A47}"/>
    <cellStyle name="Note 3 4 6 4" xfId="19648" xr:uid="{68194C66-AB44-4801-B9FF-6ACE0E13B0A5}"/>
    <cellStyle name="Note 3 4 7" xfId="2757" xr:uid="{00000000-0005-0000-0000-0000E7210000}"/>
    <cellStyle name="Note 3 4 8" xfId="2838" xr:uid="{00000000-0005-0000-0000-0000E8210000}"/>
    <cellStyle name="Note 3 4 8 2" xfId="7061" xr:uid="{00000000-0005-0000-0000-0000E9210000}"/>
    <cellStyle name="Note 3 4 8 2 2" xfId="15511" xr:uid="{23CC6B10-2E54-41E9-981E-E07090CE7666}"/>
    <cellStyle name="Note 3 4 8 2 3" xfId="23945" xr:uid="{223BE94B-286D-49A3-98CC-BA7CF10E22CB}"/>
    <cellStyle name="Note 3 4 8 3" xfId="11293" xr:uid="{E1AEE493-0A17-4FF3-BE55-64203453B057}"/>
    <cellStyle name="Note 3 4 8 4" xfId="19728" xr:uid="{ACF50F9A-F3FF-42A2-84E9-33884E39DF39}"/>
    <cellStyle name="Note 3 4 9" xfId="4916" xr:uid="{00000000-0005-0000-0000-0000EA210000}"/>
    <cellStyle name="Note 3 4 9 2" xfId="13366" xr:uid="{88417689-EACA-47B8-829E-FB6CE1DA778D}"/>
    <cellStyle name="Note 3 4 9 3" xfId="21800" xr:uid="{B79B80CB-50A7-485A-B45A-9A58B8040A0C}"/>
    <cellStyle name="Note 3 5" xfId="561" xr:uid="{00000000-0005-0000-0000-0000EB210000}"/>
    <cellStyle name="Note 3 5 10" xfId="9149" xr:uid="{BDE1007D-7C13-43CE-89C1-26DE2B6D5AB2}"/>
    <cellStyle name="Note 3 5 11" xfId="17584" xr:uid="{874342DB-A162-49CA-BF2A-6D6AD4BC77E1}"/>
    <cellStyle name="Note 3 5 2" xfId="1021" xr:uid="{00000000-0005-0000-0000-0000EC210000}"/>
    <cellStyle name="Note 3 5 2 2" xfId="3253" xr:uid="{00000000-0005-0000-0000-0000ED210000}"/>
    <cellStyle name="Note 3 5 2 2 2" xfId="7475" xr:uid="{00000000-0005-0000-0000-0000EE210000}"/>
    <cellStyle name="Note 3 5 2 2 2 2" xfId="15925" xr:uid="{84D946A5-9D26-4CEA-ACAC-030387335731}"/>
    <cellStyle name="Note 3 5 2 2 2 3" xfId="24359" xr:uid="{3AF3690E-7701-4649-97D8-29D342CFABBE}"/>
    <cellStyle name="Note 3 5 2 2 3" xfId="11707" xr:uid="{8761B940-4CEB-44C9-AB98-1492A358D34D}"/>
    <cellStyle name="Note 3 5 2 2 4" xfId="20142" xr:uid="{96EB731A-0E22-4035-9BDC-44E26D8378D3}"/>
    <cellStyle name="Note 3 5 2 3" xfId="5330" xr:uid="{00000000-0005-0000-0000-0000EF210000}"/>
    <cellStyle name="Note 3 5 2 3 2" xfId="13780" xr:uid="{E2B3525B-68BB-4945-A3CB-99FCBBAB6CC1}"/>
    <cellStyle name="Note 3 5 2 3 3" xfId="22214" xr:uid="{4E76A414-1ABD-4755-AEE2-8B56D0B5FC32}"/>
    <cellStyle name="Note 3 5 2 4" xfId="9562" xr:uid="{1900A4C5-0937-4E6E-82E7-C3A84B5D8E77}"/>
    <cellStyle name="Note 3 5 2 5" xfId="17997" xr:uid="{19F363F5-8531-4B7B-8B86-515AA6128C94}"/>
    <cellStyle name="Note 3 5 3" xfId="1436" xr:uid="{00000000-0005-0000-0000-0000F0210000}"/>
    <cellStyle name="Note 3 5 3 2" xfId="3666" xr:uid="{00000000-0005-0000-0000-0000F1210000}"/>
    <cellStyle name="Note 3 5 3 2 2" xfId="7888" xr:uid="{00000000-0005-0000-0000-0000F2210000}"/>
    <cellStyle name="Note 3 5 3 2 2 2" xfId="16338" xr:uid="{99E7F146-55DE-4944-BAF7-85638AD6975E}"/>
    <cellStyle name="Note 3 5 3 2 2 3" xfId="24772" xr:uid="{581DB259-C2C5-4232-9201-4172FAB74484}"/>
    <cellStyle name="Note 3 5 3 2 3" xfId="12120" xr:uid="{BE020D94-05F0-4434-9F72-7D0919827E7E}"/>
    <cellStyle name="Note 3 5 3 2 4" xfId="20555" xr:uid="{66D45EA1-62D7-45A6-93CD-134BC501F477}"/>
    <cellStyle name="Note 3 5 3 3" xfId="5743" xr:uid="{00000000-0005-0000-0000-0000F3210000}"/>
    <cellStyle name="Note 3 5 3 3 2" xfId="14193" xr:uid="{7B71EAC2-9556-42D6-9B27-E4B0E62D3D20}"/>
    <cellStyle name="Note 3 5 3 3 3" xfId="22627" xr:uid="{2B616D50-AEAC-42A1-A197-5C4DE7E40D1C}"/>
    <cellStyle name="Note 3 5 3 4" xfId="9975" xr:uid="{67B4EF99-9B19-45AE-93AE-523E2034696A}"/>
    <cellStyle name="Note 3 5 3 5" xfId="18410" xr:uid="{BC6B1828-0609-49D4-A86C-A69B2B100797}"/>
    <cellStyle name="Note 3 5 4" xfId="1850" xr:uid="{00000000-0005-0000-0000-0000F4210000}"/>
    <cellStyle name="Note 3 5 4 2" xfId="4079" xr:uid="{00000000-0005-0000-0000-0000F5210000}"/>
    <cellStyle name="Note 3 5 4 2 2" xfId="8301" xr:uid="{00000000-0005-0000-0000-0000F6210000}"/>
    <cellStyle name="Note 3 5 4 2 2 2" xfId="16751" xr:uid="{C4D07974-7A98-4C74-BA31-41A177F252BE}"/>
    <cellStyle name="Note 3 5 4 2 2 3" xfId="25185" xr:uid="{0DE1567D-2A12-4A37-9596-598434B526DD}"/>
    <cellStyle name="Note 3 5 4 2 3" xfId="12533" xr:uid="{60B2B8ED-8AB1-42C2-8CC5-EC00964AAF0A}"/>
    <cellStyle name="Note 3 5 4 2 4" xfId="20968" xr:uid="{0E61DC9D-887B-4B9C-A36F-1DA3964C2EE4}"/>
    <cellStyle name="Note 3 5 4 3" xfId="6156" xr:uid="{00000000-0005-0000-0000-0000F7210000}"/>
    <cellStyle name="Note 3 5 4 3 2" xfId="14606" xr:uid="{097E2364-3911-4D07-8490-76478702697E}"/>
    <cellStyle name="Note 3 5 4 3 3" xfId="23040" xr:uid="{6D0E94B0-046F-4FF8-AD21-D3E6EDA394B4}"/>
    <cellStyle name="Note 3 5 4 4" xfId="10388" xr:uid="{6B0A9C39-4E50-40B5-82F9-989127BE8E3E}"/>
    <cellStyle name="Note 3 5 4 5" xfId="18823" xr:uid="{54E75732-2500-4F90-B4DD-52358F79D46A}"/>
    <cellStyle name="Note 3 5 5" xfId="2263" xr:uid="{00000000-0005-0000-0000-0000F8210000}"/>
    <cellStyle name="Note 3 5 5 2" xfId="4492" xr:uid="{00000000-0005-0000-0000-0000F9210000}"/>
    <cellStyle name="Note 3 5 5 2 2" xfId="8714" xr:uid="{00000000-0005-0000-0000-0000FA210000}"/>
    <cellStyle name="Note 3 5 5 2 2 2" xfId="17164" xr:uid="{2CBC9078-D66D-4BD6-96F1-505044755F1E}"/>
    <cellStyle name="Note 3 5 5 2 2 3" xfId="25598" xr:uid="{F59BC425-F9AB-4744-BE86-E5853782FE99}"/>
    <cellStyle name="Note 3 5 5 2 3" xfId="12946" xr:uid="{FA8C41B3-6DFD-44D6-B82A-E72F43610D10}"/>
    <cellStyle name="Note 3 5 5 2 4" xfId="21381" xr:uid="{AA42E295-DEAF-412E-882D-5D82F3A73E59}"/>
    <cellStyle name="Note 3 5 5 3" xfId="6569" xr:uid="{00000000-0005-0000-0000-0000FB210000}"/>
    <cellStyle name="Note 3 5 5 3 2" xfId="15019" xr:uid="{2C3A9BD1-B4E5-4145-9CA0-137949E4D2F8}"/>
    <cellStyle name="Note 3 5 5 3 3" xfId="23453" xr:uid="{E558E4AF-E7D1-4E2B-9D3A-B7691D864D34}"/>
    <cellStyle name="Note 3 5 5 4" xfId="10801" xr:uid="{34AC1645-2906-41E9-8304-F9FEE27AE869}"/>
    <cellStyle name="Note 3 5 5 5" xfId="19236" xr:uid="{759751E3-4746-48D8-BCAD-FE15F4095127}"/>
    <cellStyle name="Note 3 5 6" xfId="2699" xr:uid="{00000000-0005-0000-0000-0000FC210000}"/>
    <cellStyle name="Note 3 5 6 2" xfId="6982" xr:uid="{00000000-0005-0000-0000-0000FD210000}"/>
    <cellStyle name="Note 3 5 6 2 2" xfId="15432" xr:uid="{D1E710CF-B299-48A1-96EB-91C2EA499096}"/>
    <cellStyle name="Note 3 5 6 2 3" xfId="23866" xr:uid="{D956A77F-978C-4CFE-AB3D-4FC5C744E906}"/>
    <cellStyle name="Note 3 5 6 3" xfId="11214" xr:uid="{FEE06721-D3D7-4753-8435-A363A23B2F9B}"/>
    <cellStyle name="Note 3 5 6 4" xfId="19649" xr:uid="{9510AE90-4B20-4A6F-B7F6-916659B40FC7}"/>
    <cellStyle name="Note 3 5 7" xfId="2758" xr:uid="{00000000-0005-0000-0000-0000FE210000}"/>
    <cellStyle name="Note 3 5 8" xfId="2839" xr:uid="{00000000-0005-0000-0000-0000FF210000}"/>
    <cellStyle name="Note 3 5 8 2" xfId="7062" xr:uid="{00000000-0005-0000-0000-000000220000}"/>
    <cellStyle name="Note 3 5 8 2 2" xfId="15512" xr:uid="{EFC49B9C-00DB-47B2-8B13-962D1F022B20}"/>
    <cellStyle name="Note 3 5 8 2 3" xfId="23946" xr:uid="{C0214987-6F54-4122-9028-414335B84830}"/>
    <cellStyle name="Note 3 5 8 3" xfId="11294" xr:uid="{25085998-595D-4255-8EE4-249065096B98}"/>
    <cellStyle name="Note 3 5 8 4" xfId="19729" xr:uid="{FDC81A66-AF48-4A1E-9C39-FB01813018E1}"/>
    <cellStyle name="Note 3 5 9" xfId="4917" xr:uid="{00000000-0005-0000-0000-000001220000}"/>
    <cellStyle name="Note 3 5 9 2" xfId="13367" xr:uid="{F917E885-0139-4463-BCF4-A7A9C16009F4}"/>
    <cellStyle name="Note 3 5 9 3" xfId="21801" xr:uid="{6A7CA91C-79C1-4B0E-9954-C53019644E5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B40A2FDC-6B26-4174-97DF-EC99113D4CDB}"/>
    <cellStyle name="Percent 3 3" xfId="21384" xr:uid="{F9021AF6-6AAA-4839-A417-042268B2015C}"/>
    <cellStyle name="Percent 4" xfId="4502" xr:uid="{00000000-0005-0000-0000-000007220000}"/>
    <cellStyle name="Percent 4 2" xfId="8717" xr:uid="{00000000-0005-0000-0000-000008220000}"/>
    <cellStyle name="Percent 4 2 2" xfId="17167" xr:uid="{02FA1582-C418-4473-A6BF-2B491CB69A4A}"/>
    <cellStyle name="Percent 4 2 3" xfId="25601" xr:uid="{49499BC3-12AF-448A-B941-07EB634FBFCF}"/>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3" xfId="17170" xr:uid="{221C15BA-AF7E-4774-A283-4FEC6FB97DB6}"/>
    <cellStyle name="Percent 4 3 4" xfId="25604" xr:uid="{BB73C4E1-F1F3-4F91-8D9B-79766D387D15}"/>
    <cellStyle name="Percent 4 4" xfId="12953" xr:uid="{CE4CD12D-9345-45BC-874C-F3F91AB25EF8}"/>
    <cellStyle name="Percent 4 5" xfId="21387" xr:uid="{50253105-677D-42D9-B128-C5123051E80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Oak%20Hill\Oak%20Hill%209-3-25%20bond%20app.xls" TargetMode="External"/><Relationship Id="rId1" Type="http://schemas.openxmlformats.org/officeDocument/2006/relationships/externalLinkPath" Target="/Users/Diana%20Downton/Box/Diana%20Downton/Diana%20Downton/Eden%20-%20Oak%20Hill/Oak%20Hill%209-3-25%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s>
    <sheetDataSet>
      <sheetData sheetId="0"/>
      <sheetData sheetId="1">
        <row r="4">
          <cell r="F4">
            <v>6.25E-2</v>
          </cell>
        </row>
        <row r="9">
          <cell r="C9">
            <v>600000</v>
          </cell>
        </row>
        <row r="10">
          <cell r="C10">
            <v>41999143</v>
          </cell>
        </row>
        <row r="12">
          <cell r="C12">
            <v>1900000</v>
          </cell>
        </row>
        <row r="21">
          <cell r="H21">
            <v>6.25E-2</v>
          </cell>
        </row>
        <row r="22">
          <cell r="H22">
            <v>6.7500000000000004E-2</v>
          </cell>
        </row>
        <row r="26">
          <cell r="U26">
            <v>12420</v>
          </cell>
        </row>
        <row r="29">
          <cell r="I29">
            <v>0.29699999999999999</v>
          </cell>
          <cell r="R29">
            <v>5.7800243986046412E-2</v>
          </cell>
        </row>
        <row r="48">
          <cell r="I48">
            <v>1000000</v>
          </cell>
        </row>
        <row r="49">
          <cell r="I49">
            <v>800000</v>
          </cell>
          <cell r="U49">
            <v>11300</v>
          </cell>
        </row>
        <row r="50">
          <cell r="I50">
            <v>1600000</v>
          </cell>
          <cell r="U50">
            <v>4636.5</v>
          </cell>
        </row>
        <row r="51">
          <cell r="I51">
            <v>2144474</v>
          </cell>
        </row>
        <row r="52">
          <cell r="I52">
            <v>476896</v>
          </cell>
        </row>
        <row r="61">
          <cell r="U61">
            <v>57500</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8" workbookViewId="0">
      <selection activeCell="I62" sqref="I6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2" t="s">
        <v>1586</v>
      </c>
      <c r="B1" s="2672"/>
      <c r="C1" s="2672"/>
      <c r="D1" s="2672"/>
      <c r="E1" s="2672"/>
      <c r="F1" s="2672"/>
      <c r="G1" s="2672"/>
      <c r="H1" s="2672"/>
      <c r="I1" s="2672"/>
      <c r="J1" s="2672"/>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44937430</v>
      </c>
      <c r="I3" s="1105"/>
    </row>
    <row r="4" spans="1:13" s="1051" customFormat="1" ht="20.100000000000001" customHeight="1">
      <c r="B4" s="1094"/>
      <c r="D4" s="1108"/>
      <c r="F4" s="1092" t="s">
        <v>1992</v>
      </c>
      <c r="G4" s="1091" t="s">
        <v>1991</v>
      </c>
      <c r="H4" s="1093">
        <f>I18</f>
        <v>30701491.247333929</v>
      </c>
      <c r="I4" s="1095"/>
      <c r="K4" s="1055"/>
    </row>
    <row r="5" spans="1:13" s="1051" customFormat="1" ht="20.100000000000001" customHeight="1" thickBot="1">
      <c r="B5" s="1096"/>
      <c r="C5" s="1097"/>
      <c r="D5" s="1109"/>
      <c r="E5" s="1098"/>
      <c r="F5" s="1109" t="s">
        <v>1942</v>
      </c>
      <c r="G5" s="1110"/>
      <c r="H5" s="1106">
        <f>IFERROR(H3/H4,0)</f>
        <v>1.4636888364144949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1940</v>
      </c>
      <c r="C8" s="2676"/>
      <c r="D8" s="2676"/>
      <c r="E8" s="2677"/>
      <c r="G8" s="2652" t="s">
        <v>1941</v>
      </c>
      <c r="H8" s="2653"/>
      <c r="I8" s="2654"/>
      <c r="K8" s="1057"/>
    </row>
    <row r="9" spans="1:13" ht="15" customHeight="1">
      <c r="A9" s="1046"/>
      <c r="B9" s="2673" t="s">
        <v>1974</v>
      </c>
      <c r="C9" s="2673"/>
      <c r="D9" s="2673"/>
      <c r="E9" s="1059">
        <f>G33</f>
        <v>6612500</v>
      </c>
      <c r="G9" s="2665" t="s">
        <v>1972</v>
      </c>
      <c r="H9" s="2665"/>
      <c r="I9" s="1060">
        <f>SUMIF(Application!M554:M565,"Loan, Tax-Exempt",Application!AM554:AM565)</f>
        <v>30826728.666459981</v>
      </c>
      <c r="K9" s="1061"/>
      <c r="M9" s="1062"/>
    </row>
    <row r="10" spans="1:13" ht="15" customHeight="1" thickBot="1">
      <c r="A10" s="1046"/>
      <c r="B10" s="2673" t="s">
        <v>1975</v>
      </c>
      <c r="C10" s="2673"/>
      <c r="D10" s="2673"/>
      <c r="E10" s="1060">
        <f>G47</f>
        <v>26478180.000000004</v>
      </c>
      <c r="G10" s="2679" t="s">
        <v>1943</v>
      </c>
      <c r="H10" s="2679"/>
      <c r="I10" s="1140">
        <f>'Basis &amp; Credits'!AB78</f>
        <v>8679816</v>
      </c>
      <c r="M10" s="1062"/>
    </row>
    <row r="11" spans="1:13" ht="15" customHeight="1">
      <c r="A11" s="1046"/>
      <c r="B11" s="2666" t="s">
        <v>2263</v>
      </c>
      <c r="C11" s="2667"/>
      <c r="D11" s="2668"/>
      <c r="E11" s="1060">
        <f>SUM(E12,E13)</f>
        <v>870000</v>
      </c>
      <c r="G11" s="2664" t="s">
        <v>1983</v>
      </c>
      <c r="H11" s="2664"/>
      <c r="I11" s="1139">
        <f>I9+I10</f>
        <v>39506544.666459978</v>
      </c>
      <c r="M11" s="1062"/>
    </row>
    <row r="12" spans="1:13" ht="15" customHeight="1">
      <c r="A12" s="1063"/>
      <c r="B12" s="2674" t="s">
        <v>2265</v>
      </c>
      <c r="C12" s="2674"/>
      <c r="D12" s="2674"/>
      <c r="E12" s="1165">
        <f>G56</f>
        <v>290000</v>
      </c>
      <c r="M12" s="1062"/>
    </row>
    <row r="13" spans="1:13" ht="15" customHeight="1">
      <c r="A13" s="1049"/>
      <c r="B13" s="2674" t="s">
        <v>2266</v>
      </c>
      <c r="C13" s="2674"/>
      <c r="D13" s="2674"/>
      <c r="E13" s="1165">
        <f>G65</f>
        <v>580000</v>
      </c>
      <c r="G13" s="2652" t="s">
        <v>2006</v>
      </c>
      <c r="H13" s="2653"/>
      <c r="I13" s="2654"/>
      <c r="M13" s="1062"/>
    </row>
    <row r="14" spans="1:13" ht="15" customHeight="1">
      <c r="A14" s="1049"/>
      <c r="B14" s="2666" t="s">
        <v>2264</v>
      </c>
      <c r="C14" s="2667"/>
      <c r="D14" s="2668"/>
      <c r="E14" s="1167">
        <f>MAX(E15,E16)+E17</f>
        <v>10976750</v>
      </c>
      <c r="G14" s="2665" t="s">
        <v>139</v>
      </c>
      <c r="H14" s="2665"/>
      <c r="I14" s="1064">
        <f>15%*(AND(G120="Yes",G122&lt;&gt;""))</f>
        <v>0.15</v>
      </c>
      <c r="M14" s="1062"/>
    </row>
    <row r="15" spans="1:13" ht="15" customHeight="1">
      <c r="A15" s="1049"/>
      <c r="B15" s="2649" t="s">
        <v>2270</v>
      </c>
      <c r="C15" s="2650"/>
      <c r="D15" s="2651"/>
      <c r="E15" s="1165">
        <f>G80</f>
        <v>3967500</v>
      </c>
      <c r="G15" s="1137" t="s">
        <v>1984</v>
      </c>
      <c r="H15" s="1137"/>
      <c r="I15" s="1064">
        <f>IF(Application!AJ1032&gt;0,10%,IF(Application!AJ1036&gt;0,5%,0))</f>
        <v>0.05</v>
      </c>
      <c r="M15" s="1062"/>
    </row>
    <row r="16" spans="1:13" ht="15" customHeight="1">
      <c r="A16" s="1049"/>
      <c r="B16" s="2649" t="s">
        <v>2269</v>
      </c>
      <c r="C16" s="2650"/>
      <c r="D16" s="2651"/>
      <c r="E16" s="1165">
        <f>G90</f>
        <v>0</v>
      </c>
      <c r="G16" s="2665" t="s">
        <v>1985</v>
      </c>
      <c r="H16" s="2665"/>
      <c r="I16" s="1064">
        <f>G132</f>
        <v>2.2875816993464051E-2</v>
      </c>
    </row>
    <row r="17" spans="1:21" ht="15" customHeight="1" thickBot="1">
      <c r="A17" s="1049"/>
      <c r="B17" s="2649" t="s">
        <v>2268</v>
      </c>
      <c r="C17" s="2650"/>
      <c r="D17" s="2651"/>
      <c r="E17" s="1165">
        <f>G115</f>
        <v>7009250</v>
      </c>
      <c r="G17" s="2665" t="s">
        <v>2278</v>
      </c>
      <c r="H17" s="2665"/>
      <c r="I17" s="1064">
        <f>IF(AND(G139="Yes",OR(G136,G137)),IF(G143&gt;15%,15%,G143),0)</f>
        <v>0</v>
      </c>
    </row>
    <row r="18" spans="1:21" ht="15" customHeight="1">
      <c r="A18" s="1046"/>
      <c r="B18" s="2678" t="s">
        <v>1939</v>
      </c>
      <c r="C18" s="2678"/>
      <c r="D18" s="2678"/>
      <c r="E18" s="1111">
        <f>SUM(E9:E11,E14)</f>
        <v>44937430</v>
      </c>
      <c r="G18" s="1138" t="s">
        <v>1973</v>
      </c>
      <c r="H18" s="1138"/>
      <c r="I18" s="1112">
        <f>I11-((I11*I14)+(I11*I15)+(I11*I16)+(I11*I17))</f>
        <v>30701491.247333929</v>
      </c>
      <c r="M18" s="1065">
        <f>SUM(Cdlac[Quantity])</f>
        <v>113</v>
      </c>
      <c r="O18" s="1084" t="s">
        <v>583</v>
      </c>
      <c r="P18" s="1044">
        <f>MATCH(Application!T189,Application!CB160:CB217,0)</f>
        <v>21</v>
      </c>
      <c r="T18" s="1065">
        <f>SUM(Cdlac[Population])</f>
        <v>29</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10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10</v>
      </c>
      <c r="N21" s="1071">
        <f>Application!AC719</f>
        <v>0.4</v>
      </c>
      <c r="O21" s="1071">
        <f>IF(Cdlac[[#This Row],[Quantity]]&gt;0,IF(Cdlac[[#This Row],[Federal]],30%,IF(AND(OR(NOT($G$38),$G$38=""),$G$43),40%,Cdlac[[#This Row],[iAMI]])),"")</f>
        <v>0.4</v>
      </c>
      <c r="P21" s="1065" cm="1">
        <f t="array" ref="P21">IF(Cdlac[[#This Row],[Quantity]]&gt;0,INDEX(TcacRents,$P$18,Cdlac[[#This Row],[Bedrooms]]+1)*Cdlac[[#This Row],[AMI]],"")</f>
        <v>1353.6000000000001</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921.39999999999986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1987</v>
      </c>
      <c r="D22" s="2656" t="s">
        <v>1988</v>
      </c>
      <c r="E22" s="2656" t="s">
        <v>1989</v>
      </c>
      <c r="F22" s="2656" t="s">
        <v>2609</v>
      </c>
      <c r="G22" s="2656" t="s">
        <v>1986</v>
      </c>
      <c r="H22" s="1070"/>
      <c r="I22" s="1069"/>
      <c r="L22" s="1044">
        <f>IFERROR(MIN(4,MATCH(Application!B720,UnitSizes,0)-1),"")</f>
        <v>0</v>
      </c>
      <c r="M22" s="1065">
        <f>Application!G720</f>
        <v>10</v>
      </c>
      <c r="N22" s="1071">
        <f>Application!AC720</f>
        <v>0.5</v>
      </c>
      <c r="O22" s="1071">
        <f>IF(Cdlac[[#This Row],[Quantity]]&gt;0,IF(Cdlac[[#This Row],[Federal]],30%,IF(AND(OR(NOT($G$38),$G$38=""),$G$43),40%,Cdlac[[#This Row],[iAMI]])),"")</f>
        <v>0.5</v>
      </c>
      <c r="P22" s="1065" cm="1">
        <f t="array" ref="P22">IF(Cdlac[[#This Row],[Quantity]]&gt;0,INDEX(TcacRents,$P$18,Cdlac[[#This Row],[Bedrooms]]+1)*Cdlac[[#This Row],[AMI]],"")</f>
        <v>1692</v>
      </c>
      <c r="Q22" s="1164"/>
      <c r="R22" s="1065" cm="1">
        <f t="array" ref="R22">IF(Cdlac[[#This Row],[Quantity]]&gt;0,INDEX(HudFmrs,$P$18,Cdlac[[#This Row],[Bedrooms]]+1),"")</f>
        <v>2275</v>
      </c>
      <c r="S22" s="1065">
        <f>IF(Cdlac[[#This Row],[Quantity]]&gt;0,MAX(0,Cdlac[[#This Row],[Fair Market Rent]]-IF(AND($G$37,$G$38,$G$38&lt;&gt;"",NOT(Cdlac[[#This Row],[Federal]]),Cdlac[[#This Row],[Preservation Rent]]&lt;&gt;""),Cdlac[[#This Row],[Preservation Rent]],Cdlac[[#This Row],[Restricted Rent]])),"")</f>
        <v>583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10</v>
      </c>
      <c r="N23" s="1071">
        <f>Application!AC721</f>
        <v>0.3</v>
      </c>
      <c r="O23" s="1071">
        <f>IF(Cdlac[[#This Row],[Quantity]]&gt;0,IF(Cdlac[[#This Row],[Federal]],30%,IF(AND(OR(NOT($G$38),$G$38=""),$G$43),40%,Cdlac[[#This Row],[iAMI]])),"")</f>
        <v>0.3</v>
      </c>
      <c r="P23" s="1065" cm="1">
        <f t="array" ref="P23">IF(Cdlac[[#This Row],[Quantity]]&gt;0,INDEX(TcacRents,$P$18,Cdlac[[#This Row],[Bedrooms]]+1)*Cdlac[[#This Row],[AMI]],"")</f>
        <v>1087.8</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1692.2</v>
      </c>
      <c r="T23" s="1044">
        <f>IF(Cdlac[[#This Row],[Quantity]]&gt;0,AND(Application!AK721&lt;&gt;"N/A",Application!AK721&lt;&gt;"")*Cdlac[[#This Row],[Quantity]],"")</f>
        <v>10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30</v>
      </c>
      <c r="F24" s="1072">
        <f>E24</f>
        <v>30</v>
      </c>
      <c r="G24" s="1072">
        <f>D24*F24</f>
        <v>27</v>
      </c>
      <c r="L24" s="1044">
        <f>IFERROR(MIN(4,MATCH(Application!B722,UnitSizes,0)-1),"")</f>
        <v>1</v>
      </c>
      <c r="M24" s="1065">
        <f>Application!G722</f>
        <v>5</v>
      </c>
      <c r="N24" s="1071">
        <f>Application!AC722</f>
        <v>0.4</v>
      </c>
      <c r="O24" s="1071">
        <f>IF(Cdlac[[#This Row],[Quantity]]&gt;0,IF(Cdlac[[#This Row],[Federal]],30%,IF(AND(OR(NOT($G$38),$G$38=""),$G$43),40%,Cdlac[[#This Row],[iAMI]])),"")</f>
        <v>0.4</v>
      </c>
      <c r="P24" s="1065" cm="1">
        <f t="array" ref="P24">IF(Cdlac[[#This Row],[Quantity]]&gt;0,INDEX(TcacRents,$P$18,Cdlac[[#This Row],[Bedrooms]]+1)*Cdlac[[#This Row],[AMI]],"")</f>
        <v>1450.4</v>
      </c>
      <c r="Q24" s="1164"/>
      <c r="R24" s="1065" cm="1">
        <f t="array" ref="R24">IF(Cdlac[[#This Row],[Quantity]]&gt;0,INDEX(HudFmrs,$P$18,Cdlac[[#This Row],[Bedrooms]]+1),"")</f>
        <v>2780</v>
      </c>
      <c r="S24" s="1065">
        <f>IF(Cdlac[[#This Row],[Quantity]]&gt;0,MAX(0,Cdlac[[#This Row],[Fair Market Rent]]-IF(AND($G$37,$G$38,$G$38&lt;&gt;"",NOT(Cdlac[[#This Row],[Federal]]),Cdlac[[#This Row],[Preservation Rent]]&lt;&gt;""),Cdlac[[#This Row],[Preservation Rent]],Cdlac[[#This Row],[Restricted Rent]])),"")</f>
        <v>1329.6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1</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1813</v>
      </c>
      <c r="Q25" s="1164"/>
      <c r="R25" s="1065" cm="1">
        <f t="array" ref="R25">IF(Cdlac[[#This Row],[Quantity]]&gt;0,INDEX(HudFmrs,$P$18,Cdlac[[#This Row],[Bedrooms]]+1),"")</f>
        <v>2780</v>
      </c>
      <c r="S25" s="1065">
        <f>IF(Cdlac[[#This Row],[Quantity]]&gt;0,MAX(0,Cdlac[[#This Row],[Fair Market Rent]]-IF(AND($G$37,$G$38,$G$38&lt;&gt;"",NOT(Cdlac[[#This Row],[Federal]]),Cdlac[[#This Row],[Preservation Rent]]&lt;&gt;""),Cdlac[[#This Row],[Preservation Rent]],Cdlac[[#This Row],[Restricted Rent]])),"")</f>
        <v>967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29</v>
      </c>
      <c r="F26" s="1075">
        <f>SUM(E26:E28)-SUM(F27:F28)</f>
        <v>29</v>
      </c>
      <c r="G26" s="1072">
        <f>D26*F26</f>
        <v>36.25</v>
      </c>
      <c r="H26" s="1074"/>
      <c r="I26" s="1074"/>
      <c r="L26" s="1044">
        <f>IFERROR(MIN(4,MATCH(Application!B724,UnitSizes,0)-1),"")</f>
        <v>1</v>
      </c>
      <c r="M26" s="1065">
        <f>Application!G724</f>
        <v>4</v>
      </c>
      <c r="N26" s="1071">
        <f>Application!AC724</f>
        <v>0.6</v>
      </c>
      <c r="O26" s="1071">
        <f>IF(Cdlac[[#This Row],[Quantity]]&gt;0,IF(Cdlac[[#This Row],[Federal]],30%,IF(AND(OR(NOT($G$38),$G$38=""),$G$43),40%,Cdlac[[#This Row],[iAMI]])),"")</f>
        <v>0.6</v>
      </c>
      <c r="P26" s="1065" cm="1">
        <f t="array" ref="P26">IF(Cdlac[[#This Row],[Quantity]]&gt;0,INDEX(TcacRents,$P$18,Cdlac[[#This Row],[Bedrooms]]+1)*Cdlac[[#This Row],[AMI]],"")</f>
        <v>2175.6</v>
      </c>
      <c r="Q26" s="1164"/>
      <c r="R26" s="1065" cm="1">
        <f t="array" ref="R26">IF(Cdlac[[#This Row],[Quantity]]&gt;0,INDEX(HudFmrs,$P$18,Cdlac[[#This Row],[Bedrooms]]+1),"")</f>
        <v>2780</v>
      </c>
      <c r="S26" s="1065">
        <f>IF(Cdlac[[#This Row],[Quantity]]&gt;0,MAX(0,Cdlac[[#This Row],[Fair Market Rent]]-IF(AND($G$37,$G$38,$G$38&lt;&gt;"",NOT(Cdlac[[#This Row],[Federal]]),Cdlac[[#This Row],[Preservation Rent]]&lt;&gt;""),Cdlac[[#This Row],[Preservation Rent]],Cdlac[[#This Row],[Restricted Rent]])),"")</f>
        <v>604.40000000000009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30</v>
      </c>
      <c r="F27" s="1075">
        <f>MIN(E27,ROUNDDOWN(E29*30%,0))</f>
        <v>30</v>
      </c>
      <c r="G27" s="1072">
        <f>D27*F27</f>
        <v>45</v>
      </c>
      <c r="H27" s="1074"/>
      <c r="I27" s="1074"/>
      <c r="L27" s="1044">
        <f>IFERROR(MIN(4,MATCH(Application!B725,UnitSizes,0)-1),"")</f>
        <v>2</v>
      </c>
      <c r="M27" s="1065">
        <f>Application!G725</f>
        <v>6</v>
      </c>
      <c r="N27" s="1071">
        <f>Application!AC725</f>
        <v>0.3</v>
      </c>
      <c r="O27" s="1071">
        <f>IF(Cdlac[[#This Row],[Quantity]]&gt;0,IF(Cdlac[[#This Row],[Federal]],30%,IF(AND(OR(NOT($G$38),$G$38=""),$G$43),40%,Cdlac[[#This Row],[iAMI]])),"")</f>
        <v>0.3</v>
      </c>
      <c r="P27" s="1065" cm="1">
        <f t="array" ref="P27">IF(Cdlac[[#This Row],[Quantity]]&gt;0,INDEX(TcacRents,$P$18,Cdlac[[#This Row],[Bedrooms]]+1)*Cdlac[[#This Row],[AMI]],"")</f>
        <v>1305.5999999999999</v>
      </c>
      <c r="Q27" s="1164"/>
      <c r="R27" s="1065" cm="1">
        <f t="array" ref="R27">IF(Cdlac[[#This Row],[Quantity]]&gt;0,INDEX(HudFmrs,$P$18,Cdlac[[#This Row],[Bedrooms]]+1),"")</f>
        <v>3318</v>
      </c>
      <c r="S27" s="1065">
        <f>IF(Cdlac[[#This Row],[Quantity]]&gt;0,MAX(0,Cdlac[[#This Row],[Fair Market Rent]]-IF(AND($G$37,$G$38,$G$38&lt;&gt;"",NOT(Cdlac[[#This Row],[Federal]]),Cdlac[[#This Row],[Preservation Rent]]&lt;&gt;""),Cdlac[[#This Row],[Preservation Rent]],Cdlac[[#This Row],[Restricted Rent]])),"")</f>
        <v>2012.4</v>
      </c>
      <c r="T27" s="1044">
        <f>IF(Cdlac[[#This Row],[Quantity]]&gt;0,AND(Application!AK725&lt;&gt;"N/A",Application!AK725&lt;&gt;"")*Cdlac[[#This Row],[Quantity]],"")</f>
        <v>6</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6</v>
      </c>
      <c r="N28" s="1071">
        <f>Application!AC726</f>
        <v>0.4</v>
      </c>
      <c r="O28" s="1071">
        <f>IF(Cdlac[[#This Row],[Quantity]]&gt;0,IF(Cdlac[[#This Row],[Federal]],30%,IF(AND(OR(NOT($G$38),$G$38=""),$G$43),40%,Cdlac[[#This Row],[iAMI]])),"")</f>
        <v>0.4</v>
      </c>
      <c r="P28" s="1065" cm="1">
        <f t="array" ref="P28">IF(Cdlac[[#This Row],[Quantity]]&gt;0,INDEX(TcacRents,$P$18,Cdlac[[#This Row],[Bedrooms]]+1)*Cdlac[[#This Row],[AMI]],"")</f>
        <v>1740.8000000000002</v>
      </c>
      <c r="Q28" s="1164"/>
      <c r="R28" s="1065" cm="1">
        <f t="array" ref="R28">IF(Cdlac[[#This Row],[Quantity]]&gt;0,INDEX(HudFmrs,$P$18,Cdlac[[#This Row],[Bedrooms]]+1),"")</f>
        <v>3318</v>
      </c>
      <c r="S28" s="1065">
        <f>IF(Cdlac[[#This Row],[Quantity]]&gt;0,MAX(0,Cdlac[[#This Row],[Fair Market Rent]]-IF(AND($G$37,$G$38,$G$38&lt;&gt;"",NOT(Cdlac[[#This Row],[Federal]]),Cdlac[[#This Row],[Preservation Rent]]&lt;&gt;""),Cdlac[[#This Row],[Preservation Rent]],Cdlac[[#This Row],[Restricted Rent]])),"")</f>
        <v>1577.1999999999998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1587</v>
      </c>
      <c r="D29" s="2659"/>
      <c r="E29" s="1089">
        <f>SUM(E24:E28)</f>
        <v>113</v>
      </c>
      <c r="F29" s="1089">
        <f>SUM(F24:F28)</f>
        <v>113</v>
      </c>
      <c r="G29" s="1090">
        <f>SUMPRODUCT(D24:D28,F24:F28)</f>
        <v>132.25</v>
      </c>
      <c r="H29" s="1074"/>
      <c r="I29" s="1074"/>
      <c r="L29" s="1044">
        <f>IFERROR(MIN(4,MATCH(Application!B727,UnitSizes,0)-1),"")</f>
        <v>2</v>
      </c>
      <c r="M29" s="1065">
        <f>Application!G727</f>
        <v>10</v>
      </c>
      <c r="N29" s="1071">
        <f>Application!AC727</f>
        <v>0.5</v>
      </c>
      <c r="O29" s="1071">
        <f>IF(Cdlac[[#This Row],[Quantity]]&gt;0,IF(Cdlac[[#This Row],[Federal]],30%,IF(AND(OR(NOT($G$38),$G$38=""),$G$43),40%,Cdlac[[#This Row],[iAMI]])),"")</f>
        <v>0.5</v>
      </c>
      <c r="P29" s="1065" cm="1">
        <f t="array" ref="P29">IF(Cdlac[[#This Row],[Quantity]]&gt;0,INDEX(TcacRents,$P$18,Cdlac[[#This Row],[Bedrooms]]+1)*Cdlac[[#This Row],[AMI]],"")</f>
        <v>2176</v>
      </c>
      <c r="Q29" s="1164"/>
      <c r="R29" s="1065" cm="1">
        <f t="array" ref="R29">IF(Cdlac[[#This Row],[Quantity]]&gt;0,INDEX(HudFmrs,$P$18,Cdlac[[#This Row],[Bedrooms]]+1),"")</f>
        <v>3318</v>
      </c>
      <c r="S29" s="1065">
        <f>IF(Cdlac[[#This Row],[Quantity]]&gt;0,MAX(0,Cdlac[[#This Row],[Fair Market Rent]]-IF(AND($G$37,$G$38,$G$38&lt;&gt;"",NOT(Cdlac[[#This Row],[Federal]]),Cdlac[[#This Row],[Preservation Rent]]&lt;&gt;""),Cdlac[[#This Row],[Preservation Rent]],Cdlac[[#This Row],[Restricted Rent]])),"")</f>
        <v>1142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7</v>
      </c>
      <c r="N30" s="1071">
        <f>Application!AC728</f>
        <v>0.6</v>
      </c>
      <c r="O30" s="1071">
        <f>IF(Cdlac[[#This Row],[Quantity]]&gt;0,IF(Cdlac[[#This Row],[Federal]],30%,IF(AND(OR(NOT($G$38),$G$38=""),$G$43),40%,Cdlac[[#This Row],[iAMI]])),"")</f>
        <v>0.6</v>
      </c>
      <c r="P30" s="1065" cm="1">
        <f t="array" ref="P30">IF(Cdlac[[#This Row],[Quantity]]&gt;0,INDEX(TcacRents,$P$18,Cdlac[[#This Row],[Bedrooms]]+1)*Cdlac[[#This Row],[AMI]],"")</f>
        <v>2611.1999999999998</v>
      </c>
      <c r="Q30" s="1164"/>
      <c r="R30" s="1065" cm="1">
        <f t="array" ref="R30">IF(Cdlac[[#This Row],[Quantity]]&gt;0,INDEX(HudFmrs,$P$18,Cdlac[[#This Row],[Bedrooms]]+1),"")</f>
        <v>3318</v>
      </c>
      <c r="S30" s="1065">
        <f>IF(Cdlac[[#This Row],[Quantity]]&gt;0,MAX(0,Cdlac[[#This Row],[Fair Market Rent]]-IF(AND($G$37,$G$38,$G$38&lt;&gt;"",NOT(Cdlac[[#This Row],[Federal]]),Cdlac[[#This Row],[Preservation Rent]]&lt;&gt;""),Cdlac[[#This Row],[Preservation Rent]],Cdlac[[#This Row],[Restricted Rent]])),"")</f>
        <v>706.80000000000018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132.25</v>
      </c>
      <c r="H31" s="1074"/>
      <c r="I31" s="1074"/>
      <c r="L31" s="1044">
        <f>IFERROR(MIN(4,MATCH(Application!B729,UnitSizes,0)-1),"")</f>
        <v>3</v>
      </c>
      <c r="M31" s="1065">
        <f>Application!G729</f>
        <v>3</v>
      </c>
      <c r="N31" s="1071">
        <f>Application!AC729</f>
        <v>0.3</v>
      </c>
      <c r="O31" s="1071">
        <f>IF(Cdlac[[#This Row],[Quantity]]&gt;0,IF(Cdlac[[#This Row],[Federal]],30%,IF(AND(OR(NOT($G$38),$G$38=""),$G$43),40%,Cdlac[[#This Row],[iAMI]])),"")</f>
        <v>0.3</v>
      </c>
      <c r="P31" s="1065" cm="1">
        <f t="array" ref="P31">IF(Cdlac[[#This Row],[Quantity]]&gt;0,INDEX(TcacRents,$P$18,Cdlac[[#This Row],[Bedrooms]]+1)*Cdlac[[#This Row],[AMI]],"")</f>
        <v>1508.3999999999999</v>
      </c>
      <c r="Q31" s="1164"/>
      <c r="R31" s="1065" cm="1">
        <f t="array" ref="R31">IF(Cdlac[[#This Row],[Quantity]]&gt;0,INDEX(HudFmrs,$P$18,Cdlac[[#This Row],[Bedrooms]]+1),"")</f>
        <v>4138</v>
      </c>
      <c r="S31" s="1065">
        <f>IF(Cdlac[[#This Row],[Quantity]]&gt;0,MAX(0,Cdlac[[#This Row],[Fair Market Rent]]-IF(AND($G$37,$G$38,$G$38&lt;&gt;"",NOT(Cdlac[[#This Row],[Federal]]),Cdlac[[#This Row],[Preservation Rent]]&lt;&gt;""),Cdlac[[#This Row],[Preservation Rent]],Cdlac[[#This Row],[Restricted Rent]])),"")</f>
        <v>2629.6000000000004</v>
      </c>
      <c r="T31" s="1044">
        <f>IF(Cdlac[[#This Row],[Quantity]]&gt;0,AND(Application!AK729&lt;&gt;"N/A",Application!AK729&lt;&gt;"")*Cdlac[[#This Row],[Quantity]],"")</f>
        <v>3</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6</v>
      </c>
      <c r="N32" s="1071">
        <f>Application!AC730</f>
        <v>0.4</v>
      </c>
      <c r="O32" s="1071">
        <f>IF(Cdlac[[#This Row],[Quantity]]&gt;0,IF(Cdlac[[#This Row],[Federal]],30%,IF(AND(OR(NOT($G$38),$G$38=""),$G$43),40%,Cdlac[[#This Row],[iAMI]])),"")</f>
        <v>0.4</v>
      </c>
      <c r="P32" s="1065" cm="1">
        <f t="array" ref="P32">IF(Cdlac[[#This Row],[Quantity]]&gt;0,INDEX(TcacRents,$P$18,Cdlac[[#This Row],[Bedrooms]]+1)*Cdlac[[#This Row],[AMI]],"")</f>
        <v>2011.2</v>
      </c>
      <c r="Q32" s="1164"/>
      <c r="R32" s="1065" cm="1">
        <f t="array" ref="R32">IF(Cdlac[[#This Row],[Quantity]]&gt;0,INDEX(HudFmrs,$P$18,Cdlac[[#This Row],[Bedrooms]]+1),"")</f>
        <v>4138</v>
      </c>
      <c r="S32" s="1065">
        <f>IF(Cdlac[[#This Row],[Quantity]]&gt;0,MAX(0,Cdlac[[#This Row],[Fair Market Rent]]-IF(AND($G$37,$G$38,$G$38&lt;&gt;"",NOT(Cdlac[[#This Row],[Federal]]),Cdlac[[#This Row],[Preservation Rent]]&lt;&gt;""),Cdlac[[#This Row],[Preservation Rent]],Cdlac[[#This Row],[Restricted Rent]])),"")</f>
        <v>2126.8000000000002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6612500</v>
      </c>
      <c r="H33" s="1074"/>
      <c r="I33" s="1074"/>
      <c r="L33" s="1044">
        <f>IFERROR(MIN(4,MATCH(Application!B731,UnitSizes,0)-1),"")</f>
        <v>3</v>
      </c>
      <c r="M33" s="1065">
        <f>Application!G731</f>
        <v>13</v>
      </c>
      <c r="N33" s="1071">
        <f>Application!AC731</f>
        <v>0.5</v>
      </c>
      <c r="O33" s="1071">
        <f>IF(Cdlac[[#This Row],[Quantity]]&gt;0,IF(Cdlac[[#This Row],[Federal]],30%,IF(AND(OR(NOT($G$38),$G$38=""),$G$43),40%,Cdlac[[#This Row],[iAMI]])),"")</f>
        <v>0.5</v>
      </c>
      <c r="P33" s="1065" cm="1">
        <f t="array" ref="P33">IF(Cdlac[[#This Row],[Quantity]]&gt;0,INDEX(TcacRents,$P$18,Cdlac[[#This Row],[Bedrooms]]+1)*Cdlac[[#This Row],[AMI]],"")</f>
        <v>2514</v>
      </c>
      <c r="Q33" s="1164"/>
      <c r="R33" s="1065" cm="1">
        <f t="array" ref="R33">IF(Cdlac[[#This Row],[Quantity]]&gt;0,INDEX(HudFmrs,$P$18,Cdlac[[#This Row],[Bedrooms]]+1),"")</f>
        <v>4138</v>
      </c>
      <c r="S33" s="1065">
        <f>IF(Cdlac[[#This Row],[Quantity]]&gt;0,MAX(0,Cdlac[[#This Row],[Fair Market Rent]]-IF(AND($G$37,$G$38,$G$38&lt;&gt;"",NOT(Cdlac[[#This Row],[Federal]]),Cdlac[[#This Row],[Preservation Rent]]&lt;&gt;""),Cdlac[[#This Row],[Preservation Rent]],Cdlac[[#This Row],[Restricted Rent]])),"")</f>
        <v>1624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8</v>
      </c>
      <c r="N34" s="1071">
        <f>Application!AC732</f>
        <v>0.6</v>
      </c>
      <c r="O34" s="1071">
        <f>IF(Cdlac[[#This Row],[Quantity]]&gt;0,IF(Cdlac[[#This Row],[Federal]],30%,IF(AND(OR(NOT($G$38),$G$38=""),$G$43),40%,Cdlac[[#This Row],[iAMI]])),"")</f>
        <v>0.6</v>
      </c>
      <c r="P34" s="1065" cm="1">
        <f t="array" ref="P34">IF(Cdlac[[#This Row],[Quantity]]&gt;0,INDEX(TcacRents,$P$18,Cdlac[[#This Row],[Bedrooms]]+1)*Cdlac[[#This Row],[AMI]],"")</f>
        <v>3016.7999999999997</v>
      </c>
      <c r="Q34" s="1164"/>
      <c r="R34" s="1065" cm="1">
        <f t="array" ref="R34">IF(Cdlac[[#This Row],[Quantity]]&gt;0,INDEX(HudFmrs,$P$18,Cdlac[[#This Row],[Bedrooms]]+1),"")</f>
        <v>4138</v>
      </c>
      <c r="S34" s="1065">
        <f>IF(Cdlac[[#This Row],[Quantity]]&gt;0,MAX(0,Cdlac[[#This Row],[Fair Market Rent]]-IF(AND($G$37,$G$38,$G$38&lt;&gt;"",NOT(Cdlac[[#This Row],[Federal]]),Cdlac[[#This Row],[Preservation Rent]]&lt;&gt;""),Cdlac[[#This Row],[Preservation Rent]],Cdlac[[#This Row],[Restricted Rent]])),"")</f>
        <v>1121.2000000000003</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0.44159292035398229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147101.00000000003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26478180.000000004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29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29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290000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29</v>
      </c>
    </row>
    <row r="61" spans="2:21" ht="15" customHeight="1">
      <c r="E61" s="1117" t="s">
        <v>1995</v>
      </c>
      <c r="G61" s="1079">
        <f>ROUNDDOWN(E29*50%,0)</f>
        <v>56</v>
      </c>
    </row>
    <row r="62" spans="2:21" ht="15" customHeight="1">
      <c r="E62" s="1117"/>
      <c r="G62" s="1079"/>
    </row>
    <row r="63" spans="2:21" ht="15" customHeight="1">
      <c r="E63" s="1117" t="s">
        <v>1955</v>
      </c>
      <c r="G63" s="1114">
        <f>MIN(G60:G61)</f>
        <v>29</v>
      </c>
    </row>
    <row r="64" spans="2:21" ht="15" customHeight="1">
      <c r="E64" s="1117" t="s">
        <v>1945</v>
      </c>
      <c r="F64" s="1113" t="s">
        <v>1993</v>
      </c>
      <c r="G64" s="1124">
        <v>20000</v>
      </c>
    </row>
    <row r="65" spans="2:14" ht="15" customHeight="1">
      <c r="E65" s="1118" t="s">
        <v>1977</v>
      </c>
      <c r="F65" s="1046"/>
      <c r="G65" s="1123">
        <f>G63*G64</f>
        <v>580000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69" t="s">
        <v>1970</v>
      </c>
      <c r="M72" s="2670"/>
      <c r="N72" s="1131">
        <v>30000</v>
      </c>
    </row>
    <row r="73" spans="2:14" ht="15" customHeight="1">
      <c r="C73" s="2671" t="s">
        <v>2262</v>
      </c>
      <c r="D73" s="2671"/>
      <c r="E73" s="2671"/>
      <c r="F73" s="2671"/>
      <c r="G73" s="1043"/>
      <c r="L73" s="2680" t="s">
        <v>1938</v>
      </c>
      <c r="M73" s="2681"/>
      <c r="N73" s="1132">
        <v>20000</v>
      </c>
    </row>
    <row r="74" spans="2:14" ht="15" customHeight="1" thickBot="1">
      <c r="C74" s="2671"/>
      <c r="D74" s="2671"/>
      <c r="E74" s="2671"/>
      <c r="F74" s="2671"/>
      <c r="L74" s="2682" t="s">
        <v>1971</v>
      </c>
      <c r="M74" s="2683"/>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132.25</v>
      </c>
    </row>
    <row r="80" spans="2:14" ht="15" customHeight="1">
      <c r="D80" s="1046"/>
      <c r="E80" s="1118" t="s">
        <v>2267</v>
      </c>
      <c r="F80" s="1046"/>
      <c r="G80" s="1123">
        <f>G79*G78*G76</f>
        <v>3967500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132.25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5</v>
      </c>
    </row>
    <row r="95" spans="2:9" ht="15" customHeight="1">
      <c r="E95" s="1084" t="s">
        <v>1945</v>
      </c>
      <c r="F95" s="1113" t="s">
        <v>1993</v>
      </c>
      <c r="G95" s="1076">
        <v>4000</v>
      </c>
    </row>
    <row r="96" spans="2:9" ht="15" customHeight="1" thickBot="1">
      <c r="E96" s="1084" t="s">
        <v>1997</v>
      </c>
      <c r="F96" s="1113" t="s">
        <v>1993</v>
      </c>
      <c r="G96" s="1126">
        <f>G29</f>
        <v>132.25</v>
      </c>
    </row>
    <row r="97" spans="2:14" ht="15" customHeight="1">
      <c r="E97" s="1118" t="s">
        <v>1962</v>
      </c>
      <c r="F97" s="1046"/>
      <c r="G97" s="1123">
        <f>G94*G95*G96</f>
        <v>2645000</v>
      </c>
      <c r="L97" s="1127" t="str">
        <f>'Points System'!H638</f>
        <v>(i)</v>
      </c>
      <c r="M97" s="2688" t="s">
        <v>1406</v>
      </c>
      <c r="N97" s="2689"/>
    </row>
    <row r="98" spans="2:14" ht="15" customHeight="1">
      <c r="C98" s="1077"/>
      <c r="G98" s="1114"/>
      <c r="L98" s="1128" t="str">
        <f>'Points System'!H650</f>
        <v>N/A</v>
      </c>
      <c r="M98" s="2684" t="s">
        <v>1957</v>
      </c>
      <c r="N98" s="2685"/>
    </row>
    <row r="99" spans="2:14" ht="15" customHeight="1">
      <c r="E99" s="1084" t="s">
        <v>1998</v>
      </c>
      <c r="G99" s="1126">
        <f>COUNTIFS(L97:L104,"(i)")</f>
        <v>2</v>
      </c>
      <c r="L99" s="1128" t="str">
        <f>'Points System'!H685</f>
        <v>(iii)</v>
      </c>
      <c r="M99" s="2684" t="s">
        <v>1958</v>
      </c>
      <c r="N99" s="2685"/>
    </row>
    <row r="100" spans="2:14" ht="15" customHeight="1">
      <c r="E100" s="1084" t="s">
        <v>1945</v>
      </c>
      <c r="F100" s="1113" t="s">
        <v>1993</v>
      </c>
      <c r="G100" s="1124">
        <v>4000</v>
      </c>
      <c r="L100" s="1128" t="str">
        <f>IF(OR('Points System'!H709="(ii)",'Points System'!H709="(i)"),"(i)","N/A")</f>
        <v>N/A</v>
      </c>
      <c r="M100" s="2684" t="s">
        <v>1959</v>
      </c>
      <c r="N100" s="2685"/>
    </row>
    <row r="101" spans="2:14" ht="15" customHeight="1">
      <c r="E101" s="1118" t="s">
        <v>1963</v>
      </c>
      <c r="F101" s="1046"/>
      <c r="G101" s="1123">
        <f>G96*G99*G100</f>
        <v>1058000</v>
      </c>
      <c r="L101" s="1129" t="str">
        <f>'Points System'!H723</f>
        <v>N/A</v>
      </c>
      <c r="M101" s="2684" t="s">
        <v>1432</v>
      </c>
      <c r="N101" s="2685"/>
    </row>
    <row r="102" spans="2:14" ht="15" customHeight="1">
      <c r="L102" s="1128" t="str">
        <f>'Points System'!H735</f>
        <v>N/A</v>
      </c>
      <c r="M102" s="2684" t="s">
        <v>1960</v>
      </c>
      <c r="N102" s="2685"/>
    </row>
    <row r="103" spans="2:14" ht="15" customHeight="1">
      <c r="C103" s="1080" t="s">
        <v>1965</v>
      </c>
      <c r="L103" s="1128" t="str">
        <f>'Points System'!H751</f>
        <v>(i)</v>
      </c>
      <c r="M103" s="2684" t="s">
        <v>1961</v>
      </c>
      <c r="N103" s="2685"/>
    </row>
    <row r="104" spans="2:14" ht="15" customHeight="1" thickBot="1">
      <c r="C104" s="1077" t="s">
        <v>1966</v>
      </c>
      <c r="G104" s="1043"/>
      <c r="L104" s="1130" t="str">
        <f>'Points System'!H763</f>
        <v>(ii)</v>
      </c>
      <c r="M104" s="2686" t="s">
        <v>1435</v>
      </c>
      <c r="N104" s="2687"/>
    </row>
    <row r="105" spans="2:14" ht="15" customHeight="1">
      <c r="C105" s="1077" t="s">
        <v>1967</v>
      </c>
      <c r="G105" s="1043"/>
    </row>
    <row r="106" spans="2:14" ht="15" customHeight="1">
      <c r="C106" s="1077" t="s">
        <v>2140</v>
      </c>
      <c r="G106" s="1043"/>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132.25</v>
      </c>
    </row>
    <row r="112" spans="2:14" ht="15" customHeight="1">
      <c r="E112" s="1084" t="s">
        <v>1945</v>
      </c>
      <c r="F112" s="1113" t="s">
        <v>1993</v>
      </c>
      <c r="G112" s="1124">
        <v>25000</v>
      </c>
    </row>
    <row r="113" spans="2:9" ht="15" customHeight="1">
      <c r="E113" s="1118" t="s">
        <v>1964</v>
      </c>
      <c r="F113" s="1046"/>
      <c r="G113" s="1123">
        <f>G109*G112*G96</f>
        <v>3306250</v>
      </c>
    </row>
    <row r="114" spans="2:9" ht="15" customHeight="1">
      <c r="C114" s="1077"/>
      <c r="E114" s="1077"/>
    </row>
    <row r="115" spans="2:9" ht="15" customHeight="1">
      <c r="E115" s="1118" t="s">
        <v>2272</v>
      </c>
      <c r="G115" s="1123">
        <f>G113+G101+G97</f>
        <v>7009250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2227</v>
      </c>
      <c r="D119" s="2660"/>
      <c r="E119" s="2660"/>
      <c r="F119" s="2660"/>
    </row>
    <row r="120" spans="2:9" ht="15" customHeight="1">
      <c r="C120" s="2660"/>
      <c r="D120" s="2660"/>
      <c r="E120" s="2660"/>
      <c r="F120" s="2660"/>
      <c r="G120" s="1043" t="s">
        <v>546</v>
      </c>
    </row>
    <row r="121" spans="2:9" ht="15" customHeight="1"/>
    <row r="122" spans="2:9" ht="15" customHeight="1">
      <c r="C122" s="1044" t="s">
        <v>2229</v>
      </c>
      <c r="G122" s="2662" t="s">
        <v>2199</v>
      </c>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Marin</v>
      </c>
    </row>
    <row r="129" spans="2:9">
      <c r="E129" s="1084"/>
      <c r="G129" s="1078"/>
    </row>
    <row r="130" spans="2:9">
      <c r="E130" s="1084" t="str">
        <f>"2-Bedroom "&amp;G128&amp;" County Basis Limit"</f>
        <v>2-Bedroom Marin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5" t="s">
        <v>2275</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4624009.299968997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910</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10</v>
      </c>
      <c r="C4" s="1162"/>
      <c r="D4" s="428">
        <f>Application!O718</f>
        <v>952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10</v>
      </c>
      <c r="C5" s="1162"/>
      <c r="D5" s="428">
        <f>Application!O719</f>
        <v>1291</v>
      </c>
      <c r="E5" s="429"/>
      <c r="F5" s="1083"/>
      <c r="G5" s="428">
        <f t="shared" ref="G5:G38" si="2">F5*B5</f>
        <v>0</v>
      </c>
      <c r="H5" s="429"/>
      <c r="I5" s="428" t="str">
        <f t="shared" si="0"/>
        <v/>
      </c>
      <c r="J5" s="428" t="str">
        <f t="shared" si="1"/>
        <v/>
      </c>
      <c r="K5" s="204"/>
      <c r="L5" s="305"/>
    </row>
    <row r="6" spans="1:12">
      <c r="A6" s="428" t="str">
        <f>Application!B720</f>
        <v>SRO/Studio</v>
      </c>
      <c r="B6" s="1082">
        <f>Application!G720</f>
        <v>10</v>
      </c>
      <c r="C6" s="1162"/>
      <c r="D6" s="428">
        <f>Application!O720</f>
        <v>1629</v>
      </c>
      <c r="E6" s="429"/>
      <c r="F6" s="1083"/>
      <c r="G6" s="428">
        <f t="shared" si="2"/>
        <v>0</v>
      </c>
      <c r="H6" s="429"/>
      <c r="I6" s="428" t="str">
        <f t="shared" si="0"/>
        <v/>
      </c>
      <c r="J6" s="428" t="str">
        <f t="shared" si="1"/>
        <v/>
      </c>
      <c r="K6" s="204"/>
      <c r="L6" s="305"/>
    </row>
    <row r="7" spans="1:12">
      <c r="A7" s="428" t="str">
        <f>Application!B721</f>
        <v>1 Bedroom</v>
      </c>
      <c r="B7" s="1082">
        <f>Application!G721</f>
        <v>10</v>
      </c>
      <c r="C7" s="1162"/>
      <c r="D7" s="428">
        <f>Application!O721</f>
        <v>1012</v>
      </c>
      <c r="E7" s="429"/>
      <c r="F7" s="1083"/>
      <c r="G7" s="428">
        <f t="shared" si="2"/>
        <v>0</v>
      </c>
      <c r="H7" s="429"/>
      <c r="I7" s="428" t="str">
        <f t="shared" si="0"/>
        <v/>
      </c>
      <c r="J7" s="428" t="str">
        <f t="shared" si="1"/>
        <v/>
      </c>
      <c r="K7" s="204"/>
      <c r="L7" s="305"/>
    </row>
    <row r="8" spans="1:12">
      <c r="A8" s="428" t="str">
        <f>Application!B722</f>
        <v>1 Bedroom</v>
      </c>
      <c r="B8" s="1082">
        <f>Application!G722</f>
        <v>5</v>
      </c>
      <c r="C8" s="1162"/>
      <c r="D8" s="428">
        <f>Application!O722</f>
        <v>1375</v>
      </c>
      <c r="E8" s="429"/>
      <c r="F8" s="1083"/>
      <c r="G8" s="428">
        <f t="shared" si="2"/>
        <v>0</v>
      </c>
      <c r="H8" s="429"/>
      <c r="I8" s="428" t="str">
        <f t="shared" si="0"/>
        <v/>
      </c>
      <c r="J8" s="428" t="str">
        <f t="shared" si="1"/>
        <v/>
      </c>
      <c r="K8" s="204"/>
      <c r="L8" s="305"/>
    </row>
    <row r="9" spans="1:12">
      <c r="A9" s="428" t="str">
        <f>Application!B723</f>
        <v>1 Bedroom</v>
      </c>
      <c r="B9" s="1082">
        <f>Application!G723</f>
        <v>5</v>
      </c>
      <c r="C9" s="1162"/>
      <c r="D9" s="428">
        <f>Application!O723</f>
        <v>1737</v>
      </c>
      <c r="E9" s="429"/>
      <c r="F9" s="1083"/>
      <c r="G9" s="428">
        <f t="shared" si="2"/>
        <v>0</v>
      </c>
      <c r="H9" s="429"/>
      <c r="I9" s="428" t="str">
        <f t="shared" si="0"/>
        <v/>
      </c>
      <c r="J9" s="428" t="str">
        <f t="shared" si="1"/>
        <v/>
      </c>
      <c r="K9" s="204"/>
      <c r="L9" s="305"/>
    </row>
    <row r="10" spans="1:12">
      <c r="A10" s="428" t="str">
        <f>Application!B724</f>
        <v>1 Bedroom</v>
      </c>
      <c r="B10" s="1082">
        <f>Application!G724</f>
        <v>4</v>
      </c>
      <c r="C10" s="1162"/>
      <c r="D10" s="428">
        <f>Application!O724</f>
        <v>2100</v>
      </c>
      <c r="E10" s="429"/>
      <c r="F10" s="1083"/>
      <c r="G10" s="428">
        <f t="shared" si="2"/>
        <v>0</v>
      </c>
      <c r="H10" s="429"/>
      <c r="I10" s="428" t="str">
        <f t="shared" si="0"/>
        <v/>
      </c>
      <c r="J10" s="428" t="str">
        <f t="shared" si="1"/>
        <v/>
      </c>
      <c r="K10" s="204"/>
      <c r="L10" s="305"/>
    </row>
    <row r="11" spans="1:12">
      <c r="A11" s="428" t="str">
        <f>Application!B725</f>
        <v>2 Bedrooms</v>
      </c>
      <c r="B11" s="1082">
        <f>Application!G725</f>
        <v>6</v>
      </c>
      <c r="C11" s="1162"/>
      <c r="D11" s="428">
        <f>Application!O725</f>
        <v>1199</v>
      </c>
      <c r="E11" s="429"/>
      <c r="F11" s="1083"/>
      <c r="G11" s="428">
        <f t="shared" si="2"/>
        <v>0</v>
      </c>
      <c r="H11" s="429"/>
      <c r="I11" s="428" t="str">
        <f t="shared" si="0"/>
        <v/>
      </c>
      <c r="J11" s="428" t="str">
        <f t="shared" si="1"/>
        <v/>
      </c>
      <c r="K11" s="204"/>
      <c r="L11" s="305"/>
    </row>
    <row r="12" spans="1:12">
      <c r="A12" s="428" t="str">
        <f>Application!B726</f>
        <v>2 Bedrooms</v>
      </c>
      <c r="B12" s="1082">
        <f>Application!G726</f>
        <v>6</v>
      </c>
      <c r="C12" s="1162"/>
      <c r="D12" s="428">
        <f>Application!O726</f>
        <v>1635</v>
      </c>
      <c r="E12" s="429"/>
      <c r="F12" s="1083"/>
      <c r="G12" s="428">
        <f t="shared" si="2"/>
        <v>0</v>
      </c>
      <c r="H12" s="429"/>
      <c r="I12" s="428" t="str">
        <f t="shared" si="0"/>
        <v/>
      </c>
      <c r="J12" s="428" t="str">
        <f t="shared" si="1"/>
        <v/>
      </c>
      <c r="K12" s="204"/>
      <c r="L12" s="305"/>
    </row>
    <row r="13" spans="1:12">
      <c r="A13" s="428" t="str">
        <f>Application!B727</f>
        <v>2 Bedrooms</v>
      </c>
      <c r="B13" s="1082">
        <f>Application!G727</f>
        <v>10</v>
      </c>
      <c r="C13" s="1162"/>
      <c r="D13" s="428">
        <f>Application!O727</f>
        <v>2070</v>
      </c>
      <c r="E13" s="429"/>
      <c r="F13" s="1083"/>
      <c r="G13" s="428">
        <f t="shared" si="2"/>
        <v>0</v>
      </c>
      <c r="H13" s="429"/>
      <c r="I13" s="428" t="str">
        <f t="shared" si="0"/>
        <v/>
      </c>
      <c r="J13" s="428" t="str">
        <f t="shared" si="1"/>
        <v/>
      </c>
      <c r="K13" s="204"/>
      <c r="L13" s="305"/>
    </row>
    <row r="14" spans="1:12">
      <c r="A14" s="428" t="str">
        <f>Application!B728</f>
        <v>2 Bedrooms</v>
      </c>
      <c r="B14" s="1082">
        <f>Application!G728</f>
        <v>7</v>
      </c>
      <c r="C14" s="1162"/>
      <c r="D14" s="428">
        <f>Application!O728</f>
        <v>2505</v>
      </c>
      <c r="E14" s="429"/>
      <c r="F14" s="1083"/>
      <c r="G14" s="428">
        <f t="shared" si="2"/>
        <v>0</v>
      </c>
      <c r="H14" s="429"/>
      <c r="I14" s="428" t="str">
        <f t="shared" si="0"/>
        <v/>
      </c>
      <c r="J14" s="428" t="str">
        <f t="shared" si="1"/>
        <v/>
      </c>
      <c r="K14" s="204"/>
      <c r="L14" s="305"/>
    </row>
    <row r="15" spans="1:12">
      <c r="A15" s="428" t="str">
        <f>Application!B729</f>
        <v>3 Bedrooms</v>
      </c>
      <c r="B15" s="1082">
        <f>Application!G729</f>
        <v>3</v>
      </c>
      <c r="C15" s="1162"/>
      <c r="D15" s="428">
        <f>Application!O729</f>
        <v>1371</v>
      </c>
      <c r="E15" s="429"/>
      <c r="F15" s="1083"/>
      <c r="G15" s="428">
        <f t="shared" si="2"/>
        <v>0</v>
      </c>
      <c r="H15" s="429"/>
      <c r="I15" s="428" t="str">
        <f t="shared" si="0"/>
        <v/>
      </c>
      <c r="J15" s="428" t="str">
        <f t="shared" si="1"/>
        <v/>
      </c>
      <c r="K15" s="204"/>
      <c r="L15" s="305"/>
    </row>
    <row r="16" spans="1:12">
      <c r="A16" s="428" t="str">
        <f>Application!B730</f>
        <v>3 Bedrooms</v>
      </c>
      <c r="B16" s="1082">
        <f>Application!G730</f>
        <v>6</v>
      </c>
      <c r="C16" s="1162"/>
      <c r="D16" s="428">
        <f>Application!O730</f>
        <v>1874</v>
      </c>
      <c r="E16" s="429"/>
      <c r="F16" s="1083"/>
      <c r="G16" s="428">
        <f t="shared" si="2"/>
        <v>0</v>
      </c>
      <c r="H16" s="429"/>
      <c r="I16" s="428" t="str">
        <f t="shared" si="0"/>
        <v/>
      </c>
      <c r="J16" s="428" t="str">
        <f t="shared" si="1"/>
        <v/>
      </c>
      <c r="K16" s="204"/>
      <c r="L16" s="305"/>
    </row>
    <row r="17" spans="1:12">
      <c r="A17" s="428" t="str">
        <f>Application!B731</f>
        <v>3 Bedrooms</v>
      </c>
      <c r="B17" s="1082">
        <f>Application!G731</f>
        <v>13</v>
      </c>
      <c r="C17" s="1162"/>
      <c r="D17" s="428">
        <f>Application!O731</f>
        <v>2377</v>
      </c>
      <c r="E17" s="429"/>
      <c r="F17" s="1083"/>
      <c r="G17" s="428">
        <f t="shared" si="2"/>
        <v>0</v>
      </c>
      <c r="H17" s="429"/>
      <c r="I17" s="428" t="str">
        <f t="shared" si="0"/>
        <v/>
      </c>
      <c r="J17" s="428" t="str">
        <f t="shared" si="1"/>
        <v/>
      </c>
      <c r="K17" s="204"/>
      <c r="L17" s="305"/>
    </row>
    <row r="18" spans="1:12">
      <c r="A18" s="428" t="str">
        <f>Application!B732</f>
        <v>3 Bedrooms</v>
      </c>
      <c r="B18" s="1082">
        <f>Application!G732</f>
        <v>8</v>
      </c>
      <c r="C18" s="1162"/>
      <c r="D18" s="428">
        <f>Application!O732</f>
        <v>2880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197337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25" sqref="C2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2368044</v>
      </c>
      <c r="G4" s="219">
        <f>E4*$C$4</f>
        <v>2427245.0999999996</v>
      </c>
      <c r="I4" s="219">
        <f>G4*$C$4</f>
        <v>2487926.2274999996</v>
      </c>
      <c r="K4" s="219">
        <f>I4*$C$4</f>
        <v>2550124.3831874994</v>
      </c>
      <c r="M4" s="219">
        <f>K4*$C$4</f>
        <v>2613877.4927671868</v>
      </c>
      <c r="O4" s="219">
        <f>M4*$C$4</f>
        <v>2679224.4300863664</v>
      </c>
      <c r="Q4" s="219">
        <f>O4*$C$4</f>
        <v>2746205.0408385252</v>
      </c>
      <c r="S4" s="219">
        <f>Q4*$C$4</f>
        <v>2814860.166859488</v>
      </c>
      <c r="U4" s="219">
        <f>S4*$C$4</f>
        <v>2885231.6710309749</v>
      </c>
      <c r="W4" s="219">
        <f>U4*$C$4</f>
        <v>2957362.4628067492</v>
      </c>
      <c r="Y4" s="219">
        <f>W4*$C$4</f>
        <v>3031296.5243769176</v>
      </c>
      <c r="AA4" s="219">
        <f>Y4*$C$4</f>
        <v>3107078.9374863403</v>
      </c>
      <c r="AC4" s="219">
        <f>AA4*$C$4</f>
        <v>3184755.9109234987</v>
      </c>
      <c r="AE4" s="219">
        <f>AC4*$C$4</f>
        <v>3264374.8086965857</v>
      </c>
      <c r="AG4" s="219">
        <f>AE4*$C$4</f>
        <v>3345984.1789140003</v>
      </c>
    </row>
    <row r="5" spans="1:34" s="210" customFormat="1" ht="14.25">
      <c r="B5" s="210" t="s">
        <v>839</v>
      </c>
      <c r="C5" s="238">
        <f>[1]EVERYTHING!$R$29</f>
        <v>5.7800243986046412E-2</v>
      </c>
      <c r="E5" s="221">
        <f>-E4*$C$5</f>
        <v>-136873.52096969329</v>
      </c>
      <c r="F5" s="221"/>
      <c r="G5" s="221">
        <f>-G4*$C$5</f>
        <v>-140295.3589939356</v>
      </c>
      <c r="H5" s="221"/>
      <c r="I5" s="221">
        <f>-I4*$C$5</f>
        <v>-143802.74296878398</v>
      </c>
      <c r="J5" s="221"/>
      <c r="K5" s="221">
        <f>-K4*$C$5</f>
        <v>-147397.81154300357</v>
      </c>
      <c r="L5" s="221"/>
      <c r="M5" s="221">
        <f>-M4*$C$5</f>
        <v>-151082.75683157868</v>
      </c>
      <c r="N5" s="221"/>
      <c r="O5" s="221">
        <f>-O4*$C$5</f>
        <v>-154859.82575236814</v>
      </c>
      <c r="P5" s="221"/>
      <c r="Q5" s="221">
        <f>-Q4*$C$5</f>
        <v>-158731.32139617731</v>
      </c>
      <c r="R5" s="221"/>
      <c r="S5" s="221">
        <f>-S4*$C$5</f>
        <v>-162699.60443108171</v>
      </c>
      <c r="T5" s="221"/>
      <c r="U5" s="221">
        <f>-U4*$C$5</f>
        <v>-166767.09454185874</v>
      </c>
      <c r="V5" s="221"/>
      <c r="W5" s="221">
        <f>-W4*$C$5</f>
        <v>-170936.27190540521</v>
      </c>
      <c r="X5" s="221"/>
      <c r="Y5" s="221">
        <f>-Y4*$C$5</f>
        <v>-175209.67870304032</v>
      </c>
      <c r="Z5" s="221"/>
      <c r="AA5" s="221">
        <f>-AA4*$C$5</f>
        <v>-179589.92067061632</v>
      </c>
      <c r="AB5" s="221"/>
      <c r="AC5" s="221">
        <f>-AC4*$C$5</f>
        <v>-184079.66868738172</v>
      </c>
      <c r="AD5" s="221"/>
      <c r="AE5" s="221">
        <f>-AE4*$C$5</f>
        <v>-188681.66040456624</v>
      </c>
      <c r="AF5" s="221"/>
      <c r="AG5" s="221">
        <f>-AG4*$C$5</f>
        <v>-193398.70191468039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12420</v>
      </c>
      <c r="F8" s="222"/>
      <c r="G8" s="222">
        <f>E8*$C$8</f>
        <v>12730.499999999998</v>
      </c>
      <c r="H8" s="222"/>
      <c r="I8" s="222">
        <f>G8*$C$8</f>
        <v>13048.762499999997</v>
      </c>
      <c r="J8" s="222"/>
      <c r="K8" s="222">
        <f>I8*$C$8</f>
        <v>13374.981562499996</v>
      </c>
      <c r="L8" s="222"/>
      <c r="M8" s="222">
        <f>K8*$C$8</f>
        <v>13709.356101562495</v>
      </c>
      <c r="N8" s="222"/>
      <c r="O8" s="222">
        <f>M8*$C$8</f>
        <v>14052.090004101556</v>
      </c>
      <c r="P8" s="222"/>
      <c r="Q8" s="222">
        <f>O8*$C$8</f>
        <v>14403.392254204093</v>
      </c>
      <c r="R8" s="222"/>
      <c r="S8" s="222">
        <f>Q8*$C$8</f>
        <v>14763.477060559193</v>
      </c>
      <c r="T8" s="222"/>
      <c r="U8" s="222">
        <f>S8*$C$8</f>
        <v>15132.563987073172</v>
      </c>
      <c r="V8" s="222"/>
      <c r="W8" s="222">
        <f>U8*$C$8</f>
        <v>15510.878086750001</v>
      </c>
      <c r="X8" s="222"/>
      <c r="Y8" s="222">
        <f>W8*$C$8</f>
        <v>15898.650038918749</v>
      </c>
      <c r="Z8" s="222"/>
      <c r="AA8" s="222">
        <f>Y8*$C$8</f>
        <v>16296.116289891717</v>
      </c>
      <c r="AB8" s="222"/>
      <c r="AC8" s="222">
        <f>AA8*$C$8</f>
        <v>16703.519197139009</v>
      </c>
      <c r="AD8" s="222"/>
      <c r="AE8" s="222">
        <f>AC8*$C$8</f>
        <v>17121.107177067483</v>
      </c>
      <c r="AF8" s="222"/>
      <c r="AG8" s="222">
        <f>AE8*$C$8</f>
        <v>17549.134856494169</v>
      </c>
    </row>
    <row r="9" spans="1:34" s="210" customFormat="1" ht="14.25">
      <c r="B9" s="210" t="s">
        <v>839</v>
      </c>
      <c r="C9" s="238">
        <f>C5</f>
        <v>5.7800243986046412E-2</v>
      </c>
      <c r="E9" s="221">
        <f>-E8*$C$9</f>
        <v>-717.87903030669645</v>
      </c>
      <c r="F9" s="221"/>
      <c r="G9" s="221">
        <f>-G8*$C$9</f>
        <v>-735.8260060643637</v>
      </c>
      <c r="H9" s="221"/>
      <c r="I9" s="221">
        <f>-I8*$C$9</f>
        <v>-754.22165621597276</v>
      </c>
      <c r="J9" s="221"/>
      <c r="K9" s="221">
        <f>-K8*$C$9</f>
        <v>-773.07719762137197</v>
      </c>
      <c r="L9" s="221"/>
      <c r="M9" s="221">
        <f>-M8*$C$9</f>
        <v>-792.40412756190631</v>
      </c>
      <c r="N9" s="221"/>
      <c r="O9" s="221">
        <f>-O8*$C$9</f>
        <v>-812.2142307509539</v>
      </c>
      <c r="P9" s="221"/>
      <c r="Q9" s="221">
        <f>-Q8*$C$9</f>
        <v>-832.51958651972757</v>
      </c>
      <c r="R9" s="221"/>
      <c r="S9" s="221">
        <f>-S8*$C$9</f>
        <v>-853.33257618272069</v>
      </c>
      <c r="T9" s="221"/>
      <c r="U9" s="221">
        <f>-U8*$C$9</f>
        <v>-874.66589058728869</v>
      </c>
      <c r="V9" s="221"/>
      <c r="W9" s="221">
        <f>-W8*$C$9</f>
        <v>-896.5325378519708</v>
      </c>
      <c r="X9" s="221"/>
      <c r="Y9" s="221">
        <f>-Y8*$C$9</f>
        <v>-918.94585129826999</v>
      </c>
      <c r="Z9" s="221"/>
      <c r="AA9" s="221">
        <f>-AA8*$C$9</f>
        <v>-941.91949758072667</v>
      </c>
      <c r="AB9" s="221"/>
      <c r="AC9" s="221">
        <f>-AC8*$C$9</f>
        <v>-965.46748502024479</v>
      </c>
      <c r="AD9" s="221"/>
      <c r="AE9" s="221">
        <f>-AE8*$C$9</f>
        <v>-989.60417214575079</v>
      </c>
      <c r="AF9" s="221"/>
      <c r="AG9" s="221">
        <f>-AG8*$C$9</f>
        <v>-1014.3442764493946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2242872.6</v>
      </c>
      <c r="G11" s="223">
        <f>SUM(G4:G10)</f>
        <v>2298944.415</v>
      </c>
      <c r="I11" s="223">
        <f>SUM(I4:I10)</f>
        <v>2356418.0253749997</v>
      </c>
      <c r="K11" s="223">
        <f>SUM(K4:K10)</f>
        <v>2415328.476009374</v>
      </c>
      <c r="M11" s="223">
        <f>SUM(M4:M10)</f>
        <v>2475711.6879096082</v>
      </c>
      <c r="O11" s="223">
        <f>SUM(O4:O10)</f>
        <v>2537604.4801073484</v>
      </c>
      <c r="Q11" s="223">
        <f>SUM(Q4:Q10)</f>
        <v>2601044.5921100322</v>
      </c>
      <c r="S11" s="223">
        <f>SUM(S4:S10)</f>
        <v>2666070.706912783</v>
      </c>
      <c r="U11" s="223">
        <f>SUM(U4:U10)</f>
        <v>2732722.4745856016</v>
      </c>
      <c r="W11" s="223">
        <f>SUM(W4:W10)</f>
        <v>2801040.5364502417</v>
      </c>
      <c r="Y11" s="223">
        <f>SUM(Y4:Y10)</f>
        <v>2871066.5498614982</v>
      </c>
      <c r="AA11" s="223">
        <f>SUM(AA4:AA10)</f>
        <v>2942843.2136080349</v>
      </c>
      <c r="AC11" s="223">
        <f>SUM(AC4:AC10)</f>
        <v>3016414.2939482355</v>
      </c>
      <c r="AE11" s="223">
        <f>SUM(AE4:AE10)</f>
        <v>3091824.6512969411</v>
      </c>
      <c r="AG11" s="223">
        <f>SUM(AG4:AG10)</f>
        <v>3169120.2675793651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130862</v>
      </c>
      <c r="G15" s="219">
        <f>E15*$C$14</f>
        <v>135442.16999999998</v>
      </c>
      <c r="I15" s="219">
        <f>G15*$C$14</f>
        <v>140182.64594999998</v>
      </c>
      <c r="K15" s="219">
        <f>I15*$C$14</f>
        <v>145089.03855824997</v>
      </c>
      <c r="M15" s="219">
        <f>K15*$C$14</f>
        <v>150167.1549077887</v>
      </c>
      <c r="O15" s="219">
        <f>M15*$C$14</f>
        <v>155423.0053295613</v>
      </c>
      <c r="Q15" s="219">
        <f>O15*$C$14</f>
        <v>160862.81051609592</v>
      </c>
      <c r="S15" s="219">
        <f>Q15*$C$14</f>
        <v>166493.00888415927</v>
      </c>
      <c r="U15" s="219">
        <f>S15*$C$14</f>
        <v>172320.26419510483</v>
      </c>
      <c r="W15" s="219">
        <f>U15*$C$14</f>
        <v>178351.47344193349</v>
      </c>
      <c r="Y15" s="219">
        <f>W15*$C$14</f>
        <v>184593.77501240114</v>
      </c>
      <c r="AA15" s="219">
        <f>Y15*$C$14</f>
        <v>191054.55713783516</v>
      </c>
      <c r="AC15" s="219">
        <f>AA15*$C$14</f>
        <v>197741.46663765938</v>
      </c>
      <c r="AE15" s="219">
        <f>AC15*$C$14</f>
        <v>204662.41796997745</v>
      </c>
      <c r="AG15" s="219">
        <f>AE15*$C$14</f>
        <v>211825.60259892663</v>
      </c>
    </row>
    <row r="16" spans="1:34" s="210" customFormat="1" ht="14.25">
      <c r="A16" s="210" t="s">
        <v>344</v>
      </c>
      <c r="C16" s="233"/>
      <c r="E16" s="222">
        <f>Application!W849</f>
        <v>103500</v>
      </c>
      <c r="F16" s="222"/>
      <c r="G16" s="222">
        <f t="shared" ref="G16:AG21" si="0">E16*$C$14</f>
        <v>107122.49999999999</v>
      </c>
      <c r="H16" s="222"/>
      <c r="I16" s="222">
        <f t="shared" si="0"/>
        <v>110871.78749999998</v>
      </c>
      <c r="J16" s="222"/>
      <c r="K16" s="222">
        <f t="shared" si="0"/>
        <v>114752.30006249997</v>
      </c>
      <c r="L16" s="222"/>
      <c r="M16" s="222">
        <f t="shared" si="0"/>
        <v>118768.63056468745</v>
      </c>
      <c r="N16" s="222"/>
      <c r="O16" s="222">
        <f t="shared" si="0"/>
        <v>122925.53263445151</v>
      </c>
      <c r="P16" s="222"/>
      <c r="Q16" s="222">
        <f t="shared" si="0"/>
        <v>127227.92627665729</v>
      </c>
      <c r="R16" s="222"/>
      <c r="S16" s="222">
        <f t="shared" si="0"/>
        <v>131680.90369634028</v>
      </c>
      <c r="T16" s="222"/>
      <c r="U16" s="222">
        <f t="shared" si="0"/>
        <v>136289.73532571219</v>
      </c>
      <c r="V16" s="222"/>
      <c r="W16" s="222">
        <f t="shared" si="0"/>
        <v>141059.8760621121</v>
      </c>
      <c r="X16" s="222"/>
      <c r="Y16" s="222">
        <f t="shared" si="0"/>
        <v>145996.97172428601</v>
      </c>
      <c r="Z16" s="222"/>
      <c r="AA16" s="222">
        <f t="shared" si="0"/>
        <v>151106.865734636</v>
      </c>
      <c r="AB16" s="222"/>
      <c r="AC16" s="222">
        <f t="shared" si="0"/>
        <v>156395.60603534823</v>
      </c>
      <c r="AD16" s="222"/>
      <c r="AE16" s="222">
        <f t="shared" si="0"/>
        <v>161869.4522465854</v>
      </c>
      <c r="AF16" s="222"/>
      <c r="AG16" s="222">
        <f t="shared" si="0"/>
        <v>167534.88307521588</v>
      </c>
    </row>
    <row r="17" spans="1:33" s="210" customFormat="1" ht="14.25">
      <c r="A17" s="210" t="s">
        <v>562</v>
      </c>
      <c r="C17" s="233"/>
      <c r="E17" s="222">
        <f>Application!W855</f>
        <v>159500</v>
      </c>
      <c r="F17" s="222"/>
      <c r="G17" s="222">
        <f t="shared" si="0"/>
        <v>165082.5</v>
      </c>
      <c r="H17" s="222"/>
      <c r="I17" s="222">
        <f t="shared" si="0"/>
        <v>170860.38749999998</v>
      </c>
      <c r="J17" s="222"/>
      <c r="K17" s="222">
        <f t="shared" si="0"/>
        <v>176840.50106249997</v>
      </c>
      <c r="L17" s="222"/>
      <c r="M17" s="222">
        <f t="shared" si="0"/>
        <v>183029.91859968746</v>
      </c>
      <c r="N17" s="222"/>
      <c r="O17" s="222">
        <f t="shared" si="0"/>
        <v>189435.96575067649</v>
      </c>
      <c r="P17" s="222"/>
      <c r="Q17" s="222">
        <f t="shared" si="0"/>
        <v>196066.22455195014</v>
      </c>
      <c r="R17" s="222"/>
      <c r="S17" s="222">
        <f t="shared" si="0"/>
        <v>202928.5424112684</v>
      </c>
      <c r="T17" s="222"/>
      <c r="U17" s="222">
        <f t="shared" si="0"/>
        <v>210031.04139566279</v>
      </c>
      <c r="V17" s="222"/>
      <c r="W17" s="222">
        <f t="shared" si="0"/>
        <v>217382.12784451098</v>
      </c>
      <c r="X17" s="222"/>
      <c r="Y17" s="222">
        <f t="shared" si="0"/>
        <v>224990.50231906885</v>
      </c>
      <c r="Z17" s="222"/>
      <c r="AA17" s="222">
        <f t="shared" si="0"/>
        <v>232865.16990023624</v>
      </c>
      <c r="AB17" s="222"/>
      <c r="AC17" s="222">
        <f t="shared" si="0"/>
        <v>241015.4508467445</v>
      </c>
      <c r="AD17" s="222"/>
      <c r="AE17" s="222">
        <f t="shared" si="0"/>
        <v>249450.99162638054</v>
      </c>
      <c r="AF17" s="222"/>
      <c r="AG17" s="222">
        <f t="shared" si="0"/>
        <v>258181.77633330383</v>
      </c>
    </row>
    <row r="18" spans="1:33" s="210" customFormat="1" ht="14.25">
      <c r="A18" s="210" t="s">
        <v>843</v>
      </c>
      <c r="C18" s="233"/>
      <c r="E18" s="222">
        <f>Application!W862</f>
        <v>275837</v>
      </c>
      <c r="F18" s="222"/>
      <c r="G18" s="222">
        <f t="shared" si="0"/>
        <v>285491.29499999998</v>
      </c>
      <c r="H18" s="222"/>
      <c r="I18" s="222">
        <f t="shared" si="0"/>
        <v>295483.49032499996</v>
      </c>
      <c r="J18" s="222"/>
      <c r="K18" s="222">
        <f t="shared" si="0"/>
        <v>305825.41248637496</v>
      </c>
      <c r="L18" s="222"/>
      <c r="M18" s="222">
        <f t="shared" si="0"/>
        <v>316529.30192339804</v>
      </c>
      <c r="N18" s="222"/>
      <c r="O18" s="222">
        <f t="shared" si="0"/>
        <v>327607.82749071694</v>
      </c>
      <c r="P18" s="222"/>
      <c r="Q18" s="222">
        <f t="shared" si="0"/>
        <v>339074.10145289201</v>
      </c>
      <c r="R18" s="222"/>
      <c r="S18" s="222">
        <f t="shared" si="0"/>
        <v>350941.69500374323</v>
      </c>
      <c r="T18" s="222"/>
      <c r="U18" s="222">
        <f t="shared" si="0"/>
        <v>363224.6543288742</v>
      </c>
      <c r="V18" s="222"/>
      <c r="W18" s="222">
        <f t="shared" si="0"/>
        <v>375937.51723038475</v>
      </c>
      <c r="X18" s="222"/>
      <c r="Y18" s="222">
        <f t="shared" si="0"/>
        <v>389095.33033344819</v>
      </c>
      <c r="Z18" s="222"/>
      <c r="AA18" s="222">
        <f t="shared" si="0"/>
        <v>402713.66689511883</v>
      </c>
      <c r="AB18" s="222"/>
      <c r="AC18" s="222">
        <f t="shared" si="0"/>
        <v>416808.64523644798</v>
      </c>
      <c r="AD18" s="222"/>
      <c r="AE18" s="222">
        <f t="shared" si="0"/>
        <v>431396.94781972363</v>
      </c>
      <c r="AF18" s="222"/>
      <c r="AG18" s="222">
        <f t="shared" si="0"/>
        <v>446495.84099341393</v>
      </c>
    </row>
    <row r="19" spans="1:33" s="210" customFormat="1" ht="14.25">
      <c r="A19" s="210" t="s">
        <v>155</v>
      </c>
      <c r="C19" s="233"/>
      <c r="E19" s="222">
        <f>Application!W863</f>
        <v>186481</v>
      </c>
      <c r="F19" s="222"/>
      <c r="G19" s="222">
        <f t="shared" si="0"/>
        <v>193007.83499999999</v>
      </c>
      <c r="H19" s="222"/>
      <c r="I19" s="222">
        <f t="shared" si="0"/>
        <v>199763.10922499996</v>
      </c>
      <c r="J19" s="222"/>
      <c r="K19" s="222">
        <f t="shared" si="0"/>
        <v>206754.81804787496</v>
      </c>
      <c r="L19" s="222"/>
      <c r="M19" s="222">
        <f t="shared" si="0"/>
        <v>213991.23667955055</v>
      </c>
      <c r="N19" s="222"/>
      <c r="O19" s="222">
        <f t="shared" si="0"/>
        <v>221480.92996333481</v>
      </c>
      <c r="P19" s="222"/>
      <c r="Q19" s="222">
        <f t="shared" si="0"/>
        <v>229232.7625120515</v>
      </c>
      <c r="R19" s="222"/>
      <c r="S19" s="222">
        <f t="shared" si="0"/>
        <v>237255.90919997328</v>
      </c>
      <c r="T19" s="222"/>
      <c r="U19" s="222">
        <f t="shared" si="0"/>
        <v>245559.86602197232</v>
      </c>
      <c r="V19" s="222"/>
      <c r="W19" s="222">
        <f t="shared" si="0"/>
        <v>254154.46133274134</v>
      </c>
      <c r="X19" s="222"/>
      <c r="Y19" s="222">
        <f t="shared" si="0"/>
        <v>263049.86747938726</v>
      </c>
      <c r="Z19" s="222"/>
      <c r="AA19" s="222">
        <f t="shared" si="0"/>
        <v>272256.6128411658</v>
      </c>
      <c r="AB19" s="222"/>
      <c r="AC19" s="222">
        <f t="shared" si="0"/>
        <v>281785.59429060656</v>
      </c>
      <c r="AD19" s="222"/>
      <c r="AE19" s="222">
        <f t="shared" si="0"/>
        <v>291648.09009077778</v>
      </c>
      <c r="AF19" s="222"/>
      <c r="AG19" s="222">
        <f t="shared" si="0"/>
        <v>301855.77324395499</v>
      </c>
    </row>
    <row r="20" spans="1:33" s="210" customFormat="1" ht="14.25">
      <c r="A20" s="210" t="s">
        <v>390</v>
      </c>
      <c r="C20" s="233"/>
      <c r="E20" s="222">
        <f>Application!W872</f>
        <v>165300</v>
      </c>
      <c r="F20" s="222"/>
      <c r="G20" s="222">
        <f t="shared" si="0"/>
        <v>171085.5</v>
      </c>
      <c r="H20" s="222"/>
      <c r="I20" s="222">
        <f t="shared" si="0"/>
        <v>177073.49249999999</v>
      </c>
      <c r="J20" s="222"/>
      <c r="K20" s="222">
        <f t="shared" si="0"/>
        <v>183271.06473749998</v>
      </c>
      <c r="L20" s="222"/>
      <c r="M20" s="222">
        <f t="shared" si="0"/>
        <v>189685.55200331248</v>
      </c>
      <c r="N20" s="222"/>
      <c r="O20" s="222">
        <f t="shared" si="0"/>
        <v>196324.5463234284</v>
      </c>
      <c r="P20" s="222"/>
      <c r="Q20" s="222">
        <f t="shared" si="0"/>
        <v>203195.90544474838</v>
      </c>
      <c r="R20" s="222"/>
      <c r="S20" s="222">
        <f t="shared" si="0"/>
        <v>210307.76213531455</v>
      </c>
      <c r="T20" s="222"/>
      <c r="U20" s="222">
        <f t="shared" si="0"/>
        <v>217668.53381005055</v>
      </c>
      <c r="V20" s="222"/>
      <c r="W20" s="222">
        <f t="shared" si="0"/>
        <v>225286.9324934023</v>
      </c>
      <c r="X20" s="222"/>
      <c r="Y20" s="222">
        <f t="shared" si="0"/>
        <v>233171.97513067137</v>
      </c>
      <c r="Z20" s="222"/>
      <c r="AA20" s="222">
        <f t="shared" si="0"/>
        <v>241332.99426024486</v>
      </c>
      <c r="AB20" s="222"/>
      <c r="AC20" s="222">
        <f t="shared" si="0"/>
        <v>249779.6490593534</v>
      </c>
      <c r="AD20" s="222"/>
      <c r="AE20" s="222">
        <f t="shared" si="0"/>
        <v>258521.93677643075</v>
      </c>
      <c r="AF20" s="222"/>
      <c r="AG20" s="222">
        <f t="shared" si="0"/>
        <v>267570.20456360583</v>
      </c>
    </row>
    <row r="21" spans="1:33" s="210" customFormat="1" ht="14.25">
      <c r="A21" s="226" t="s">
        <v>963</v>
      </c>
      <c r="B21" s="226"/>
      <c r="C21" s="233"/>
      <c r="E21" s="232">
        <f>Application!W879</f>
        <v>75661</v>
      </c>
      <c r="F21" s="222"/>
      <c r="G21" s="232">
        <f t="shared" si="0"/>
        <v>78309.134999999995</v>
      </c>
      <c r="H21" s="222"/>
      <c r="I21" s="232">
        <f t="shared" si="0"/>
        <v>81049.954724999989</v>
      </c>
      <c r="J21" s="222"/>
      <c r="K21" s="232">
        <f t="shared" si="0"/>
        <v>83886.703140374986</v>
      </c>
      <c r="L21" s="222"/>
      <c r="M21" s="232">
        <f t="shared" si="0"/>
        <v>86822.737750288099</v>
      </c>
      <c r="N21" s="222"/>
      <c r="O21" s="232">
        <f t="shared" si="0"/>
        <v>89861.533571548178</v>
      </c>
      <c r="P21" s="222"/>
      <c r="Q21" s="232">
        <f t="shared" si="0"/>
        <v>93006.687246552363</v>
      </c>
      <c r="R21" s="222"/>
      <c r="S21" s="232">
        <f t="shared" si="0"/>
        <v>96261.921300181682</v>
      </c>
      <c r="T21" s="222"/>
      <c r="U21" s="232">
        <f t="shared" si="0"/>
        <v>99631.088545688035</v>
      </c>
      <c r="V21" s="222"/>
      <c r="W21" s="232">
        <f t="shared" si="0"/>
        <v>103118.17664478711</v>
      </c>
      <c r="X21" s="222"/>
      <c r="Y21" s="232">
        <f t="shared" si="0"/>
        <v>106727.31282735465</v>
      </c>
      <c r="Z21" s="222"/>
      <c r="AA21" s="232">
        <f t="shared" si="0"/>
        <v>110462.76877631205</v>
      </c>
      <c r="AB21" s="222"/>
      <c r="AC21" s="232">
        <f t="shared" si="0"/>
        <v>114328.96568348297</v>
      </c>
      <c r="AD21" s="222"/>
      <c r="AE21" s="232">
        <f t="shared" si="0"/>
        <v>118330.47948240486</v>
      </c>
      <c r="AF21" s="222"/>
      <c r="AG21" s="232">
        <f t="shared" si="0"/>
        <v>122472.04626428902</v>
      </c>
    </row>
    <row r="22" spans="1:33" s="223" customFormat="1" ht="15">
      <c r="A22" s="223" t="s">
        <v>844</v>
      </c>
      <c r="C22" s="233"/>
      <c r="E22" s="223">
        <f>SUM(E15:E21)</f>
        <v>1097141</v>
      </c>
      <c r="G22" s="223">
        <f>SUM(G15:G21)</f>
        <v>1135540.9349999998</v>
      </c>
      <c r="I22" s="223">
        <f>SUM(I15:I21)</f>
        <v>1175284.867725</v>
      </c>
      <c r="K22" s="223">
        <f>SUM(K15:K21)</f>
        <v>1216419.8380953749</v>
      </c>
      <c r="M22" s="223">
        <f>SUM(M15:M21)</f>
        <v>1258994.5324287126</v>
      </c>
      <c r="O22" s="223">
        <f>SUM(O15:O21)</f>
        <v>1303059.3410637178</v>
      </c>
      <c r="Q22" s="223">
        <f>SUM(Q15:Q21)</f>
        <v>1348666.4180009477</v>
      </c>
      <c r="S22" s="223">
        <f>SUM(S15:S21)</f>
        <v>1395869.7426309807</v>
      </c>
      <c r="U22" s="223">
        <f>SUM(U15:U21)</f>
        <v>1444725.1836230648</v>
      </c>
      <c r="W22" s="223">
        <f>SUM(W15:W21)</f>
        <v>1495290.5650498723</v>
      </c>
      <c r="Y22" s="223">
        <f>SUM(Y15:Y21)</f>
        <v>1547625.7348266174</v>
      </c>
      <c r="AA22" s="223">
        <f>SUM(AA15:AA21)</f>
        <v>1601792.6355455488</v>
      </c>
      <c r="AC22" s="223">
        <f>SUM(AC15:AC21)</f>
        <v>1657855.3777896431</v>
      </c>
      <c r="AE22" s="223">
        <f>SUM(AE15:AE21)</f>
        <v>1715880.3160122805</v>
      </c>
      <c r="AG22" s="223">
        <f>SUM(AG15:AG21)</f>
        <v>1775936.1270727098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140477</v>
      </c>
      <c r="F27" s="222"/>
      <c r="G27" s="222">
        <f>E27*$C$27</f>
        <v>145393.69499999998</v>
      </c>
      <c r="H27" s="222"/>
      <c r="I27" s="222">
        <f>G27*$C$27</f>
        <v>150482.47432499996</v>
      </c>
      <c r="J27" s="222"/>
      <c r="K27" s="222">
        <f>I27*$C$27</f>
        <v>155749.36092637494</v>
      </c>
      <c r="L27" s="222"/>
      <c r="M27" s="222">
        <f>K27*$C$27</f>
        <v>161200.58855879804</v>
      </c>
      <c r="N27" s="222"/>
      <c r="O27" s="222">
        <f>M27*$C$27</f>
        <v>166842.60915835598</v>
      </c>
      <c r="P27" s="222"/>
      <c r="Q27" s="222">
        <f>O27*$C$27</f>
        <v>172682.10047889841</v>
      </c>
      <c r="R27" s="222"/>
      <c r="S27" s="222">
        <f>Q27*$C$27</f>
        <v>178725.97399565985</v>
      </c>
      <c r="T27" s="222"/>
      <c r="U27" s="222">
        <f>S27*$C$27</f>
        <v>184981.38308550793</v>
      </c>
      <c r="V27" s="222"/>
      <c r="W27" s="222">
        <f>U27*$C$27</f>
        <v>191455.7314935007</v>
      </c>
      <c r="X27" s="222"/>
      <c r="Y27" s="222">
        <f>W27*$C$27</f>
        <v>198156.6820957732</v>
      </c>
      <c r="Z27" s="222"/>
      <c r="AA27" s="222">
        <f>Y27*$C$27</f>
        <v>205092.16596912526</v>
      </c>
      <c r="AB27" s="222"/>
      <c r="AC27" s="222">
        <f>AA27*$C$27</f>
        <v>212270.39177804464</v>
      </c>
      <c r="AD27" s="222"/>
      <c r="AE27" s="222">
        <f>AC27*$C$27</f>
        <v>219699.85549027618</v>
      </c>
      <c r="AF27" s="222"/>
      <c r="AG27" s="222">
        <f>AE27*$C$27</f>
        <v>227389.35043243584</v>
      </c>
    </row>
    <row r="28" spans="1:33" s="210" customFormat="1" ht="14.25">
      <c r="A28" s="210" t="s">
        <v>847</v>
      </c>
      <c r="C28" s="237"/>
      <c r="E28" s="222">
        <f>Application!AC889</f>
        <v>57500</v>
      </c>
      <c r="F28" s="222"/>
      <c r="G28" s="222">
        <f>$E$28</f>
        <v>57500</v>
      </c>
      <c r="H28" s="222"/>
      <c r="I28" s="222">
        <f>$E$28</f>
        <v>57500</v>
      </c>
      <c r="J28" s="222"/>
      <c r="K28" s="222">
        <f>$E$28</f>
        <v>57500</v>
      </c>
      <c r="L28" s="222"/>
      <c r="M28" s="222">
        <f>$E$28</f>
        <v>57500</v>
      </c>
      <c r="N28" s="222"/>
      <c r="O28" s="222">
        <f>$E$28</f>
        <v>57500</v>
      </c>
      <c r="P28" s="222"/>
      <c r="Q28" s="222">
        <f>$E$28</f>
        <v>57500</v>
      </c>
      <c r="R28" s="222"/>
      <c r="S28" s="222">
        <f>$E$28</f>
        <v>57500</v>
      </c>
      <c r="T28" s="222"/>
      <c r="U28" s="222">
        <f>$E$28</f>
        <v>57500</v>
      </c>
      <c r="V28" s="222"/>
      <c r="W28" s="222">
        <f>$E$28</f>
        <v>57500</v>
      </c>
      <c r="X28" s="222"/>
      <c r="Y28" s="222">
        <f>$E$28</f>
        <v>57500</v>
      </c>
      <c r="Z28" s="222"/>
      <c r="AA28" s="222">
        <f>$E$28</f>
        <v>57500</v>
      </c>
      <c r="AB28" s="222"/>
      <c r="AC28" s="222">
        <f>$E$28</f>
        <v>57500</v>
      </c>
      <c r="AD28" s="222"/>
      <c r="AE28" s="222">
        <f>$E$28</f>
        <v>57500</v>
      </c>
      <c r="AF28" s="222"/>
      <c r="AG28" s="222">
        <f>$E$28</f>
        <v>57500</v>
      </c>
    </row>
    <row r="29" spans="1:33" s="210" customFormat="1" ht="14.25">
      <c r="A29" s="210" t="s">
        <v>1681</v>
      </c>
      <c r="C29" s="237"/>
      <c r="E29" s="222">
        <f>Application!AC890</f>
        <v>15936.5</v>
      </c>
      <c r="F29" s="222"/>
      <c r="G29" s="222">
        <f>$E$29</f>
        <v>15936.5</v>
      </c>
      <c r="H29" s="222"/>
      <c r="I29" s="222">
        <f>$E$29</f>
        <v>15936.5</v>
      </c>
      <c r="J29" s="222"/>
      <c r="K29" s="222">
        <f>$E$29</f>
        <v>15936.5</v>
      </c>
      <c r="L29" s="222"/>
      <c r="M29" s="222">
        <f>$E$29</f>
        <v>15936.5</v>
      </c>
      <c r="N29" s="222"/>
      <c r="O29" s="222">
        <f>$E$29</f>
        <v>15936.5</v>
      </c>
      <c r="P29" s="222"/>
      <c r="Q29" s="222">
        <f>$E$29</f>
        <v>15936.5</v>
      </c>
      <c r="R29" s="222"/>
      <c r="S29" s="222">
        <f>$E$29</f>
        <v>15936.5</v>
      </c>
      <c r="T29" s="222"/>
      <c r="U29" s="222">
        <f>$E$29</f>
        <v>15936.5</v>
      </c>
      <c r="V29" s="222"/>
      <c r="W29" s="222">
        <f>$E$29</f>
        <v>15936.5</v>
      </c>
      <c r="X29" s="222"/>
      <c r="Y29" s="222">
        <f>$E$29</f>
        <v>15936.5</v>
      </c>
      <c r="Z29" s="222"/>
      <c r="AA29" s="222">
        <f>$E$29</f>
        <v>15936.5</v>
      </c>
      <c r="AB29" s="222"/>
      <c r="AC29" s="222">
        <f>$E$29</f>
        <v>15936.5</v>
      </c>
      <c r="AD29" s="222"/>
      <c r="AE29" s="222">
        <f>$E$29</f>
        <v>15936.5</v>
      </c>
      <c r="AF29" s="222"/>
      <c r="AG29" s="222">
        <f>$E$29</f>
        <v>15936.5</v>
      </c>
    </row>
    <row r="30" spans="1:33" s="210" customFormat="1" ht="14.25">
      <c r="A30" s="210" t="s">
        <v>845</v>
      </c>
      <c r="C30" s="237">
        <v>1.02</v>
      </c>
      <c r="E30" s="222">
        <f>Application!AC891</f>
        <v>2400</v>
      </c>
      <c r="F30" s="222"/>
      <c r="G30" s="222">
        <f>E30*$C$30</f>
        <v>2448</v>
      </c>
      <c r="H30" s="222"/>
      <c r="I30" s="222">
        <f>G30*$C$30</f>
        <v>2496.96</v>
      </c>
      <c r="J30" s="222"/>
      <c r="K30" s="222">
        <f>I30*$C$30</f>
        <v>2546.8992000000003</v>
      </c>
      <c r="L30" s="222"/>
      <c r="M30" s="222">
        <f>K30*$C$30</f>
        <v>2597.8371840000004</v>
      </c>
      <c r="N30" s="222"/>
      <c r="O30" s="222">
        <f>M30*$C$30</f>
        <v>2649.7939276800007</v>
      </c>
      <c r="P30" s="222"/>
      <c r="Q30" s="222">
        <f>O30*$C$30</f>
        <v>2702.7898062336008</v>
      </c>
      <c r="R30" s="222"/>
      <c r="S30" s="222">
        <f>Q30*$C$30</f>
        <v>2756.845602358273</v>
      </c>
      <c r="T30" s="222"/>
      <c r="U30" s="222">
        <f>S30*$C$30</f>
        <v>2811.9825144054385</v>
      </c>
      <c r="V30" s="222"/>
      <c r="W30" s="222">
        <f>U30*$C$30</f>
        <v>2868.2221646935473</v>
      </c>
      <c r="X30" s="222"/>
      <c r="Y30" s="222">
        <f>W30*$C$30</f>
        <v>2925.5866079874181</v>
      </c>
      <c r="Z30" s="222"/>
      <c r="AA30" s="222">
        <f>Y30*$C$30</f>
        <v>2984.0983401471667</v>
      </c>
      <c r="AB30" s="222"/>
      <c r="AC30" s="222">
        <f>AA30*$C$30</f>
        <v>3043.7803069501101</v>
      </c>
      <c r="AD30" s="222"/>
      <c r="AE30" s="222">
        <f>AC30*$C$30</f>
        <v>3104.6559130891123</v>
      </c>
      <c r="AF30" s="222"/>
      <c r="AG30" s="222">
        <f>AE30*$C$30</f>
        <v>3166.7490313508947</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1313455.5</v>
      </c>
      <c r="G35" s="223">
        <f>SUM(G22:G33)</f>
        <v>1356820.13</v>
      </c>
      <c r="I35" s="223">
        <f>SUM(I22:I33)</f>
        <v>1401701.8020500001</v>
      </c>
      <c r="K35" s="223">
        <f>SUM(K22:K33)</f>
        <v>1448153.59822175</v>
      </c>
      <c r="M35" s="223">
        <f>SUM(M22:M33)</f>
        <v>1496230.4581715106</v>
      </c>
      <c r="O35" s="223">
        <f>SUM(O22:O33)</f>
        <v>1545989.2441497538</v>
      </c>
      <c r="Q35" s="223">
        <f>SUM(Q22:Q33)</f>
        <v>1597488.8082860797</v>
      </c>
      <c r="S35" s="223">
        <f>SUM(S22:S33)</f>
        <v>1650790.0622289986</v>
      </c>
      <c r="U35" s="223">
        <f>SUM(U22:U33)</f>
        <v>1705956.0492229781</v>
      </c>
      <c r="W35" s="223">
        <f>SUM(W22:W33)</f>
        <v>1763052.0187080665</v>
      </c>
      <c r="Y35" s="223">
        <f>SUM(Y22:Y33)</f>
        <v>1822145.5035303782</v>
      </c>
      <c r="AA35" s="223">
        <f>SUM(AA22:AA33)</f>
        <v>1883306.3998548212</v>
      </c>
      <c r="AC35" s="223">
        <f>SUM(AC22:AC33)</f>
        <v>1946607.049874638</v>
      </c>
      <c r="AE35" s="223">
        <f>SUM(AE22:AE33)</f>
        <v>2012122.3274156458</v>
      </c>
      <c r="AG35" s="223">
        <f>SUM(AG22:AG33)</f>
        <v>2079929.7265364965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929417.10000000009</v>
      </c>
      <c r="G37" s="223">
        <f>G11-G35</f>
        <v>942124.28500000015</v>
      </c>
      <c r="I37" s="223">
        <f>I11-I35</f>
        <v>954716.22332499968</v>
      </c>
      <c r="K37" s="223">
        <f>K11-K35</f>
        <v>967174.87778762402</v>
      </c>
      <c r="M37" s="223">
        <f>M11-M35</f>
        <v>979481.22973809764</v>
      </c>
      <c r="O37" s="223">
        <f>O11-O35</f>
        <v>991615.23595759459</v>
      </c>
      <c r="Q37" s="223">
        <f>Q11-Q35</f>
        <v>1003555.7838239525</v>
      </c>
      <c r="S37" s="223">
        <f>S11-S35</f>
        <v>1015280.6446837843</v>
      </c>
      <c r="U37" s="223">
        <f>U11-U35</f>
        <v>1026766.4253626235</v>
      </c>
      <c r="W37" s="223">
        <f>W11-W35</f>
        <v>1037988.5177421751</v>
      </c>
      <c r="Y37" s="223">
        <f>Y11-Y35</f>
        <v>1048921.04633112</v>
      </c>
      <c r="AA37" s="223">
        <f>AA11-AA35</f>
        <v>1059536.8137532137</v>
      </c>
      <c r="AC37" s="223">
        <f>AC11-AC35</f>
        <v>1069807.2440735975</v>
      </c>
      <c r="AE37" s="223">
        <f>AE11-AE35</f>
        <v>1079702.3238812953</v>
      </c>
      <c r="AG37" s="223">
        <f>AG11-AG35</f>
        <v>1089190.5410428685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Mortgage</v>
      </c>
      <c r="B40" s="226"/>
      <c r="C40" s="220"/>
      <c r="E40" s="222">
        <f>Application!AF627</f>
        <v>631756.88758109079</v>
      </c>
      <c r="F40" s="222"/>
      <c r="G40" s="222">
        <f>$E$40</f>
        <v>631756.88758109079</v>
      </c>
      <c r="H40" s="222"/>
      <c r="I40" s="222">
        <f>$E$40</f>
        <v>631756.88758109079</v>
      </c>
      <c r="J40" s="222"/>
      <c r="K40" s="222">
        <f>$E$40</f>
        <v>631756.88758109079</v>
      </c>
      <c r="L40" s="222"/>
      <c r="M40" s="222">
        <f>$E$40</f>
        <v>631756.88758109079</v>
      </c>
      <c r="N40" s="222"/>
      <c r="O40" s="222">
        <f>$E$40</f>
        <v>631756.88758109079</v>
      </c>
      <c r="P40" s="222"/>
      <c r="Q40" s="222">
        <f>$E$40</f>
        <v>631756.88758109079</v>
      </c>
      <c r="R40" s="222"/>
      <c r="S40" s="222">
        <f>$E$40</f>
        <v>631756.88758109079</v>
      </c>
      <c r="T40" s="222"/>
      <c r="U40" s="222">
        <f>$E$40</f>
        <v>631756.88758109079</v>
      </c>
      <c r="V40" s="222"/>
      <c r="W40" s="222">
        <f>$E$40</f>
        <v>631756.88758109079</v>
      </c>
      <c r="X40" s="222"/>
      <c r="Y40" s="222">
        <f>$E$40</f>
        <v>631756.88758109079</v>
      </c>
      <c r="Z40" s="222"/>
      <c r="AA40" s="222">
        <f>$E$40</f>
        <v>631756.88758109079</v>
      </c>
      <c r="AB40" s="222"/>
      <c r="AC40" s="222">
        <f>$E$40</f>
        <v>631756.88758109079</v>
      </c>
      <c r="AD40" s="222"/>
      <c r="AE40" s="222">
        <f>$E$40</f>
        <v>631756.88758109079</v>
      </c>
      <c r="AF40" s="222"/>
      <c r="AG40" s="222">
        <f>$E$40</f>
        <v>631756.88758109079</v>
      </c>
    </row>
    <row r="41" spans="1:33" s="210" customFormat="1" ht="14.25">
      <c r="A41" s="225" t="s">
        <v>2199</v>
      </c>
      <c r="B41" s="226"/>
      <c r="C41" s="220"/>
      <c r="E41" s="222">
        <f>Application!AF628</f>
        <v>176396.40059999999</v>
      </c>
      <c r="F41" s="222"/>
      <c r="G41" s="222">
        <f>$E$41</f>
        <v>176396.40059999999</v>
      </c>
      <c r="H41" s="222"/>
      <c r="I41" s="222">
        <f>$E$41</f>
        <v>176396.40059999999</v>
      </c>
      <c r="J41" s="222"/>
      <c r="K41" s="222">
        <f>$E$41</f>
        <v>176396.40059999999</v>
      </c>
      <c r="L41" s="222"/>
      <c r="M41" s="222">
        <f>$E$41</f>
        <v>176396.40059999999</v>
      </c>
      <c r="N41" s="222"/>
      <c r="O41" s="222">
        <f>$E$41</f>
        <v>176396.40059999999</v>
      </c>
      <c r="P41" s="222"/>
      <c r="Q41" s="222">
        <f>$E$41</f>
        <v>176396.40059999999</v>
      </c>
      <c r="R41" s="222"/>
      <c r="S41" s="222">
        <f>$E$41</f>
        <v>176396.40059999999</v>
      </c>
      <c r="T41" s="222"/>
      <c r="U41" s="222">
        <f>$E$41</f>
        <v>176396.40059999999</v>
      </c>
      <c r="V41" s="222"/>
      <c r="W41" s="222">
        <f>$E$41</f>
        <v>176396.40059999999</v>
      </c>
      <c r="X41" s="222"/>
      <c r="Y41" s="222">
        <f>$E$41</f>
        <v>176396.40059999999</v>
      </c>
      <c r="Z41" s="222"/>
      <c r="AA41" s="222">
        <f>$E$41</f>
        <v>176396.40059999999</v>
      </c>
      <c r="AB41" s="222"/>
      <c r="AC41" s="222">
        <f>$E$41</f>
        <v>176396.40059999999</v>
      </c>
      <c r="AD41" s="222"/>
      <c r="AE41" s="222">
        <f>$E$41</f>
        <v>176396.40059999999</v>
      </c>
      <c r="AF41" s="222"/>
      <c r="AG41" s="222">
        <f>$E$41</f>
        <v>176396.40059999999</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808153.28818109073</v>
      </c>
      <c r="G43" s="223">
        <f>SUM(G40:G42)</f>
        <v>808153.28818109073</v>
      </c>
      <c r="I43" s="223">
        <f>SUM(I40:I42)</f>
        <v>808153.28818109073</v>
      </c>
      <c r="K43" s="223">
        <f>SUM(K40:K42)</f>
        <v>808153.28818109073</v>
      </c>
      <c r="M43" s="223">
        <f>SUM(M40:M42)</f>
        <v>808153.28818109073</v>
      </c>
      <c r="O43" s="223">
        <f>SUM(O40:O42)</f>
        <v>808153.28818109073</v>
      </c>
      <c r="Q43" s="223">
        <f>SUM(Q40:Q42)</f>
        <v>808153.28818109073</v>
      </c>
      <c r="S43" s="223">
        <f>SUM(S40:S42)</f>
        <v>808153.28818109073</v>
      </c>
      <c r="U43" s="223">
        <f>SUM(U40:U42)</f>
        <v>808153.28818109073</v>
      </c>
      <c r="W43" s="223">
        <f>SUM(W40:W42)</f>
        <v>808153.28818109073</v>
      </c>
      <c r="Y43" s="223">
        <f>SUM(Y40:Y42)</f>
        <v>808153.28818109073</v>
      </c>
      <c r="AA43" s="223">
        <f>SUM(AA40:AA42)</f>
        <v>808153.28818109073</v>
      </c>
      <c r="AC43" s="223">
        <f>SUM(AC40:AC42)</f>
        <v>808153.28818109073</v>
      </c>
      <c r="AE43" s="223">
        <f>SUM(AE40:AE42)</f>
        <v>808153.28818109073</v>
      </c>
      <c r="AG43" s="223">
        <f>SUM(AG40:AG42)</f>
        <v>808153.28818109073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121263.81181890937</v>
      </c>
      <c r="G45" s="223">
        <f>G37-G43</f>
        <v>133970.99681890942</v>
      </c>
      <c r="I45" s="223">
        <f>I37-I43</f>
        <v>146562.93514390895</v>
      </c>
      <c r="K45" s="223">
        <f>K37-K43</f>
        <v>159021.58960653329</v>
      </c>
      <c r="M45" s="223">
        <f>M37-M43</f>
        <v>171327.94155700691</v>
      </c>
      <c r="O45" s="223">
        <f>O37-O43</f>
        <v>183461.94777650386</v>
      </c>
      <c r="Q45" s="223">
        <f>Q37-Q43</f>
        <v>195402.49564286182</v>
      </c>
      <c r="S45" s="223">
        <f>S37-S43</f>
        <v>207127.35650269361</v>
      </c>
      <c r="U45" s="223">
        <f>U37-U43</f>
        <v>218613.1371815328</v>
      </c>
      <c r="W45" s="223">
        <f>W37-W43</f>
        <v>229835.22956108442</v>
      </c>
      <c r="Y45" s="223">
        <f>Y37-Y43</f>
        <v>240767.75815002923</v>
      </c>
      <c r="AA45" s="223">
        <f>AA37-AA43</f>
        <v>251383.52557212301</v>
      </c>
      <c r="AC45" s="223">
        <f>AC37-AC43</f>
        <v>261653.95589250675</v>
      </c>
      <c r="AE45" s="223">
        <f>AE37-AE43</f>
        <v>271549.03570020455</v>
      </c>
      <c r="AG45" s="223">
        <f>AG37-AG43</f>
        <v>281037.25286177779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5.0941250033148734E-2</v>
      </c>
      <c r="G47" s="227">
        <f>G45/(G4+G6+G8)</f>
        <v>5.4906695304211009E-2</v>
      </c>
      <c r="I47" s="227">
        <f>I45/(I4+I6+I8)</f>
        <v>5.8602319387411776E-2</v>
      </c>
      <c r="K47" s="227">
        <f>K45/(K4+K6+K8)</f>
        <v>6.20330130731441E-2</v>
      </c>
      <c r="M47" s="227">
        <f>M45/(M4+M6+M8)</f>
        <v>6.5203531381186688E-2</v>
      </c>
      <c r="O47" s="227">
        <f>O45/(O4+O6+O8)</f>
        <v>6.8118496711337059E-2</v>
      </c>
      <c r="Q47" s="227">
        <f>Q45/(Q4+Q6+Q8)</f>
        <v>7.0782401915635326E-2</v>
      </c>
      <c r="S47" s="227">
        <f>S45/(S4+S6+S8)</f>
        <v>7.3199613294066088E-2</v>
      </c>
      <c r="U47" s="227">
        <f>U45/(U4+U6+U8)</f>
        <v>7.5374373515598267E-2</v>
      </c>
      <c r="W47" s="227">
        <f>W45/(W4+W6+W8)</f>
        <v>7.7310804466364277E-2</v>
      </c>
      <c r="Y47" s="227">
        <f>Y45/(Y4+Y6+Y8)</f>
        <v>7.9012910026738173E-2</v>
      </c>
      <c r="AA47" s="227">
        <f>AA45/(AA4+AA6+AA8)</f>
        <v>8.0484578779034102E-2</v>
      </c>
      <c r="AC47" s="227">
        <f>AC45/(AC4+AC6+AC8)</f>
        <v>8.172958664750192E-2</v>
      </c>
      <c r="AE47" s="227">
        <f>AE45/(AE4+AE6+AE8)</f>
        <v>8.2751599472251164E-2</v>
      </c>
      <c r="AG47" s="227">
        <f>AG45/(AG4+AG6+AG8)</f>
        <v>8.3554175518700965E-2</v>
      </c>
    </row>
    <row r="48" spans="1:33" s="227" customFormat="1" ht="14.25">
      <c r="A48" s="227" t="s">
        <v>853</v>
      </c>
      <c r="C48" s="220"/>
      <c r="E48" s="227">
        <f>E45/E43</f>
        <v>0.15005050847697177</v>
      </c>
      <c r="G48" s="227">
        <f>G45/G43</f>
        <v>0.16577423958818224</v>
      </c>
      <c r="I48" s="227">
        <f>I45/I43</f>
        <v>0.18135536572990738</v>
      </c>
      <c r="K48" s="227">
        <f>K45/K43</f>
        <v>0.1967715678846558</v>
      </c>
      <c r="M48" s="227">
        <f>M45/M43</f>
        <v>0.21199931258414406</v>
      </c>
      <c r="O48" s="227">
        <f>O45/O43</f>
        <v>0.22701379856960227</v>
      </c>
      <c r="Q48" s="227">
        <f>Q45/Q43</f>
        <v>0.24178890131432107</v>
      </c>
      <c r="S48" s="227">
        <f>S45/S43</f>
        <v>0.25629711532681482</v>
      </c>
      <c r="U48" s="227">
        <f>U45/U43</f>
        <v>0.27050949415000841</v>
      </c>
      <c r="W48" s="227">
        <f>W45/W43</f>
        <v>0.28439558796868125</v>
      </c>
      <c r="Y48" s="227">
        <f>Y45/Y43</f>
        <v>0.29792337873415675</v>
      </c>
      <c r="AA48" s="227">
        <f>AA45/AA43</f>
        <v>0.31105921271187487</v>
      </c>
      <c r="AC48" s="227">
        <f>AC45/AC43</f>
        <v>0.32376773035399126</v>
      </c>
      <c r="AE48" s="227">
        <f>AE45/AE43</f>
        <v>0.33601179339550735</v>
      </c>
      <c r="AG48" s="227">
        <f>AG45/AG43</f>
        <v>0.34775240906871502</v>
      </c>
    </row>
    <row r="49" spans="1:34" s="228" customFormat="1" ht="14.25">
      <c r="A49" s="228" t="s">
        <v>851</v>
      </c>
      <c r="C49" s="229"/>
      <c r="E49" s="228">
        <f>E37/E43</f>
        <v>1.1500505084769719</v>
      </c>
      <c r="G49" s="228">
        <f>G37/G43</f>
        <v>1.1657742395881823</v>
      </c>
      <c r="I49" s="228">
        <f>I37/I43</f>
        <v>1.1813553657299074</v>
      </c>
      <c r="K49" s="228">
        <f>K37/K43</f>
        <v>1.1967715678846558</v>
      </c>
      <c r="M49" s="228">
        <f>M37/M43</f>
        <v>1.2119993125841442</v>
      </c>
      <c r="O49" s="228">
        <f>O37/O43</f>
        <v>1.2270137985696024</v>
      </c>
      <c r="Q49" s="228">
        <f>Q37/Q43</f>
        <v>1.2417889013143211</v>
      </c>
      <c r="S49" s="228">
        <f>S37/S43</f>
        <v>1.2562971153268148</v>
      </c>
      <c r="U49" s="228">
        <f>U37/U43</f>
        <v>1.2705094941500084</v>
      </c>
      <c r="W49" s="228">
        <f>W37/W43</f>
        <v>1.2843955879686813</v>
      </c>
      <c r="Y49" s="228">
        <f>Y37/Y43</f>
        <v>1.2979233787341569</v>
      </c>
      <c r="AA49" s="228">
        <f>AA37/AA43</f>
        <v>1.3110592127118748</v>
      </c>
      <c r="AC49" s="228">
        <f>AC37/AC43</f>
        <v>1.3237677303539912</v>
      </c>
      <c r="AE49" s="228">
        <f>AE37/AE43</f>
        <v>1.3360117933955074</v>
      </c>
      <c r="AG49" s="228">
        <f>AG37/AG43</f>
        <v>1.347752409068715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1185</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121263.81181890937</v>
      </c>
      <c r="G60" s="962">
        <f>G45-G58</f>
        <v>133970.99681890942</v>
      </c>
      <c r="I60" s="962">
        <f>I45-I58</f>
        <v>146562.93514390895</v>
      </c>
      <c r="K60" s="962">
        <f>K45-K58</f>
        <v>159021.58960653329</v>
      </c>
      <c r="M60" s="962">
        <f>M45-M58</f>
        <v>171327.94155700691</v>
      </c>
      <c r="O60" s="962">
        <f>O45-O58</f>
        <v>183461.94777650386</v>
      </c>
      <c r="Q60" s="962">
        <f>Q45-Q58</f>
        <v>195402.49564286182</v>
      </c>
      <c r="S60" s="962">
        <f>S45-S58</f>
        <v>207127.35650269361</v>
      </c>
      <c r="U60" s="962">
        <f>U45-U58</f>
        <v>218613.1371815328</v>
      </c>
      <c r="W60" s="962">
        <f>W45-W58</f>
        <v>229835.22956108442</v>
      </c>
      <c r="Y60" s="962">
        <f>Y45-Y58</f>
        <v>240767.75815002923</v>
      </c>
      <c r="AA60" s="962">
        <f>AA45-AA58</f>
        <v>251383.52557212301</v>
      </c>
      <c r="AC60" s="962">
        <f>AC45-AC58</f>
        <v>261653.95589250675</v>
      </c>
      <c r="AE60" s="962">
        <f>AE45-AE58</f>
        <v>271549.03570020455</v>
      </c>
      <c r="AG60" s="962">
        <f>AG45-AG58</f>
        <v>281037.25286177779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60631.905909454683</v>
      </c>
      <c r="G62" s="962">
        <f>G60*$C$62</f>
        <v>66985.498409454711</v>
      </c>
      <c r="I62" s="962">
        <f>I60*$C$62</f>
        <v>73281.467571954476</v>
      </c>
      <c r="K62" s="962">
        <f>K60*$C$62</f>
        <v>79510.794803266646</v>
      </c>
      <c r="M62" s="962">
        <f>M60*$C$62</f>
        <v>85663.970778503455</v>
      </c>
      <c r="O62" s="962">
        <f>O60*$C$62</f>
        <v>91730.97388825193</v>
      </c>
      <c r="Q62" s="962">
        <f>Q60*$C$62</f>
        <v>97701.247821430909</v>
      </c>
      <c r="S62" s="962">
        <f>S60*$C$62</f>
        <v>103563.67825134681</v>
      </c>
      <c r="U62" s="962">
        <f>U60*$C$62</f>
        <v>109306.5685907664</v>
      </c>
      <c r="W62" s="962">
        <f>W60*$C$62</f>
        <v>114917.61478054221</v>
      </c>
      <c r="Y62" s="962">
        <f>Y60*$C$62</f>
        <v>120383.87907501461</v>
      </c>
      <c r="AA62" s="962">
        <f>AA60*$C$62</f>
        <v>125691.7627860615</v>
      </c>
      <c r="AC62" s="962">
        <f>AC60*$C$62</f>
        <v>130826.97794625338</v>
      </c>
      <c r="AE62" s="962">
        <f>AE60*$C$62</f>
        <v>135774.51785010227</v>
      </c>
      <c r="AG62" s="962">
        <f>AG60*$C$62</f>
        <v>140518.62643088889</v>
      </c>
    </row>
    <row r="63" spans="1:34" s="962" customFormat="1">
      <c r="A63" s="2694" t="s">
        <v>1185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30315.952954727341</v>
      </c>
      <c r="G66" s="960">
        <f>G60*$C$65</f>
        <v>33492.749204727355</v>
      </c>
      <c r="I66" s="960">
        <f>I60*$C$65</f>
        <v>36640.733785977238</v>
      </c>
      <c r="K66" s="960">
        <f>K60*$C$65</f>
        <v>39755.397401633323</v>
      </c>
      <c r="M66" s="960">
        <f>M60*$C$65</f>
        <v>42831.985389251728</v>
      </c>
      <c r="O66" s="960">
        <f>O60*$C$65</f>
        <v>45865.486944125965</v>
      </c>
      <c r="Q66" s="960">
        <f>Q60*$C$65</f>
        <v>48850.623910715454</v>
      </c>
      <c r="S66" s="960">
        <f>S60*$C$65</f>
        <v>51781.839125673403</v>
      </c>
      <c r="U66" s="960">
        <f>U60*$C$65</f>
        <v>54653.284295383201</v>
      </c>
      <c r="W66" s="960">
        <f>W60*$C$65</f>
        <v>57458.807390271104</v>
      </c>
      <c r="Y66" s="960">
        <f>Y60*$C$65</f>
        <v>60191.939537507307</v>
      </c>
      <c r="AA66" s="960">
        <f>AA60*$C$65</f>
        <v>62845.881393030751</v>
      </c>
      <c r="AC66" s="960">
        <f>AC60*$C$65</f>
        <v>65413.488973126689</v>
      </c>
      <c r="AE66" s="960">
        <f>AE60*$C$65</f>
        <v>67887.258925051137</v>
      </c>
      <c r="AG66" s="960">
        <f>AG60*$C$65</f>
        <v>70259.313215444447</v>
      </c>
    </row>
    <row r="67" spans="1:34" s="960" customFormat="1">
      <c r="A67" s="965"/>
      <c r="B67" s="965"/>
      <c r="C67" s="970"/>
      <c r="E67" s="964">
        <f>$E60*$C$65</f>
        <v>30315.952954727341</v>
      </c>
      <c r="G67" s="960">
        <f>G60*$C$65</f>
        <v>33492.749204727355</v>
      </c>
      <c r="I67" s="960">
        <f>I60*$C$65</f>
        <v>36640.733785977238</v>
      </c>
      <c r="K67" s="960">
        <f>K60*$C$65</f>
        <v>39755.397401633323</v>
      </c>
      <c r="M67" s="960">
        <f>M60*$C$65</f>
        <v>42831.985389251728</v>
      </c>
      <c r="O67" s="960">
        <f>O60*$C$65</f>
        <v>45865.486944125965</v>
      </c>
      <c r="Q67" s="960">
        <f>Q60*$C$65</f>
        <v>48850.623910715454</v>
      </c>
      <c r="S67" s="960">
        <f>S60*$C$65</f>
        <v>51781.839125673403</v>
      </c>
      <c r="U67" s="960">
        <f>U60*$C$65</f>
        <v>54653.284295383201</v>
      </c>
      <c r="W67" s="960">
        <f>W60*$C$65</f>
        <v>57458.807390271104</v>
      </c>
      <c r="Y67" s="960">
        <f>Y60*$C$65</f>
        <v>60191.939537507307</v>
      </c>
      <c r="AA67" s="960">
        <f>AA60*$C$65</f>
        <v>62845.881393030751</v>
      </c>
      <c r="AC67" s="960">
        <f>AC60*$C$65</f>
        <v>65413.488973126689</v>
      </c>
      <c r="AE67" s="960">
        <f>AE60*$C$65</f>
        <v>67887.258925051137</v>
      </c>
      <c r="AG67" s="960">
        <f>AG60*$C$65</f>
        <v>70259.313215444447</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60631.905909454683</v>
      </c>
      <c r="G70" s="960">
        <f>SUM(G66:G69)</f>
        <v>66985.498409454711</v>
      </c>
      <c r="I70" s="960">
        <f>SUM(I66:I69)</f>
        <v>73281.467571954476</v>
      </c>
      <c r="K70" s="960">
        <f>SUM(K66:K69)</f>
        <v>79510.794803266646</v>
      </c>
      <c r="M70" s="960">
        <f>SUM(M66:M69)</f>
        <v>85663.970778503455</v>
      </c>
      <c r="O70" s="960">
        <f>SUM(O66:O69)</f>
        <v>91730.97388825193</v>
      </c>
      <c r="Q70" s="960">
        <f>SUM(Q66:Q69)</f>
        <v>97701.247821430909</v>
      </c>
      <c r="S70" s="960">
        <f>SUM(S66:S69)</f>
        <v>103563.67825134681</v>
      </c>
      <c r="U70" s="960">
        <f>SUM(U66:U69)</f>
        <v>109306.5685907664</v>
      </c>
      <c r="W70" s="960">
        <f>SUM(W66:W69)</f>
        <v>114917.61478054221</v>
      </c>
      <c r="Y70" s="960">
        <f>SUM(Y66:Y69)</f>
        <v>120383.87907501461</v>
      </c>
      <c r="AA70" s="960">
        <f>SUM(AA66:AA69)</f>
        <v>125691.7627860615</v>
      </c>
      <c r="AC70" s="960">
        <f>SUM(AC66:AC69)</f>
        <v>130826.97794625338</v>
      </c>
      <c r="AE70" s="960">
        <f>SUM(AE66:AE69)</f>
        <v>135774.51785010227</v>
      </c>
      <c r="AG70" s="960">
        <f>SUM(AG66:AG69)</f>
        <v>140518.62643088889</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892980</v>
      </c>
      <c r="C6" s="266">
        <f>'Sources and Uses Budget'!$C5</f>
        <v>892980</v>
      </c>
      <c r="D6" s="270">
        <f t="shared" ref="D6:D77" si="0">C6-B6</f>
        <v>0</v>
      </c>
      <c r="E6" s="268"/>
      <c r="F6" s="267"/>
    </row>
    <row r="7" spans="1:6" s="352" customFormat="1">
      <c r="A7" s="364" t="s">
        <v>29</v>
      </c>
      <c r="B7" s="266">
        <f>'Sources and Uses Budget'!$C6</f>
        <v>10000</v>
      </c>
      <c r="C7" s="266">
        <f>'Sources and Uses Budget'!$C6</f>
        <v>10000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902980</v>
      </c>
      <c r="C9" s="270">
        <f>SUM(C5:C8)</f>
        <v>902980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219000</v>
      </c>
      <c r="C11" s="266">
        <f>'Sources and Uses Budget'!$C10</f>
        <v>219000</v>
      </c>
      <c r="D11" s="270">
        <f t="shared" si="0"/>
        <v>0</v>
      </c>
      <c r="E11" s="268"/>
      <c r="F11" s="267"/>
    </row>
    <row r="12" spans="1:6" s="352" customFormat="1">
      <c r="A12" s="365" t="s">
        <v>597</v>
      </c>
      <c r="B12" s="270">
        <f>SUM(B10:B11)</f>
        <v>219000</v>
      </c>
      <c r="C12" s="270">
        <f>SUM(C10:C11)</f>
        <v>219000</v>
      </c>
      <c r="D12" s="270">
        <f t="shared" si="0"/>
        <v>0</v>
      </c>
      <c r="E12" s="268"/>
      <c r="F12" s="267"/>
    </row>
    <row r="13" spans="1:6" s="352" customFormat="1">
      <c r="A13" s="365" t="s">
        <v>84</v>
      </c>
      <c r="B13" s="270">
        <f>SUM(B9+B12)</f>
        <v>1121980</v>
      </c>
      <c r="C13" s="270">
        <f>SUM(C9+C12)</f>
        <v>1121980</v>
      </c>
      <c r="D13" s="270">
        <f t="shared" si="0"/>
        <v>0</v>
      </c>
      <c r="E13" s="268"/>
      <c r="F13" s="267"/>
    </row>
    <row r="14" spans="1:6" s="352" customFormat="1">
      <c r="A14" s="366" t="s">
        <v>903</v>
      </c>
      <c r="B14" s="266">
        <f>'Sources and Uses Budget'!$C13</f>
        <v>317396</v>
      </c>
      <c r="C14" s="266">
        <f>'Sources and Uses Budget'!$C13</f>
        <v>317396</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10715760</v>
      </c>
      <c r="C30" s="266">
        <f>'Sources and Uses Budget'!$C29</f>
        <v>10715760</v>
      </c>
      <c r="D30" s="270">
        <f t="shared" si="0"/>
        <v>0</v>
      </c>
      <c r="E30" s="268"/>
      <c r="F30" s="267"/>
    </row>
    <row r="31" spans="1:6" s="352" customFormat="1">
      <c r="A31" s="145" t="s">
        <v>600</v>
      </c>
      <c r="B31" s="266">
        <f>'Sources and Uses Budget'!$C30</f>
        <v>57886213</v>
      </c>
      <c r="C31" s="266">
        <f>'Sources and Uses Budget'!$C30</f>
        <v>57886213</v>
      </c>
      <c r="D31" s="270">
        <f t="shared" si="0"/>
        <v>0</v>
      </c>
      <c r="E31" s="268"/>
      <c r="F31" s="267"/>
    </row>
    <row r="32" spans="1:6" s="352" customFormat="1">
      <c r="A32" s="145" t="s">
        <v>601</v>
      </c>
      <c r="B32" s="266">
        <f>'Sources and Uses Budget'!$C31</f>
        <v>2026372</v>
      </c>
      <c r="C32" s="266">
        <f>'Sources and Uses Budget'!$C31</f>
        <v>2026372</v>
      </c>
      <c r="D32" s="270">
        <f t="shared" si="0"/>
        <v>0</v>
      </c>
      <c r="E32" s="268"/>
      <c r="F32" s="267"/>
    </row>
    <row r="33" spans="1:6" s="352" customFormat="1">
      <c r="A33" s="145" t="s">
        <v>137</v>
      </c>
      <c r="B33" s="266">
        <f>'Sources and Uses Budget'!$C32</f>
        <v>1013186</v>
      </c>
      <c r="C33" s="266">
        <f>'Sources and Uses Budget'!$C32</f>
        <v>1013186</v>
      </c>
      <c r="D33" s="270">
        <f t="shared" si="0"/>
        <v>0</v>
      </c>
      <c r="E33" s="268"/>
      <c r="F33" s="267"/>
    </row>
    <row r="34" spans="1:6" s="352" customFormat="1">
      <c r="A34" s="145" t="s">
        <v>138</v>
      </c>
      <c r="B34" s="266">
        <f>'Sources and Uses Budget'!$C33</f>
        <v>1013186</v>
      </c>
      <c r="C34" s="266">
        <f>'Sources and Uses Budget'!$C33</f>
        <v>1013186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675457</v>
      </c>
      <c r="C36" s="266">
        <f>'Sources and Uses Budget'!$C35</f>
        <v>675457</v>
      </c>
      <c r="D36" s="270">
        <f t="shared" si="0"/>
        <v>0</v>
      </c>
      <c r="E36" s="268"/>
      <c r="F36" s="267"/>
    </row>
    <row r="37" spans="1:6" s="352" customFormat="1">
      <c r="A37" s="283" t="s">
        <v>1641</v>
      </c>
      <c r="B37" s="266">
        <f>'Sources and Uses Budget'!$C36</f>
        <v>262000</v>
      </c>
      <c r="C37" s="266">
        <f>'Sources and Uses Budget'!$C36</f>
        <v>262000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73592174</v>
      </c>
      <c r="C39" s="270">
        <f>SUM(C30:C38)</f>
        <v>73592174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1912200</v>
      </c>
      <c r="C41" s="266">
        <f>'Sources and Uses Budget'!$C40</f>
        <v>1912200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1912200</v>
      </c>
      <c r="C43" s="270">
        <f>SUM(C41:C42)</f>
        <v>1912200</v>
      </c>
      <c r="D43" s="270">
        <f t="shared" si="0"/>
        <v>0</v>
      </c>
      <c r="E43" s="268"/>
      <c r="F43" s="267"/>
    </row>
    <row r="44" spans="1:6" s="352" customFormat="1">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8421656</v>
      </c>
      <c r="C46" s="266">
        <f>'Sources and Uses Budget'!$C45</f>
        <v>8421656</v>
      </c>
      <c r="D46" s="270">
        <f t="shared" si="0"/>
        <v>0</v>
      </c>
      <c r="E46" s="268"/>
      <c r="F46" s="267"/>
    </row>
    <row r="47" spans="1:6" s="352" customFormat="1">
      <c r="A47" s="145" t="s">
        <v>151</v>
      </c>
      <c r="B47" s="266">
        <f>'Sources and Uses Budget'!$C46</f>
        <v>967480</v>
      </c>
      <c r="C47" s="266">
        <f>'Sources and Uses Budget'!$C46</f>
        <v>967480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275328</v>
      </c>
      <c r="C50" s="266">
        <f>'Sources and Uses Budget'!$C49</f>
        <v>275328</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1846425</v>
      </c>
      <c r="C53" s="266">
        <f>'Sources and Uses Budget'!$C52</f>
        <v>1846425</v>
      </c>
      <c r="D53" s="270">
        <f t="shared" si="0"/>
        <v>0</v>
      </c>
      <c r="E53" s="268"/>
      <c r="F53" s="267"/>
    </row>
    <row r="54" spans="1:6" s="352" customFormat="1">
      <c r="A54" s="155" t="str">
        <f>'Sources and Uses Budget'!A53</f>
        <v>Other: (Lender Expenses)</v>
      </c>
      <c r="B54" s="266">
        <f>'Sources and Uses Budget'!$C53</f>
        <v>20000</v>
      </c>
      <c r="C54" s="266">
        <f>'Sources and Uses Budget'!$C53</f>
        <v>20000</v>
      </c>
      <c r="D54" s="270">
        <f t="shared" si="0"/>
        <v>0</v>
      </c>
      <c r="E54" s="268"/>
      <c r="F54" s="267"/>
    </row>
    <row r="55" spans="1:6" s="353" customFormat="1">
      <c r="A55" s="271" t="s">
        <v>157</v>
      </c>
      <c r="B55" s="273">
        <f>SUM(B46:B54)</f>
        <v>11610889</v>
      </c>
      <c r="C55" s="273">
        <f>SUM(C46:C54)</f>
        <v>11610889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92730</v>
      </c>
      <c r="C57" s="266">
        <f>'Sources and Uses Budget'!$C56</f>
        <v>92730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 and legal</v>
      </c>
      <c r="B62" s="266">
        <f>'Sources and Uses Budget'!$C61</f>
        <v>95000</v>
      </c>
      <c r="C62" s="266">
        <f>'Sources and Uses Budget'!$C61</f>
        <v>95000</v>
      </c>
      <c r="D62" s="270">
        <f t="shared" si="0"/>
        <v>0</v>
      </c>
      <c r="E62" s="268"/>
      <c r="F62" s="267"/>
    </row>
    <row r="63" spans="1:6" s="352" customFormat="1" ht="13.9" customHeight="1">
      <c r="A63" s="271" t="s">
        <v>301</v>
      </c>
      <c r="B63" s="270">
        <f>SUM(B57:B62)</f>
        <v>237730</v>
      </c>
      <c r="C63" s="270">
        <f>SUM(C57:C62)</f>
        <v>237730</v>
      </c>
      <c r="D63" s="270">
        <f t="shared" si="0"/>
        <v>0</v>
      </c>
      <c r="E63" s="268"/>
      <c r="F63" s="267"/>
    </row>
    <row r="64" spans="1:6" s="352" customFormat="1">
      <c r="A64" s="274" t="s">
        <v>302</v>
      </c>
      <c r="B64" s="270">
        <f>SUM(B9+B12+B14+B15+B17+B26+B28+B39+B43+B44+B55+B63)</f>
        <v>89132369</v>
      </c>
      <c r="C64" s="270">
        <f>SUM(C9+C12+C14+C15+C17+C26+C28+C39+C43+C44+C55+C63)</f>
        <v>89132369</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60000</v>
      </c>
      <c r="C70" s="266">
        <f>'Sources and Uses Budget'!$C69</f>
        <v>60000</v>
      </c>
      <c r="D70" s="270">
        <f t="shared" si="0"/>
        <v>0</v>
      </c>
      <c r="E70" s="268"/>
      <c r="F70" s="267"/>
    </row>
    <row r="71" spans="1:6" s="352" customFormat="1">
      <c r="A71" s="149" t="s">
        <v>1646</v>
      </c>
      <c r="B71" s="270">
        <f>SUM(B66:B70)</f>
        <v>135000</v>
      </c>
      <c r="C71" s="270">
        <f>SUM(C66:C70)</f>
        <v>135000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530403</v>
      </c>
      <c r="C76" s="266">
        <f>'Sources and Uses Budget'!$C75</f>
        <v>530403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530403</v>
      </c>
      <c r="C78" s="270">
        <f>SUM(C73:C77)</f>
        <v>530403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3558098</v>
      </c>
      <c r="C80" s="266">
        <f>'Sources and Uses Budget'!$C79</f>
        <v>3558098</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c r="A82" s="271" t="s">
        <v>1210</v>
      </c>
      <c r="B82" s="270">
        <f>SUM(B80:B81)</f>
        <v>4358098</v>
      </c>
      <c r="C82" s="270">
        <f>SUM(C80:C81)</f>
        <v>4358098</v>
      </c>
      <c r="D82" s="270">
        <f t="shared" si="1"/>
        <v>0</v>
      </c>
      <c r="E82" s="268"/>
      <c r="F82" s="267"/>
    </row>
    <row r="83" spans="1:6" s="352" customFormat="1">
      <c r="A83" s="264" t="s">
        <v>766</v>
      </c>
      <c r="B83" s="264"/>
      <c r="C83" s="264"/>
      <c r="D83" s="264"/>
      <c r="E83" s="282"/>
      <c r="F83" s="264"/>
    </row>
    <row r="84" spans="1:6" s="352" customFormat="1" ht="13.9" customHeight="1">
      <c r="A84" s="269" t="s">
        <v>767</v>
      </c>
      <c r="B84" s="266">
        <f>'Sources and Uses Budget'!$C83</f>
        <v>121906</v>
      </c>
      <c r="C84" s="266">
        <f>'Sources and Uses Budget'!$C83</f>
        <v>121906</v>
      </c>
      <c r="D84" s="270">
        <f t="shared" si="1"/>
        <v>0</v>
      </c>
      <c r="E84" s="268"/>
      <c r="F84" s="267"/>
    </row>
    <row r="85" spans="1:6" s="352" customFormat="1">
      <c r="A85" s="269" t="s">
        <v>768</v>
      </c>
      <c r="B85" s="266">
        <f>'Sources and Uses Budget'!$C84</f>
        <v>760000</v>
      </c>
      <c r="C85" s="266">
        <f>'Sources and Uses Budget'!$C84</f>
        <v>760000</v>
      </c>
      <c r="D85" s="270">
        <f t="shared" si="1"/>
        <v>0</v>
      </c>
      <c r="E85" s="268"/>
      <c r="F85" s="267"/>
    </row>
    <row r="86" spans="1:6" s="352" customFormat="1">
      <c r="A86" s="269" t="s">
        <v>769</v>
      </c>
      <c r="B86" s="266">
        <f>'Sources and Uses Budget'!$C85</f>
        <v>1150000</v>
      </c>
      <c r="C86" s="266">
        <f>'Sources and Uses Budget'!$C85</f>
        <v>1150000</v>
      </c>
      <c r="D86" s="270">
        <f t="shared" si="1"/>
        <v>0</v>
      </c>
      <c r="E86" s="268"/>
      <c r="F86" s="267"/>
    </row>
    <row r="87" spans="1:6" s="352" customFormat="1">
      <c r="A87" s="269" t="s">
        <v>770</v>
      </c>
      <c r="B87" s="266">
        <f>'Sources and Uses Budget'!$C86</f>
        <v>460000</v>
      </c>
      <c r="C87" s="266">
        <f>'Sources and Uses Budget'!$C86</f>
        <v>460000</v>
      </c>
      <c r="D87" s="270">
        <f t="shared" si="1"/>
        <v>0</v>
      </c>
      <c r="E87" s="268"/>
      <c r="F87" s="267"/>
    </row>
    <row r="88" spans="1:6" s="352" customFormat="1">
      <c r="A88" s="269" t="s">
        <v>771</v>
      </c>
      <c r="B88" s="266">
        <f>'Sources and Uses Budget'!$C87</f>
        <v>100000</v>
      </c>
      <c r="C88" s="266">
        <f>'Sources and Uses Budget'!$C87</f>
        <v>100000</v>
      </c>
      <c r="D88" s="270">
        <f t="shared" si="1"/>
        <v>0</v>
      </c>
      <c r="E88" s="268"/>
      <c r="F88" s="267"/>
    </row>
    <row r="89" spans="1:6" s="352" customFormat="1">
      <c r="A89" s="269" t="s">
        <v>772</v>
      </c>
      <c r="B89" s="266">
        <f>'Sources and Uses Budget'!$C88</f>
        <v>153750</v>
      </c>
      <c r="C89" s="266">
        <f>'Sources and Uses Budget'!$C88</f>
        <v>153750</v>
      </c>
      <c r="D89" s="270">
        <f t="shared" si="1"/>
        <v>0</v>
      </c>
      <c r="E89" s="268"/>
      <c r="F89" s="267"/>
    </row>
    <row r="90" spans="1:6" s="352" customFormat="1">
      <c r="A90" s="269" t="s">
        <v>773</v>
      </c>
      <c r="B90" s="266">
        <f>'Sources and Uses Budget'!$C89</f>
        <v>150000</v>
      </c>
      <c r="C90" s="266">
        <f>'Sources and Uses Budget'!$C89</f>
        <v>150000</v>
      </c>
      <c r="D90" s="270">
        <f t="shared" si="1"/>
        <v>0</v>
      </c>
      <c r="E90" s="268"/>
      <c r="F90" s="267"/>
    </row>
    <row r="91" spans="1:6" s="352" customFormat="1">
      <c r="A91" s="269" t="s">
        <v>774</v>
      </c>
      <c r="B91" s="266">
        <f>'Sources and Uses Budget'!$C90</f>
        <v>18500</v>
      </c>
      <c r="C91" s="266">
        <f>'Sources and Uses Budget'!$C90</f>
        <v>18500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5000</v>
      </c>
      <c r="C93" s="266">
        <f>'Sources and Uses Budget'!$C92</f>
        <v>5000</v>
      </c>
      <c r="D93" s="270">
        <f t="shared" si="1"/>
        <v>0</v>
      </c>
      <c r="E93" s="268"/>
      <c r="F93" s="267"/>
    </row>
    <row r="94" spans="1:6" s="352" customFormat="1">
      <c r="A94" s="272" t="s">
        <v>34</v>
      </c>
      <c r="B94" s="266">
        <f>'Sources and Uses Budget'!$C93</f>
        <v>190000</v>
      </c>
      <c r="C94" s="266">
        <f>'Sources and Uses Budget'!$C93</f>
        <v>190000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3109156</v>
      </c>
      <c r="C97" s="270">
        <f>SUM(C84:C96)</f>
        <v>3109156</v>
      </c>
      <c r="D97" s="270">
        <f t="shared" si="1"/>
        <v>0</v>
      </c>
      <c r="E97" s="268"/>
      <c r="F97" s="267"/>
    </row>
    <row r="98" spans="1:6" s="352" customFormat="1">
      <c r="A98" s="271" t="s">
        <v>776</v>
      </c>
      <c r="B98" s="270">
        <f>SUM(B64+B71+B78+B82+B97)</f>
        <v>97265026</v>
      </c>
      <c r="C98" s="270">
        <f>SUM(C64+C71+C78+C82+C97)</f>
        <v>97265026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12937920</v>
      </c>
      <c r="C100" s="266">
        <f>'Sources and Uses Budget'!$C99</f>
        <v>12937920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12937920</v>
      </c>
      <c r="C105" s="270">
        <f>SUM(C100:C104)</f>
        <v>12937920</v>
      </c>
      <c r="D105" s="270">
        <f t="shared" si="1"/>
        <v>0</v>
      </c>
      <c r="E105" s="268"/>
      <c r="F105" s="267"/>
    </row>
    <row r="106" spans="1:6" s="352" customFormat="1">
      <c r="A106" s="271" t="s">
        <v>781</v>
      </c>
      <c r="B106" s="273">
        <f>SUM(B98+B105)</f>
        <v>110202946</v>
      </c>
      <c r="C106" s="273">
        <f>SUM(C98+C105)</f>
        <v>110202946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32" workbookViewId="0">
      <selection activeCell="B151" sqref="B15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9"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2708</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2708</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2709</v>
      </c>
      <c r="D24" s="1283" t="s">
        <v>1092</v>
      </c>
      <c r="E24" s="1283"/>
      <c r="F24" s="1283"/>
      <c r="I24" s="490"/>
    </row>
    <row r="25" spans="1:9" ht="14.25">
      <c r="A25" s="484"/>
      <c r="B25" s="484"/>
      <c r="D25" s="1283"/>
      <c r="E25" s="1283"/>
      <c r="F25" s="1283"/>
      <c r="I25" s="490"/>
    </row>
    <row r="26" spans="1:9">
      <c r="I26" s="490"/>
    </row>
    <row r="27" spans="1:9" ht="14.25">
      <c r="A27" s="484"/>
      <c r="B27" s="485" t="s">
        <v>2708</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2709</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2709</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2709</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2708</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45" customHeight="1">
      <c r="A50" s="484"/>
      <c r="B50" s="484"/>
      <c r="D50" s="1283"/>
      <c r="E50" s="1283"/>
      <c r="F50" s="1283"/>
      <c r="I50" s="490"/>
    </row>
    <row r="51" spans="1:9" ht="14.25">
      <c r="A51" s="484"/>
      <c r="B51" s="484"/>
      <c r="D51" s="446"/>
      <c r="I51" s="490"/>
    </row>
    <row r="52" spans="1:9" ht="14.45" customHeight="1">
      <c r="A52" s="484"/>
      <c r="B52" s="485" t="s">
        <v>2709</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2708</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2709</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2709</v>
      </c>
      <c r="D65" s="1283" t="s">
        <v>1098</v>
      </c>
      <c r="E65" s="1283"/>
      <c r="F65" s="1283"/>
      <c r="I65" s="490"/>
    </row>
    <row r="66" spans="1:9">
      <c r="D66" s="1283"/>
      <c r="E66" s="1283"/>
      <c r="F66" s="1283"/>
      <c r="I66" s="490"/>
    </row>
    <row r="67" spans="1:9">
      <c r="I67" s="490"/>
    </row>
    <row r="68" spans="1:9" ht="14.25">
      <c r="A68" s="484"/>
      <c r="B68" s="485" t="s">
        <v>2709</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2708</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9" customHeight="1">
      <c r="A80" s="484"/>
      <c r="B80" s="485" t="s">
        <v>2708</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2708</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2709</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2709</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2709</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2709</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2709</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2708</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2708</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2708</v>
      </c>
      <c r="D137" s="1283" t="s">
        <v>1106</v>
      </c>
      <c r="E137" s="1283"/>
      <c r="F137" s="1283"/>
      <c r="I137" s="490"/>
    </row>
    <row r="138" spans="1:9" s="417" customFormat="1" ht="13.9" customHeight="1">
      <c r="A138" s="488"/>
      <c r="B138" s="488"/>
      <c r="C138" s="488"/>
      <c r="D138" s="1283"/>
      <c r="E138" s="1283"/>
      <c r="F138" s="1283"/>
      <c r="I138" s="1155"/>
    </row>
    <row r="139" spans="1:9" ht="13.9" customHeight="1">
      <c r="D139" s="1283"/>
      <c r="E139" s="1283"/>
      <c r="F139" s="1283"/>
      <c r="I139" s="490"/>
    </row>
    <row r="140" spans="1:9" ht="13.9" customHeight="1">
      <c r="D140" s="1283"/>
      <c r="E140" s="1283"/>
      <c r="F140" s="1283"/>
      <c r="I140" s="490"/>
    </row>
    <row r="141" spans="1:9" ht="13.9" customHeight="1">
      <c r="D141" s="1283"/>
      <c r="E141" s="1283"/>
      <c r="F141" s="1283"/>
      <c r="I141" s="490"/>
    </row>
    <row r="142" spans="1:9" ht="13.9" customHeight="1">
      <c r="A142" s="489"/>
      <c r="B142" s="489"/>
      <c r="D142" s="1283"/>
      <c r="E142" s="1283"/>
      <c r="F142" s="1283"/>
      <c r="I142" s="490"/>
    </row>
    <row r="143" spans="1:9" ht="13.9" customHeight="1">
      <c r="D143" s="1283"/>
      <c r="E143" s="1283"/>
      <c r="F143" s="1283"/>
      <c r="I143" s="490"/>
    </row>
    <row r="144" spans="1:9" ht="13.9" customHeight="1">
      <c r="D144" s="1283"/>
      <c r="E144" s="1283"/>
      <c r="F144" s="1283"/>
      <c r="I144" s="490"/>
    </row>
    <row r="145" spans="2:9" ht="13.9" customHeight="1">
      <c r="D145" s="1283"/>
      <c r="E145" s="1283"/>
      <c r="F145" s="1283"/>
      <c r="I145" s="490"/>
    </row>
    <row r="146" spans="2:9" ht="13.9" customHeight="1">
      <c r="D146" s="1283"/>
      <c r="E146" s="1283"/>
      <c r="F146" s="1283"/>
      <c r="I146" s="490"/>
    </row>
    <row r="147" spans="2:9" ht="13.9" customHeight="1">
      <c r="D147" s="1283"/>
      <c r="E147" s="1283"/>
      <c r="F147" s="1283"/>
      <c r="I147" s="490"/>
    </row>
    <row r="148" spans="2:9" ht="13.9" customHeight="1">
      <c r="D148" s="1283"/>
      <c r="E148" s="1283"/>
      <c r="F148" s="1283"/>
      <c r="I148" s="490"/>
    </row>
    <row r="149" spans="2:9" ht="13.9" customHeight="1">
      <c r="D149" s="1283"/>
      <c r="E149" s="1283"/>
      <c r="F149" s="1283"/>
      <c r="I149" s="490"/>
    </row>
    <row r="150" spans="2:9" ht="13.9" customHeight="1">
      <c r="D150" s="476"/>
      <c r="E150" s="446"/>
      <c r="F150" s="446"/>
      <c r="I150" s="490"/>
    </row>
    <row r="151" spans="2:9" ht="13.9" customHeight="1">
      <c r="B151" s="485" t="s">
        <v>2709</v>
      </c>
      <c r="D151" s="1283" t="s">
        <v>1178</v>
      </c>
      <c r="E151" s="1283"/>
      <c r="F151" s="1283"/>
      <c r="I151" s="490"/>
    </row>
    <row r="152" spans="2:9" ht="13.9" customHeight="1">
      <c r="D152" s="1283"/>
      <c r="E152" s="1283"/>
      <c r="F152" s="1283"/>
      <c r="I152" s="490"/>
    </row>
    <row r="153" spans="2:9" ht="13.9" customHeight="1">
      <c r="D153" s="1283"/>
      <c r="E153" s="1283"/>
      <c r="F153" s="1283"/>
      <c r="I153" s="490"/>
    </row>
    <row r="154" spans="2:9" ht="13.9" customHeight="1">
      <c r="D154" s="1283"/>
      <c r="E154" s="1283"/>
      <c r="F154" s="1283"/>
      <c r="I154" s="490"/>
    </row>
    <row r="155" spans="2:9" ht="13.9" customHeight="1">
      <c r="D155" s="1283"/>
      <c r="E155" s="1283"/>
      <c r="F155" s="1283"/>
      <c r="I155" s="490"/>
    </row>
    <row r="156" spans="2:9" ht="13.9" customHeight="1">
      <c r="D156" s="1283"/>
      <c r="E156" s="1283"/>
      <c r="F156" s="1283"/>
      <c r="I156" s="490"/>
    </row>
    <row r="157" spans="2:9" ht="13.9" customHeight="1">
      <c r="D157" s="1283"/>
      <c r="E157" s="1283"/>
      <c r="F157" s="1283"/>
      <c r="I157" s="490"/>
    </row>
    <row r="158" spans="2:9" ht="13.9" customHeight="1">
      <c r="D158" s="1283"/>
      <c r="E158" s="1283"/>
      <c r="F158" s="1283"/>
      <c r="I158" s="490"/>
    </row>
    <row r="159" spans="2:9" ht="13.9" customHeight="1">
      <c r="D159" s="1283"/>
      <c r="E159" s="1283"/>
      <c r="F159" s="1283"/>
      <c r="I159" s="490"/>
    </row>
    <row r="160" spans="2:9" ht="13.9" customHeight="1">
      <c r="D160" s="1283"/>
      <c r="E160" s="1283"/>
      <c r="F160" s="1283"/>
      <c r="I160" s="490"/>
    </row>
    <row r="161" spans="1:9" ht="13.9" customHeight="1">
      <c r="D161" s="1283"/>
      <c r="E161" s="1283"/>
      <c r="F161" s="1283"/>
      <c r="I161" s="490"/>
    </row>
    <row r="162" spans="1:9" ht="13.9" customHeight="1">
      <c r="D162" s="1283"/>
      <c r="E162" s="1283"/>
      <c r="F162" s="1283"/>
      <c r="I162" s="490"/>
    </row>
    <row r="163" spans="1:9" ht="13.9" customHeight="1">
      <c r="D163" s="1283"/>
      <c r="E163" s="1283"/>
      <c r="F163" s="1283"/>
      <c r="I163" s="490"/>
    </row>
    <row r="164" spans="1:9" ht="13.9" customHeight="1">
      <c r="D164" s="1283"/>
      <c r="E164" s="1283"/>
      <c r="F164" s="1283"/>
      <c r="I164" s="490"/>
    </row>
    <row r="165" spans="1:9" ht="13.9" customHeight="1">
      <c r="D165" s="1283"/>
      <c r="E165" s="1283"/>
      <c r="F165" s="1283"/>
      <c r="I165" s="490"/>
    </row>
    <row r="166" spans="1:9" ht="13.9" customHeight="1">
      <c r="D166" s="1283"/>
      <c r="E166" s="1283"/>
      <c r="F166" s="1283"/>
      <c r="I166" s="490"/>
    </row>
    <row r="167" spans="1:9" ht="13.9" customHeight="1">
      <c r="D167" s="1283"/>
      <c r="E167" s="1283"/>
      <c r="F167" s="1283"/>
      <c r="I167" s="490"/>
    </row>
    <row r="168" spans="1:9" ht="13.9" customHeight="1">
      <c r="D168" s="1283"/>
      <c r="E168" s="1283"/>
      <c r="F168" s="1283"/>
      <c r="I168" s="490"/>
    </row>
    <row r="169" spans="1:9" ht="13.9" customHeight="1">
      <c r="D169" s="1304" t="s">
        <v>2073</v>
      </c>
      <c r="E169" s="1304"/>
      <c r="F169" s="1304"/>
      <c r="G169" s="507"/>
      <c r="I169" s="490"/>
    </row>
    <row r="170" spans="1:9" ht="13.9" customHeight="1">
      <c r="D170" s="1295"/>
      <c r="E170" s="1295"/>
      <c r="F170" s="1295"/>
      <c r="G170" s="1295"/>
      <c r="I170" s="490"/>
    </row>
    <row r="171" spans="1:9" ht="14.45" customHeight="1">
      <c r="A171" s="489"/>
      <c r="B171" s="485" t="s">
        <v>2709</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9" customHeight="1">
      <c r="A175" s="489"/>
      <c r="B175" s="489"/>
      <c r="C175" s="476"/>
      <c r="D175" s="1263"/>
      <c r="E175" s="1263"/>
      <c r="F175" s="1263"/>
      <c r="G175" s="476"/>
      <c r="I175" s="490"/>
    </row>
    <row r="176" spans="1:9" ht="13.9" customHeight="1">
      <c r="A176" s="489"/>
      <c r="B176" s="489"/>
      <c r="C176" s="476"/>
      <c r="D176" s="476"/>
      <c r="E176" s="476"/>
      <c r="F176" s="476"/>
      <c r="G176" s="476"/>
      <c r="I176" s="490"/>
    </row>
    <row r="177" spans="1:9" ht="13.9" customHeight="1">
      <c r="A177" s="489"/>
      <c r="B177" s="485" t="s">
        <v>2708</v>
      </c>
      <c r="C177" s="476"/>
      <c r="D177" s="1263" t="s">
        <v>1107</v>
      </c>
      <c r="E177" s="1263"/>
      <c r="F177" s="1263"/>
      <c r="G177" s="476"/>
      <c r="I177" s="490"/>
    </row>
    <row r="178" spans="1:9" ht="13.9" customHeight="1">
      <c r="A178" s="489"/>
      <c r="B178" s="489"/>
      <c r="C178" s="476"/>
      <c r="D178" s="1263"/>
      <c r="E178" s="1263"/>
      <c r="F178" s="1263"/>
      <c r="G178" s="476"/>
      <c r="I178" s="490"/>
    </row>
    <row r="179" spans="1:9" ht="13.9" customHeight="1">
      <c r="A179" s="489"/>
      <c r="B179" s="489"/>
      <c r="C179" s="476"/>
      <c r="D179" s="1263"/>
      <c r="E179" s="1263"/>
      <c r="F179" s="1263"/>
      <c r="G179" s="476"/>
      <c r="I179" s="490"/>
    </row>
    <row r="180" spans="1:9" ht="13.9" customHeight="1">
      <c r="A180" s="489"/>
      <c r="B180" s="489"/>
      <c r="C180" s="476"/>
      <c r="D180" s="1263"/>
      <c r="E180" s="1263"/>
      <c r="F180" s="1263"/>
      <c r="G180" s="476"/>
      <c r="I180" s="490"/>
    </row>
    <row r="181" spans="1:9" ht="13.9" customHeight="1">
      <c r="D181" s="446"/>
      <c r="E181" s="446"/>
      <c r="F181" s="446"/>
      <c r="I181" s="490"/>
    </row>
    <row r="182" spans="1:9" ht="13.9" customHeight="1">
      <c r="B182" s="485" t="s">
        <v>2709</v>
      </c>
      <c r="D182" s="1287" t="s">
        <v>2051</v>
      </c>
      <c r="E182" s="1287"/>
      <c r="F182" s="1287"/>
      <c r="I182" s="490"/>
    </row>
    <row r="183" spans="1:9" ht="13.9" customHeight="1">
      <c r="D183" s="1287"/>
      <c r="E183" s="1287"/>
      <c r="F183" s="1287"/>
      <c r="I183" s="490"/>
    </row>
    <row r="184" spans="1:9" ht="13.9" customHeight="1">
      <c r="D184" s="1287"/>
      <c r="E184" s="1287"/>
      <c r="F184" s="1287"/>
      <c r="I184" s="490"/>
    </row>
    <row r="185" spans="1:9" ht="13.9"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9"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2708</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2709</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2709</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2709</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2709</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2709</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9" customHeight="1">
      <c r="A227" s="490"/>
      <c r="C227" s="490"/>
      <c r="D227" s="1291" t="s">
        <v>547</v>
      </c>
      <c r="E227" s="1291"/>
      <c r="F227" s="1291"/>
      <c r="I227" s="490"/>
    </row>
    <row r="228" spans="1:9" ht="14.25">
      <c r="A228" s="484"/>
      <c r="B228" s="485" t="s">
        <v>2708</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2708</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2708</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2709</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2708</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2708</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2708</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2709</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2709</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95" customHeight="1">
      <c r="A288" s="484"/>
      <c r="B288" s="484"/>
      <c r="D288" s="1298" t="s">
        <v>1125</v>
      </c>
      <c r="E288" s="1298"/>
      <c r="F288" s="1298"/>
      <c r="I288" s="490"/>
    </row>
    <row r="289" spans="1:9">
      <c r="E289" s="446"/>
      <c r="F289" s="446"/>
      <c r="I289" s="490"/>
    </row>
    <row r="290" spans="1:9" ht="14.25">
      <c r="A290" s="484"/>
      <c r="B290" s="485" t="s">
        <v>2709</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2709</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2709</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2709</v>
      </c>
      <c r="D305" s="1284" t="s">
        <v>1130</v>
      </c>
      <c r="E305" s="1284"/>
      <c r="F305" s="1284"/>
      <c r="I305" s="490"/>
    </row>
    <row r="306" spans="1:9" ht="14.25">
      <c r="A306" s="484"/>
      <c r="B306" s="484"/>
      <c r="D306" s="494"/>
      <c r="E306" s="495"/>
      <c r="F306" s="495"/>
      <c r="I306" s="490"/>
    </row>
    <row r="307" spans="1:9" ht="13.9" customHeight="1">
      <c r="B307" s="485" t="s">
        <v>2709</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9" customHeight="1">
      <c r="B313" s="485" t="s">
        <v>2709</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2709</v>
      </c>
      <c r="D316" s="1284" t="s">
        <v>1132</v>
      </c>
      <c r="E316" s="1284"/>
      <c r="F316" s="1284"/>
      <c r="I316" s="490"/>
    </row>
    <row r="317" spans="1:9">
      <c r="E317" s="446"/>
      <c r="F317" s="446"/>
      <c r="I317" s="490"/>
    </row>
    <row r="318" spans="1:9" ht="14.25">
      <c r="A318" s="484"/>
      <c r="B318" s="485" t="s">
        <v>2709</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2709</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2709</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2709</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2709</v>
      </c>
      <c r="C360" s="476"/>
      <c r="D360" s="1295" t="s">
        <v>2057</v>
      </c>
      <c r="E360" s="1295"/>
      <c r="F360" s="1295"/>
      <c r="I360" s="480"/>
    </row>
    <row r="361" spans="1:9">
      <c r="A361" s="476"/>
      <c r="B361" s="476"/>
      <c r="C361" s="476"/>
      <c r="D361" s="447"/>
      <c r="E361" s="447"/>
      <c r="F361" s="446"/>
      <c r="I361" s="490"/>
    </row>
    <row r="362" spans="1:9">
      <c r="A362" s="476"/>
      <c r="B362" s="485" t="s">
        <v>2709</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2709</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2709</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2709</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9"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2709</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2709</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9" customHeight="1">
      <c r="A429" s="484"/>
      <c r="B429" s="485" t="s">
        <v>2709</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95" customHeight="1">
      <c r="A433" s="497"/>
      <c r="B433" s="497"/>
      <c r="C433" s="476"/>
      <c r="D433" s="1297" t="s">
        <v>2074</v>
      </c>
      <c r="E433" s="1263"/>
      <c r="F433" s="1263"/>
      <c r="I433" s="490"/>
    </row>
    <row r="434" spans="1:9">
      <c r="D434" s="446"/>
      <c r="E434" s="446"/>
      <c r="F434" s="446"/>
      <c r="I434" s="490"/>
    </row>
    <row r="435" spans="1:9" ht="14.25">
      <c r="A435" s="484"/>
      <c r="B435" s="485" t="s">
        <v>2709</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2709</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2709</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2709</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2709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2709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2709</v>
      </c>
      <c r="C486" s="402"/>
      <c r="D486" s="1283"/>
      <c r="E486" s="1283"/>
      <c r="F486" s="1283"/>
      <c r="I486" s="490"/>
    </row>
    <row r="487" spans="1:9">
      <c r="A487" s="402"/>
      <c r="C487" s="402"/>
      <c r="D487" s="1283"/>
      <c r="E487" s="1283"/>
      <c r="F487" s="1283"/>
      <c r="I487" s="490"/>
    </row>
    <row r="488" spans="1:9">
      <c r="A488" s="402"/>
      <c r="B488" s="485" t="s">
        <v>2709</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2709</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2709</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2709</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2709</v>
      </c>
      <c r="D509" s="1284" t="s">
        <v>1144</v>
      </c>
      <c r="E509" s="1284"/>
      <c r="F509" s="1284"/>
      <c r="I509" s="490"/>
    </row>
    <row r="510" spans="1:9" ht="14.25">
      <c r="A510" s="484"/>
      <c r="B510" s="484"/>
      <c r="D510" s="446"/>
      <c r="I510" s="490"/>
    </row>
    <row r="511" spans="1:9" ht="14.25">
      <c r="A511" s="484"/>
      <c r="B511" s="485" t="s">
        <v>2709</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2709</v>
      </c>
      <c r="D514" s="1284" t="s">
        <v>1146</v>
      </c>
      <c r="E514" s="1284"/>
      <c r="F514" s="1284"/>
      <c r="I514" s="490"/>
    </row>
    <row r="515" spans="1:9">
      <c r="D515" s="446"/>
      <c r="E515" s="446"/>
      <c r="F515" s="446"/>
      <c r="I515" s="490"/>
    </row>
    <row r="516" spans="1:9">
      <c r="B516" s="485" t="s">
        <v>2709</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9" customHeight="1">
      <c r="A527" s="483"/>
      <c r="B527" s="485" t="s">
        <v>2708</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2708</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2709</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9" customHeight="1">
      <c r="A548" s="484"/>
      <c r="B548" s="485" t="s">
        <v>2708</v>
      </c>
      <c r="C548" s="487"/>
      <c r="D548" s="1284" t="s">
        <v>885</v>
      </c>
      <c r="E548" s="1284"/>
      <c r="F548" s="1284"/>
      <c r="I548" s="490"/>
    </row>
    <row r="549" spans="1:9" ht="13.9" customHeight="1">
      <c r="A549" s="487"/>
      <c r="B549" s="487"/>
      <c r="C549" s="487"/>
      <c r="D549" s="446"/>
      <c r="I549" s="490"/>
    </row>
    <row r="550" spans="1:9" ht="14.25">
      <c r="A550" s="484"/>
      <c r="B550" s="485" t="s">
        <v>2708</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2708</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2708</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2708</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2709</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2708</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2708</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2708</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2708</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2708</v>
      </c>
      <c r="D588" s="1287" t="s">
        <v>889</v>
      </c>
      <c r="E588" s="1287"/>
      <c r="F588" s="1287"/>
      <c r="I588" s="490"/>
    </row>
    <row r="589" spans="1:9">
      <c r="A589" s="490"/>
      <c r="B589" s="490"/>
      <c r="D589" s="476"/>
      <c r="I589" s="490"/>
    </row>
    <row r="590" spans="1:9">
      <c r="A590" s="490"/>
      <c r="B590" s="485" t="s">
        <v>2708</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2709</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2708</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2709</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2708</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2708</v>
      </c>
      <c r="D620" s="1308" t="s">
        <v>1112</v>
      </c>
      <c r="E620" s="1308"/>
      <c r="F620" s="1308"/>
      <c r="I620" s="490"/>
    </row>
    <row r="621" spans="1:9">
      <c r="D621" s="1308"/>
      <c r="E621" s="1308"/>
      <c r="F621" s="1308"/>
      <c r="I621" s="490"/>
    </row>
    <row r="622" spans="1:9">
      <c r="I622" s="490"/>
    </row>
    <row r="623" spans="1:9">
      <c r="B623" s="485" t="s">
        <v>2708</v>
      </c>
      <c r="D623" s="1308" t="s">
        <v>1113</v>
      </c>
      <c r="E623" s="1308"/>
      <c r="F623" s="1308"/>
      <c r="I623" s="490"/>
    </row>
    <row r="624" spans="1:9">
      <c r="C624" s="500"/>
      <c r="D624" s="1308"/>
      <c r="E624" s="1308"/>
      <c r="F624" s="1308"/>
      <c r="I624" s="490"/>
    </row>
    <row r="625" spans="1:9">
      <c r="C625" s="500"/>
      <c r="I625" s="490"/>
    </row>
    <row r="626" spans="1:9">
      <c r="B626" s="485" t="s">
        <v>2709</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2708</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2709</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2709</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2709</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2709</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2709</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2709</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2709</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2709</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2709</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2708</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2709</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2708</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2708</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2708</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2709</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2709</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2709</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2709</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2708</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9"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2708</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2709</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2709</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2709</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2709</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2708</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2708</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2709</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2709</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2709</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2709</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2709</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2708</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2708</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2709</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2709</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2709</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2708</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2708</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2709</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2709</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2709</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2708</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2708</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2708</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2709</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2709</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2709</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2709</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2708</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2708</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2709</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2709</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2709</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2709</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2708</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2708</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2709</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2709</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2708</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2708</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2708</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2708</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2709</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2709</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2709</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2709</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2708</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2709</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2709</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2708</v>
      </c>
      <c r="C1062" s="402"/>
      <c r="D1062" s="402" t="s">
        <v>1813</v>
      </c>
      <c r="I1062" s="490"/>
    </row>
    <row r="1063" spans="1:9">
      <c r="A1063" s="402"/>
      <c r="B1063" s="402"/>
      <c r="C1063" s="402"/>
      <c r="I1063" s="490"/>
    </row>
    <row r="1064" spans="1:9">
      <c r="A1064" s="402"/>
      <c r="B1064" s="485" t="s">
        <v>2709</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2708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2709</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2709</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2709</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2709</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2709</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2709</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2709</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2708</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95" customHeight="1">
      <c r="A1123" s="402"/>
      <c r="B1123" s="485" t="s">
        <v>2709</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83" workbookViewId="0">
      <selection activeCell="O718" sqref="O718:S73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29</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2510</v>
      </c>
      <c r="BE8" s="1249">
        <f>SUMIF($AC$718:$AC$752,"&lt;=35%",$G$718:G$752)-SUM($BE$5:BE7)</f>
        <v>0</v>
      </c>
    </row>
    <row r="9" spans="1:58" ht="12.95" customHeight="1">
      <c r="A9" s="1841" t="s">
        <v>2077</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2502</v>
      </c>
      <c r="BE9" s="1249">
        <f>SUMIF($AC$718:$AC$752,"&lt;=40%",$G$718:G$752)-SUM($BE$5:BE8)</f>
        <v>27</v>
      </c>
    </row>
    <row r="10" spans="1:58" ht="12.95" customHeight="1">
      <c r="A10" s="1841" t="s">
        <v>2459</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2511</v>
      </c>
      <c r="BE10" s="1249">
        <f>SUMIF($AC$718:$AC$752,"&lt;=45%",$G$718:G$752)-SUM($BE$5:BE9)</f>
        <v>0</v>
      </c>
    </row>
    <row r="11" spans="1:58" ht="12.95" customHeight="1">
      <c r="A11" s="1841" t="s">
        <v>2605</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2503</v>
      </c>
      <c r="BE11" s="1249">
        <f>SUMIF($AC$718:$AC$752,"&lt;=50%",$G$718:G$752)-SUM($BE$5:BE10)</f>
        <v>38</v>
      </c>
    </row>
    <row r="12" spans="1:58" ht="12.95" customHeight="1">
      <c r="A12" s="1842" t="s">
        <v>2611</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19</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85" t="s">
        <v>2614</v>
      </c>
      <c r="I16" s="1561"/>
      <c r="J16" s="1561"/>
      <c r="K16" s="1561"/>
      <c r="L16" s="1561"/>
      <c r="M16" s="1561"/>
      <c r="N16" s="1561"/>
      <c r="O16" s="1561"/>
      <c r="P16" s="1561"/>
      <c r="Q16" s="1561"/>
      <c r="R16" s="1561"/>
      <c r="S16" s="1561"/>
      <c r="T16" s="1561"/>
      <c r="U16" s="1561"/>
      <c r="V16" s="1561"/>
      <c r="W16" s="1561"/>
      <c r="X16" s="1561"/>
      <c r="Y16" s="1561"/>
      <c r="Z16" s="1561"/>
      <c r="AA16" s="1561"/>
      <c r="AB16" s="1561"/>
      <c r="AC16" s="1561"/>
      <c r="AD16" s="1561"/>
      <c r="AE16" s="1561"/>
      <c r="AF16" s="1561"/>
      <c r="AG16" s="1561"/>
      <c r="AH16" s="1561"/>
      <c r="AI16" s="1561"/>
      <c r="AJ16" s="1561"/>
      <c r="BD16" s="1248" t="s">
        <v>657</v>
      </c>
      <c r="BE16" s="1249" t="str">
        <f>Application!H18</f>
        <v>Oak Hill Eden</v>
      </c>
    </row>
    <row r="17" spans="1:58" ht="12.95" customHeight="1">
      <c r="BD17" s="1247" t="s">
        <v>2519</v>
      </c>
      <c r="BE17" s="1249">
        <f>Application!AA934</f>
        <v>0</v>
      </c>
    </row>
    <row r="18" spans="1:58" ht="12.95" customHeight="1">
      <c r="A18" s="57" t="s">
        <v>101</v>
      </c>
      <c r="C18" s="4"/>
      <c r="D18" s="4"/>
      <c r="E18" s="4"/>
      <c r="F18" s="4"/>
      <c r="G18" s="4"/>
      <c r="H18" s="1339" t="s">
        <v>2613</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BD18" s="1248" t="s">
        <v>2520</v>
      </c>
      <c r="BE18" s="1249">
        <f>'CalHFA Addendum'!N11</f>
        <v>0</v>
      </c>
    </row>
    <row r="19" spans="1:58" ht="12.95" customHeight="1">
      <c r="BD19" s="1247" t="s">
        <v>2521</v>
      </c>
      <c r="BE19" s="1249">
        <f>Application!M26</f>
        <v>3967629</v>
      </c>
    </row>
    <row r="20" spans="1:58" ht="12.95" customHeight="1">
      <c r="A20" s="1843" t="s">
        <v>874</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2522</v>
      </c>
      <c r="BE20" s="1249">
        <f>Application!M27</f>
        <v>8679816</v>
      </c>
    </row>
    <row r="21" spans="1:58" ht="12.95" customHeight="1">
      <c r="A21" s="1846" t="s">
        <v>1010</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2523</v>
      </c>
      <c r="BE21" s="1249">
        <f>Application!AM554</f>
        <v>30826728.666459981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110202946</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188508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5">
        <f>'Basis &amp; Credits'!AB56</f>
        <v>3967629</v>
      </c>
      <c r="N26" s="1845"/>
      <c r="O26" s="1845"/>
      <c r="P26" s="1845"/>
      <c r="Q26" s="1845"/>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72">
        <f>'Basis &amp; Credits'!AB78</f>
        <v>8679816</v>
      </c>
      <c r="N27" s="1372"/>
      <c r="O27" s="1372"/>
      <c r="P27" s="1372"/>
      <c r="Q27" s="1372"/>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55" t="s">
        <v>2148</v>
      </c>
      <c r="B29" s="1555"/>
      <c r="C29" s="1555"/>
      <c r="D29" s="1555"/>
      <c r="E29" s="1555"/>
      <c r="F29" s="1555"/>
      <c r="G29" s="1555"/>
      <c r="H29" s="1555"/>
      <c r="I29" s="1555"/>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5"/>
      <c r="AG29" s="1555"/>
      <c r="AH29" s="1555"/>
      <c r="AI29" s="1555"/>
      <c r="AJ29" s="1555"/>
      <c r="AK29" s="1555"/>
      <c r="AL29" s="1555"/>
      <c r="AM29" s="1555"/>
      <c r="AN29" s="1555"/>
      <c r="AO29" s="1555"/>
      <c r="AP29" s="1555"/>
      <c r="AQ29" s="1555"/>
      <c r="AR29" s="1555"/>
      <c r="AS29" s="1555"/>
      <c r="AT29" s="1555"/>
      <c r="BD29" s="1247" t="s">
        <v>2528</v>
      </c>
      <c r="BE29" s="1249" t="b">
        <f>Application!M358="Yes"</f>
        <v>0</v>
      </c>
    </row>
    <row r="30" spans="1:58" ht="12.95" customHeight="1">
      <c r="A30" s="1555"/>
      <c r="B30" s="1555"/>
      <c r="C30" s="1555"/>
      <c r="D30" s="1555"/>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1555"/>
      <c r="AF30" s="1555"/>
      <c r="AG30" s="1555"/>
      <c r="AH30" s="1555"/>
      <c r="AI30" s="1555"/>
      <c r="AJ30" s="1555"/>
      <c r="AK30" s="1555"/>
      <c r="AL30" s="1555"/>
      <c r="AM30" s="1555"/>
      <c r="AN30" s="1555"/>
      <c r="AO30" s="1555"/>
      <c r="AP30" s="1555"/>
      <c r="AQ30" s="1555"/>
      <c r="AR30" s="1555"/>
      <c r="AS30" s="1555"/>
      <c r="AT30" s="1555"/>
      <c r="AZ30" s="20"/>
      <c r="BD30" s="1248" t="s">
        <v>28</v>
      </c>
      <c r="BE30" s="1249" t="b">
        <f>Application!AJ355="Yes"</f>
        <v>0</v>
      </c>
    </row>
    <row r="31" spans="1:58" ht="12.95" customHeight="1">
      <c r="A31" s="1555"/>
      <c r="B31" s="1555"/>
      <c r="C31" s="1555"/>
      <c r="D31" s="1555"/>
      <c r="E31" s="1555"/>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555"/>
      <c r="AM31" s="1555"/>
      <c r="AN31" s="1555"/>
      <c r="AO31" s="1555"/>
      <c r="AP31" s="1555"/>
      <c r="AQ31" s="1555"/>
      <c r="AR31" s="1555"/>
      <c r="AS31" s="1555"/>
      <c r="AT31" s="1555"/>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20" t="s">
        <v>546</v>
      </c>
      <c r="P33" s="1420"/>
      <c r="Q33" s="1844" t="s">
        <v>2149</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2597</v>
      </c>
      <c r="BE33" s="1249" t="str">
        <f>Application!D220</f>
        <v>Northern Region: Butte, Marin, Napa, Shasta, Solano, and Sonoma Counties</v>
      </c>
    </row>
    <row r="34" spans="1:57" ht="12.95" customHeight="1">
      <c r="A34" s="1555" t="s">
        <v>2150</v>
      </c>
      <c r="B34" s="1555"/>
      <c r="C34" s="1555"/>
      <c r="D34" s="1555"/>
      <c r="E34" s="1555"/>
      <c r="F34" s="1555"/>
      <c r="G34" s="1555"/>
      <c r="H34" s="1555"/>
      <c r="I34" s="1555"/>
      <c r="J34" s="1555"/>
      <c r="K34" s="1555"/>
      <c r="L34" s="1555"/>
      <c r="M34" s="1555"/>
      <c r="N34" s="1555"/>
      <c r="O34" s="1555"/>
      <c r="P34" s="1555"/>
      <c r="Q34" s="1555"/>
      <c r="R34" s="1555"/>
      <c r="S34" s="1555"/>
      <c r="T34" s="1555"/>
      <c r="U34" s="1555"/>
      <c r="V34" s="1555"/>
      <c r="W34" s="1555"/>
      <c r="X34" s="1555"/>
      <c r="Y34" s="1555"/>
      <c r="Z34" s="1555"/>
      <c r="AA34" s="1555"/>
      <c r="AB34" s="1555"/>
      <c r="AC34" s="1555"/>
      <c r="AD34" s="1555"/>
      <c r="AE34" s="1555"/>
      <c r="AF34" s="1555"/>
      <c r="AG34" s="1555"/>
      <c r="AH34" s="1555"/>
      <c r="AI34" s="1555"/>
      <c r="AJ34" s="1555"/>
      <c r="AK34" s="1555"/>
      <c r="AL34" s="1555"/>
      <c r="AM34" s="1555"/>
      <c r="AN34" s="1555"/>
      <c r="AO34" s="1555"/>
      <c r="AP34" s="1555"/>
      <c r="AQ34" s="1555"/>
      <c r="AR34" s="1555"/>
      <c r="AS34" s="1555"/>
      <c r="AT34" s="1555"/>
      <c r="AU34" s="20"/>
      <c r="AV34" s="20"/>
      <c r="AW34" s="20"/>
      <c r="AX34" s="20"/>
      <c r="AY34" s="20"/>
      <c r="AZ34" s="20"/>
      <c r="BD34" s="1248" t="s">
        <v>2531</v>
      </c>
      <c r="BE34" s="1249" t="str">
        <f>Application!I185</f>
        <v>Sir Frances Drake Blvd</v>
      </c>
    </row>
    <row r="35" spans="1:57" ht="12.95" customHeight="1">
      <c r="A35" s="1555"/>
      <c r="B35" s="1555"/>
      <c r="C35" s="1555"/>
      <c r="D35" s="1555"/>
      <c r="E35" s="1555"/>
      <c r="F35" s="1555"/>
      <c r="G35" s="1555"/>
      <c r="H35" s="1555"/>
      <c r="I35" s="1555"/>
      <c r="J35" s="1555"/>
      <c r="K35" s="1555"/>
      <c r="L35" s="1555"/>
      <c r="M35" s="1555"/>
      <c r="N35" s="1555"/>
      <c r="O35" s="1555"/>
      <c r="P35" s="1555"/>
      <c r="Q35" s="1555"/>
      <c r="R35" s="1555"/>
      <c r="S35" s="1555"/>
      <c r="T35" s="1555"/>
      <c r="U35" s="1555"/>
      <c r="V35" s="1555"/>
      <c r="W35" s="1555"/>
      <c r="X35" s="1555"/>
      <c r="Y35" s="1555"/>
      <c r="Z35" s="1555"/>
      <c r="AA35" s="1555"/>
      <c r="AB35" s="1555"/>
      <c r="AC35" s="1555"/>
      <c r="AD35" s="1555"/>
      <c r="AE35" s="1555"/>
      <c r="AF35" s="1555"/>
      <c r="AG35" s="1555"/>
      <c r="AH35" s="1555"/>
      <c r="AI35" s="1555"/>
      <c r="AJ35" s="1555"/>
      <c r="AK35" s="1555"/>
      <c r="AL35" s="1555"/>
      <c r="AM35" s="1555"/>
      <c r="AN35" s="1555"/>
      <c r="AO35" s="1555"/>
      <c r="AP35" s="1555"/>
      <c r="AQ35" s="1555"/>
      <c r="AR35" s="1555"/>
      <c r="AS35" s="1555"/>
      <c r="AT35" s="1555"/>
      <c r="AU35" s="20"/>
      <c r="AV35" s="20"/>
      <c r="AW35" s="20"/>
      <c r="AX35" s="20"/>
      <c r="AY35" s="20"/>
      <c r="AZ35" s="20"/>
      <c r="BD35" s="1247" t="s">
        <v>2532</v>
      </c>
      <c r="BE35" s="1249" t="str">
        <f>IF(Application!E187="","",Application!E187)</f>
        <v>Unincorporated Marin on the boarder of Larkspur on the NE corner of Sir Francis Drake Blvd &amp; Drakes Cove Rd</v>
      </c>
    </row>
    <row r="36" spans="1:57" ht="12.95" customHeight="1">
      <c r="A36" s="1555"/>
      <c r="B36" s="1555"/>
      <c r="C36" s="1555"/>
      <c r="D36" s="1555"/>
      <c r="E36" s="1555"/>
      <c r="F36" s="1555"/>
      <c r="G36" s="1555"/>
      <c r="H36" s="1555"/>
      <c r="I36" s="1555"/>
      <c r="J36" s="1555"/>
      <c r="K36" s="1555"/>
      <c r="L36" s="1555"/>
      <c r="M36" s="1555"/>
      <c r="N36" s="1555"/>
      <c r="O36" s="1555"/>
      <c r="P36" s="1555"/>
      <c r="Q36" s="1555"/>
      <c r="R36" s="1555"/>
      <c r="S36" s="1555"/>
      <c r="T36" s="1555"/>
      <c r="U36" s="1555"/>
      <c r="V36" s="1555"/>
      <c r="W36" s="1555"/>
      <c r="X36" s="1555"/>
      <c r="Y36" s="1555"/>
      <c r="Z36" s="1555"/>
      <c r="AA36" s="1555"/>
      <c r="AB36" s="1555"/>
      <c r="AC36" s="1555"/>
      <c r="AD36" s="1555"/>
      <c r="AE36" s="1555"/>
      <c r="AF36" s="1555"/>
      <c r="AG36" s="1555"/>
      <c r="AH36" s="1555"/>
      <c r="AI36" s="1555"/>
      <c r="AJ36" s="1555"/>
      <c r="AK36" s="1555"/>
      <c r="AL36" s="1555"/>
      <c r="AM36" s="1555"/>
      <c r="AN36" s="1555"/>
      <c r="AO36" s="1555"/>
      <c r="AP36" s="1555"/>
      <c r="AQ36" s="1555"/>
      <c r="AR36" s="1555"/>
      <c r="AS36" s="1555"/>
      <c r="AT36" s="1555"/>
      <c r="AU36" s="20"/>
      <c r="AV36" s="20"/>
      <c r="AW36" s="20"/>
      <c r="AX36" s="20"/>
      <c r="AY36" s="20"/>
      <c r="AZ36" s="20"/>
      <c r="BD36" s="1248" t="s">
        <v>2533</v>
      </c>
      <c r="BE36" s="1249" t="str">
        <f>Application!I189</f>
        <v>N/A</v>
      </c>
    </row>
    <row r="37" spans="1:57" ht="12.95" customHeight="1">
      <c r="A37" s="1555"/>
      <c r="B37" s="1555"/>
      <c r="C37" s="1555"/>
      <c r="D37" s="1555"/>
      <c r="E37" s="1555"/>
      <c r="F37" s="1555"/>
      <c r="G37" s="1555"/>
      <c r="H37" s="1555"/>
      <c r="I37" s="1555"/>
      <c r="J37" s="1555"/>
      <c r="K37" s="1555"/>
      <c r="L37" s="1555"/>
      <c r="M37" s="1555"/>
      <c r="N37" s="1555"/>
      <c r="O37" s="1555"/>
      <c r="P37" s="1555"/>
      <c r="Q37" s="1555"/>
      <c r="R37" s="1555"/>
      <c r="S37" s="1555"/>
      <c r="T37" s="1555"/>
      <c r="U37" s="1555"/>
      <c r="V37" s="1555"/>
      <c r="W37" s="1555"/>
      <c r="X37" s="1555"/>
      <c r="Y37" s="1555"/>
      <c r="Z37" s="1555"/>
      <c r="AA37" s="1555"/>
      <c r="AB37" s="1555"/>
      <c r="AC37" s="1555"/>
      <c r="AD37" s="1555"/>
      <c r="AE37" s="1555"/>
      <c r="AF37" s="1555"/>
      <c r="AG37" s="1555"/>
      <c r="AH37" s="1555"/>
      <c r="AI37" s="1555"/>
      <c r="AJ37" s="1555"/>
      <c r="AK37" s="1555"/>
      <c r="AL37" s="1555"/>
      <c r="AM37" s="1555"/>
      <c r="AN37" s="1555"/>
      <c r="AO37" s="1555"/>
      <c r="AP37" s="1555"/>
      <c r="AQ37" s="1555"/>
      <c r="AR37" s="1555"/>
      <c r="AS37" s="1555"/>
      <c r="AT37" s="1555"/>
      <c r="AZ37" s="20"/>
      <c r="BD37" s="1247" t="s">
        <v>2534</v>
      </c>
      <c r="BE37" s="1249" t="str">
        <f>Application!T189</f>
        <v>Marin</v>
      </c>
    </row>
    <row r="38" spans="1:57" ht="12.95" customHeight="1">
      <c r="A38" s="3"/>
      <c r="AZ38" s="20"/>
      <c r="BD38" s="1248" t="s">
        <v>2535</v>
      </c>
      <c r="BE38" s="1249">
        <f>Application!I190</f>
        <v>94964</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115</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113</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0.44159292035398229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0.4416051233037927</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958286.48695652175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Oak Hill Eden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Teddy Newmyer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Eden Housing,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22645 Grand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Hayward, CA, 94541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Tim Gorman</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tim.gorman@edenhousing.org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0.83642098734012449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0.92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18" t="s">
        <v>2157</v>
      </c>
      <c r="B65" s="1518"/>
      <c r="C65" s="1518"/>
      <c r="D65" s="1518"/>
      <c r="E65" s="1518"/>
      <c r="F65" s="1518"/>
      <c r="G65" s="1518"/>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518"/>
      <c r="AM65" s="1518"/>
      <c r="AN65" s="1518"/>
      <c r="AO65" s="1518"/>
      <c r="AP65" s="1518"/>
      <c r="AQ65" s="1518"/>
      <c r="AR65" s="1518"/>
      <c r="AS65" s="1518"/>
      <c r="AT65" s="1518"/>
      <c r="AU65" s="21"/>
      <c r="AV65" s="21"/>
      <c r="AW65" s="21"/>
      <c r="AX65" s="21"/>
      <c r="AY65" s="21"/>
      <c r="AZ65" s="20"/>
      <c r="BD65" s="1247" t="s">
        <v>2594</v>
      </c>
      <c r="BE65" s="1249" t="str">
        <f>Z205</f>
        <v>$500M</v>
      </c>
    </row>
    <row r="66" spans="1:57" ht="12.95" customHeight="1">
      <c r="A66" s="1518"/>
      <c r="B66" s="1518"/>
      <c r="C66" s="1518"/>
      <c r="D66" s="1518"/>
      <c r="E66" s="1518"/>
      <c r="F66" s="1518"/>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518"/>
      <c r="AM66" s="1518"/>
      <c r="AN66" s="1518"/>
      <c r="AO66" s="1518"/>
      <c r="AP66" s="1518"/>
      <c r="AQ66" s="1518"/>
      <c r="AR66" s="1518"/>
      <c r="AS66" s="1518"/>
      <c r="AT66" s="1518"/>
      <c r="AU66" s="21"/>
      <c r="AV66" s="21"/>
      <c r="AW66" s="21"/>
      <c r="AX66" s="21"/>
      <c r="AY66" s="21"/>
      <c r="AZ66" s="20"/>
      <c r="BD66" s="1248" t="s">
        <v>2559</v>
      </c>
      <c r="BE66" s="1249" t="b">
        <f>Application!Z205="State Farmworker Credit"</f>
        <v>0</v>
      </c>
    </row>
    <row r="67" spans="1:57" ht="12.95" customHeight="1">
      <c r="A67" s="1518"/>
      <c r="B67" s="1518"/>
      <c r="C67" s="1518"/>
      <c r="D67" s="1518"/>
      <c r="E67" s="1518"/>
      <c r="F67" s="1518"/>
      <c r="G67" s="1518"/>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518"/>
      <c r="AM67" s="1518"/>
      <c r="AN67" s="1518"/>
      <c r="AO67" s="1518"/>
      <c r="AP67" s="1518"/>
      <c r="AQ67" s="1518"/>
      <c r="AR67" s="1518"/>
      <c r="AS67" s="1518"/>
      <c r="AT67" s="1518"/>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18" t="s">
        <v>2158</v>
      </c>
      <c r="B69" s="1518"/>
      <c r="C69" s="1518"/>
      <c r="D69" s="1518"/>
      <c r="E69" s="1518"/>
      <c r="F69" s="1518"/>
      <c r="G69" s="1518"/>
      <c r="H69" s="1518"/>
      <c r="I69" s="1518"/>
      <c r="J69" s="1518"/>
      <c r="K69" s="1518"/>
      <c r="L69" s="1518"/>
      <c r="M69" s="1518"/>
      <c r="N69" s="1518"/>
      <c r="O69" s="1518"/>
      <c r="P69" s="1518"/>
      <c r="Q69" s="1518"/>
      <c r="R69" s="1518"/>
      <c r="S69" s="1518"/>
      <c r="T69" s="1518"/>
      <c r="U69" s="1518"/>
      <c r="V69" s="1518"/>
      <c r="W69" s="1518"/>
      <c r="X69" s="1518"/>
      <c r="Y69" s="1518"/>
      <c r="Z69" s="1518"/>
      <c r="AA69" s="1518"/>
      <c r="AB69" s="1518"/>
      <c r="AC69" s="1518"/>
      <c r="AD69" s="1518"/>
      <c r="AE69" s="1518"/>
      <c r="AF69" s="1518"/>
      <c r="AG69" s="1518"/>
      <c r="AH69" s="1518"/>
      <c r="AI69" s="1518"/>
      <c r="AJ69" s="1518"/>
      <c r="AK69" s="1518"/>
      <c r="AL69" s="1518"/>
      <c r="AM69" s="1518"/>
      <c r="AN69" s="1518"/>
      <c r="AO69" s="1518"/>
      <c r="AP69" s="1518"/>
      <c r="AQ69" s="1518"/>
      <c r="AR69" s="1518"/>
      <c r="AS69" s="1518"/>
      <c r="AT69" s="1518"/>
      <c r="AZ69" s="20"/>
      <c r="BD69" s="1247" t="s">
        <v>2562</v>
      </c>
      <c r="BE69" s="1249" t="str">
        <f>Application!W700</f>
        <v>California Municipal Finance Authority</v>
      </c>
    </row>
    <row r="70" spans="1:57" ht="12.95" customHeight="1">
      <c r="A70" s="1518"/>
      <c r="B70" s="1518"/>
      <c r="C70" s="1518"/>
      <c r="D70" s="1518"/>
      <c r="E70" s="1518"/>
      <c r="F70" s="1518"/>
      <c r="G70" s="1518"/>
      <c r="H70" s="1518"/>
      <c r="I70" s="1518"/>
      <c r="J70" s="1518"/>
      <c r="K70" s="1518"/>
      <c r="L70" s="1518"/>
      <c r="M70" s="1518"/>
      <c r="N70" s="1518"/>
      <c r="O70" s="1518"/>
      <c r="P70" s="1518"/>
      <c r="Q70" s="1518"/>
      <c r="R70" s="1518"/>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20"/>
      <c r="AV70" s="20"/>
      <c r="AW70" s="20"/>
      <c r="AX70" s="20"/>
      <c r="AY70" s="20"/>
      <c r="AZ70" s="20"/>
      <c r="BD70" s="1248" t="s">
        <v>2563</v>
      </c>
      <c r="BE70" s="1249">
        <f>'Points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55" t="s">
        <v>2159</v>
      </c>
      <c r="B72" s="1555"/>
      <c r="C72" s="1555"/>
      <c r="D72" s="1555"/>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1555"/>
      <c r="AB72" s="1555"/>
      <c r="AC72" s="1555"/>
      <c r="AD72" s="1555"/>
      <c r="AE72" s="1555"/>
      <c r="AF72" s="1555"/>
      <c r="AG72" s="1555"/>
      <c r="AH72" s="1555"/>
      <c r="AI72" s="1555"/>
      <c r="AJ72" s="1555"/>
      <c r="AK72" s="1555"/>
      <c r="AL72" s="1555"/>
      <c r="AM72" s="1555"/>
      <c r="AN72" s="1555"/>
      <c r="AO72" s="1555"/>
      <c r="AP72" s="1555"/>
      <c r="AQ72" s="1555"/>
      <c r="AR72" s="1555"/>
      <c r="AS72" s="1555"/>
      <c r="AT72" s="1555"/>
      <c r="AU72" s="20"/>
      <c r="AV72" s="20"/>
      <c r="AW72" s="20"/>
      <c r="AX72" s="20"/>
      <c r="AY72" s="20"/>
      <c r="AZ72" s="20"/>
      <c r="BD72" s="1248" t="s">
        <v>2565</v>
      </c>
      <c r="BE72" s="1249">
        <f>'Points System'!AF805</f>
        <v>10</v>
      </c>
    </row>
    <row r="73" spans="1:57" ht="12.95" customHeight="1">
      <c r="A73" s="1555"/>
      <c r="B73" s="1555"/>
      <c r="C73" s="1555"/>
      <c r="D73" s="1555"/>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1555"/>
      <c r="AB73" s="1555"/>
      <c r="AC73" s="1555"/>
      <c r="AD73" s="1555"/>
      <c r="AE73" s="1555"/>
      <c r="AF73" s="1555"/>
      <c r="AG73" s="1555"/>
      <c r="AH73" s="1555"/>
      <c r="AI73" s="1555"/>
      <c r="AJ73" s="1555"/>
      <c r="AK73" s="1555"/>
      <c r="AL73" s="1555"/>
      <c r="AM73" s="1555"/>
      <c r="AN73" s="1555"/>
      <c r="AO73" s="1555"/>
      <c r="AP73" s="1555"/>
      <c r="AQ73" s="1555"/>
      <c r="AR73" s="1555"/>
      <c r="AS73" s="1555"/>
      <c r="AT73" s="1555"/>
      <c r="AU73" s="20"/>
      <c r="AV73" s="20"/>
      <c r="AW73" s="20"/>
      <c r="AX73" s="20"/>
      <c r="AY73" s="20"/>
      <c r="AZ73" s="20"/>
      <c r="BD73" s="1247" t="s">
        <v>2566</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63" t="s">
        <v>2160</v>
      </c>
      <c r="B75" s="1563"/>
      <c r="C75" s="1563"/>
      <c r="D75" s="1563"/>
      <c r="E75" s="1563"/>
      <c r="F75" s="1563"/>
      <c r="G75" s="1563"/>
      <c r="H75" s="1563"/>
      <c r="I75" s="1563"/>
      <c r="J75" s="1563"/>
      <c r="K75" s="1563"/>
      <c r="L75" s="1563"/>
      <c r="M75" s="1563"/>
      <c r="N75" s="1563"/>
      <c r="O75" s="1563"/>
      <c r="P75" s="1563"/>
      <c r="Q75" s="1563"/>
      <c r="R75" s="1563"/>
      <c r="S75" s="1563"/>
      <c r="T75" s="1563"/>
      <c r="U75" s="1563"/>
      <c r="V75" s="1563"/>
      <c r="W75" s="1563"/>
      <c r="X75" s="1563"/>
      <c r="Y75" s="1563"/>
      <c r="Z75" s="1563"/>
      <c r="AA75" s="1563"/>
      <c r="AB75" s="1563"/>
      <c r="AC75" s="1563"/>
      <c r="AD75" s="1563"/>
      <c r="AE75" s="1563"/>
      <c r="AF75" s="1563"/>
      <c r="AG75" s="1563"/>
      <c r="AH75" s="1563"/>
      <c r="AI75" s="1563"/>
      <c r="AJ75" s="1563"/>
      <c r="AK75" s="1563"/>
      <c r="AL75" s="1563"/>
      <c r="AM75" s="1563"/>
      <c r="AN75" s="1563"/>
      <c r="AO75" s="1563"/>
      <c r="AP75" s="1563"/>
      <c r="AQ75" s="1563"/>
      <c r="AR75" s="1563"/>
      <c r="AS75" s="1563"/>
      <c r="AT75" s="1563"/>
      <c r="AU75" s="20"/>
      <c r="AV75" s="20"/>
      <c r="AW75" s="20"/>
      <c r="AX75" s="20"/>
      <c r="AY75" s="20"/>
      <c r="AZ75" s="20"/>
      <c r="BD75" s="1247" t="s">
        <v>2568</v>
      </c>
      <c r="BE75" s="1249">
        <f>'Points System'!AF808</f>
        <v>10</v>
      </c>
    </row>
    <row r="76" spans="1:57" ht="12.95" customHeight="1">
      <c r="A76" s="1563"/>
      <c r="B76" s="1563"/>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63"/>
      <c r="Y76" s="1563"/>
      <c r="Z76" s="1563"/>
      <c r="AA76" s="1563"/>
      <c r="AB76" s="1563"/>
      <c r="AC76" s="1563"/>
      <c r="AD76" s="1563"/>
      <c r="AE76" s="1563"/>
      <c r="AF76" s="1563"/>
      <c r="AG76" s="1563"/>
      <c r="AH76" s="1563"/>
      <c r="AI76" s="1563"/>
      <c r="AJ76" s="1563"/>
      <c r="AK76" s="1563"/>
      <c r="AL76" s="1563"/>
      <c r="AM76" s="1563"/>
      <c r="AN76" s="1563"/>
      <c r="AO76" s="1563"/>
      <c r="AP76" s="1563"/>
      <c r="AQ76" s="1563"/>
      <c r="AR76" s="1563"/>
      <c r="AS76" s="1563"/>
      <c r="AT76" s="1563"/>
      <c r="AU76" s="20"/>
      <c r="AV76" s="20"/>
      <c r="AW76" s="20"/>
      <c r="AX76" s="20"/>
      <c r="AY76" s="20"/>
      <c r="AZ76" s="17"/>
      <c r="BD76" s="1248" t="s">
        <v>2569</v>
      </c>
      <c r="BE76" s="1249">
        <f>'Points System'!AF811</f>
        <v>10</v>
      </c>
    </row>
    <row r="77" spans="1:57" ht="12.95" customHeight="1">
      <c r="A77" s="1563"/>
      <c r="B77" s="1563"/>
      <c r="C77" s="1563"/>
      <c r="D77" s="1563"/>
      <c r="E77" s="1563"/>
      <c r="F77" s="1563"/>
      <c r="G77" s="1563"/>
      <c r="H77" s="1563"/>
      <c r="I77" s="1563"/>
      <c r="J77" s="1563"/>
      <c r="K77" s="1563"/>
      <c r="L77" s="1563"/>
      <c r="M77" s="1563"/>
      <c r="N77" s="1563"/>
      <c r="O77" s="1563"/>
      <c r="P77" s="1563"/>
      <c r="Q77" s="1563"/>
      <c r="R77" s="1563"/>
      <c r="S77" s="1563"/>
      <c r="T77" s="1563"/>
      <c r="U77" s="1563"/>
      <c r="V77" s="1563"/>
      <c r="W77" s="1563"/>
      <c r="X77" s="1563"/>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18" t="s">
        <v>2161</v>
      </c>
      <c r="B79" s="1518"/>
      <c r="C79" s="1518"/>
      <c r="D79" s="1518"/>
      <c r="E79" s="1518"/>
      <c r="F79" s="1518"/>
      <c r="G79" s="1518"/>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518"/>
      <c r="AM79" s="1518"/>
      <c r="AN79" s="1518"/>
      <c r="AO79" s="1518"/>
      <c r="AP79" s="1518"/>
      <c r="AQ79" s="1518"/>
      <c r="AR79" s="1518"/>
      <c r="AS79" s="1518"/>
      <c r="AT79" s="1518"/>
      <c r="AU79" s="20"/>
      <c r="AV79" s="20"/>
      <c r="AW79" s="20"/>
      <c r="AX79" s="20"/>
      <c r="AY79" s="20"/>
      <c r="AZ79" s="20"/>
      <c r="BD79" s="1247" t="s">
        <v>2572</v>
      </c>
      <c r="BE79" s="1249">
        <f>'Points System'!AF815</f>
        <v>10</v>
      </c>
    </row>
    <row r="80" spans="1:57" ht="12.95" customHeight="1">
      <c r="A80" s="1518"/>
      <c r="B80" s="1518"/>
      <c r="C80" s="1518"/>
      <c r="D80" s="1518"/>
      <c r="E80" s="1518"/>
      <c r="F80" s="1518"/>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518"/>
      <c r="AM80" s="1518"/>
      <c r="AN80" s="1518"/>
      <c r="AO80" s="1518"/>
      <c r="AP80" s="1518"/>
      <c r="AQ80" s="1518"/>
      <c r="AR80" s="1518"/>
      <c r="AS80" s="1518"/>
      <c r="AT80" s="1518"/>
      <c r="AU80" s="20"/>
      <c r="AV80" s="20"/>
      <c r="AW80" s="20"/>
      <c r="AX80" s="20"/>
      <c r="AY80" s="20"/>
      <c r="AZ80" s="20"/>
      <c r="BD80" s="1248" t="s">
        <v>2573</v>
      </c>
      <c r="BE80" s="1249">
        <f>'Points System'!AF817</f>
        <v>10</v>
      </c>
    </row>
    <row r="81" spans="1:57" ht="12.95" customHeight="1">
      <c r="A81" s="1518"/>
      <c r="B81" s="1518"/>
      <c r="C81" s="1518"/>
      <c r="D81" s="1518"/>
      <c r="E81" s="1518"/>
      <c r="F81" s="1518"/>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518"/>
      <c r="AM81" s="1518"/>
      <c r="AN81" s="1518"/>
      <c r="AO81" s="1518"/>
      <c r="AP81" s="1518"/>
      <c r="AQ81" s="1518"/>
      <c r="AR81" s="1518"/>
      <c r="AS81" s="1518"/>
      <c r="AT81" s="151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1.4636888364144949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County of Marin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Thomas Lai</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3501Civic Center Drive, Room 308</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Rafael</v>
      </c>
    </row>
    <row r="89" spans="1:57" ht="12.95" customHeight="1">
      <c r="A89" s="1572" t="s">
        <v>2164</v>
      </c>
      <c r="B89" s="1572"/>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c r="AA89" s="1572"/>
      <c r="AB89" s="1572"/>
      <c r="AC89" s="1572"/>
      <c r="AD89" s="1572"/>
      <c r="AE89" s="1572"/>
      <c r="AF89" s="1572"/>
      <c r="AG89" s="1572"/>
      <c r="AH89" s="1572"/>
      <c r="AI89" s="1572"/>
      <c r="AJ89" s="1572"/>
      <c r="AK89" s="1572"/>
      <c r="AL89" s="1572"/>
      <c r="AM89" s="1572"/>
      <c r="AN89" s="1572"/>
      <c r="AO89" s="1572"/>
      <c r="AP89" s="1572"/>
      <c r="AQ89" s="1572"/>
      <c r="AR89" s="1572"/>
      <c r="AS89" s="1572"/>
      <c r="AT89" s="1572"/>
      <c r="AU89" s="17"/>
      <c r="AV89" s="17"/>
      <c r="AW89" s="17"/>
      <c r="AX89" s="17"/>
      <c r="AY89" s="17"/>
      <c r="AZ89" s="20"/>
      <c r="BD89" s="1247" t="s">
        <v>2582</v>
      </c>
      <c r="BE89" s="1249">
        <f>Application!O158</f>
        <v>94903</v>
      </c>
    </row>
    <row r="90" spans="1:57" ht="12.95" customHeight="1">
      <c r="A90" s="1572"/>
      <c r="B90" s="1572"/>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c r="AA90" s="1572"/>
      <c r="AB90" s="1572"/>
      <c r="AC90" s="1572"/>
      <c r="AD90" s="1572"/>
      <c r="AE90" s="1572"/>
      <c r="AF90" s="1572"/>
      <c r="AG90" s="1572"/>
      <c r="AH90" s="1572"/>
      <c r="AI90" s="1572"/>
      <c r="AJ90" s="1572"/>
      <c r="AK90" s="1572"/>
      <c r="AL90" s="1572"/>
      <c r="AM90" s="1572"/>
      <c r="AN90" s="1572"/>
      <c r="AO90" s="1572"/>
      <c r="AP90" s="1572"/>
      <c r="AQ90" s="1572"/>
      <c r="AR90" s="1572"/>
      <c r="AS90" s="1572"/>
      <c r="AT90" s="1572"/>
      <c r="AU90" s="17"/>
      <c r="AV90" s="17"/>
      <c r="AW90" s="17"/>
      <c r="AX90" s="17"/>
      <c r="AY90" s="17"/>
      <c r="AZ90" s="20"/>
      <c r="BD90" s="1248" t="s">
        <v>2583</v>
      </c>
      <c r="BE90" s="1249" t="str">
        <f>Application!H16</f>
        <v>Eden Housing,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22645 Grand St</v>
      </c>
    </row>
    <row r="92" spans="1:57" ht="12.95" customHeight="1">
      <c r="A92" s="1563" t="s">
        <v>2165</v>
      </c>
      <c r="B92" s="1563"/>
      <c r="C92" s="1563"/>
      <c r="D92" s="1563"/>
      <c r="E92" s="1563"/>
      <c r="F92" s="1563"/>
      <c r="G92" s="1563"/>
      <c r="H92" s="1563"/>
      <c r="I92" s="1563"/>
      <c r="J92" s="1563"/>
      <c r="K92" s="1563"/>
      <c r="L92" s="1563"/>
      <c r="M92" s="1563"/>
      <c r="N92" s="1563"/>
      <c r="O92" s="1563"/>
      <c r="P92" s="1563"/>
      <c r="Q92" s="1563"/>
      <c r="R92" s="1563"/>
      <c r="S92" s="1563"/>
      <c r="T92" s="1563"/>
      <c r="U92" s="1563"/>
      <c r="V92" s="1563"/>
      <c r="W92" s="1563"/>
      <c r="X92" s="1563"/>
      <c r="Y92" s="1563"/>
      <c r="Z92" s="1563"/>
      <c r="AA92" s="1563"/>
      <c r="AB92" s="1563"/>
      <c r="AC92" s="1563"/>
      <c r="AD92" s="1563"/>
      <c r="AE92" s="1563"/>
      <c r="AF92" s="1563"/>
      <c r="AG92" s="1563"/>
      <c r="AH92" s="1563"/>
      <c r="AI92" s="1563"/>
      <c r="AJ92" s="1563"/>
      <c r="AK92" s="1563"/>
      <c r="AL92" s="1563"/>
      <c r="AM92" s="1563"/>
      <c r="AN92" s="1563"/>
      <c r="AO92" s="1563"/>
      <c r="AP92" s="1563"/>
      <c r="AQ92" s="1563"/>
      <c r="AR92" s="1563"/>
      <c r="AS92" s="1563"/>
      <c r="AT92" s="1563"/>
      <c r="AU92" s="20"/>
      <c r="AV92" s="20"/>
      <c r="AW92" s="20"/>
      <c r="AX92" s="20"/>
      <c r="AY92" s="20"/>
      <c r="AZ92" s="20"/>
      <c r="BD92" s="1248" t="s">
        <v>2585</v>
      </c>
      <c r="BE92" s="1249" t="str">
        <f>Application!M234</f>
        <v>Hayward</v>
      </c>
    </row>
    <row r="93" spans="1:57" ht="12.95" customHeight="1">
      <c r="A93" s="1563"/>
      <c r="B93" s="1563"/>
      <c r="C93" s="1563"/>
      <c r="D93" s="1563"/>
      <c r="E93" s="1563"/>
      <c r="F93" s="1563"/>
      <c r="G93" s="1563"/>
      <c r="H93" s="1563"/>
      <c r="I93" s="1563"/>
      <c r="J93" s="1563"/>
      <c r="K93" s="1563"/>
      <c r="L93" s="1563"/>
      <c r="M93" s="1563"/>
      <c r="N93" s="1563"/>
      <c r="O93" s="1563"/>
      <c r="P93" s="1563"/>
      <c r="Q93" s="1563"/>
      <c r="R93" s="1563"/>
      <c r="S93" s="1563"/>
      <c r="T93" s="1563"/>
      <c r="U93" s="1563"/>
      <c r="V93" s="1563"/>
      <c r="W93" s="1563"/>
      <c r="X93" s="1563"/>
      <c r="Y93" s="1563"/>
      <c r="Z93" s="1563"/>
      <c r="AA93" s="1563"/>
      <c r="AB93" s="1563"/>
      <c r="AC93" s="1563"/>
      <c r="AD93" s="1563"/>
      <c r="AE93" s="1563"/>
      <c r="AF93" s="1563"/>
      <c r="AG93" s="1563"/>
      <c r="AH93" s="1563"/>
      <c r="AI93" s="1563"/>
      <c r="AJ93" s="1563"/>
      <c r="AK93" s="1563"/>
      <c r="AL93" s="1563"/>
      <c r="AM93" s="1563"/>
      <c r="AN93" s="1563"/>
      <c r="AO93" s="1563"/>
      <c r="AP93" s="1563"/>
      <c r="AQ93" s="1563"/>
      <c r="AR93" s="1563"/>
      <c r="AS93" s="1563"/>
      <c r="AT93" s="1563"/>
      <c r="AU93" s="20"/>
      <c r="AV93" s="20"/>
      <c r="AW93" s="20"/>
      <c r="AX93" s="20"/>
      <c r="AY93" s="20"/>
      <c r="AZ93" s="20"/>
      <c r="BD93" s="1247" t="s">
        <v>2586</v>
      </c>
      <c r="BE93" s="1249" t="str">
        <f>Application!W234</f>
        <v>CA</v>
      </c>
    </row>
    <row r="94" spans="1:57" ht="12.95" customHeight="1">
      <c r="A94" s="1563"/>
      <c r="B94" s="1563"/>
      <c r="C94" s="1563"/>
      <c r="D94" s="1563"/>
      <c r="E94" s="1563"/>
      <c r="F94" s="1563"/>
      <c r="G94" s="1563"/>
      <c r="H94" s="1563"/>
      <c r="I94" s="1563"/>
      <c r="J94" s="1563"/>
      <c r="K94" s="1563"/>
      <c r="L94" s="1563"/>
      <c r="M94" s="1563"/>
      <c r="N94" s="1563"/>
      <c r="O94" s="1563"/>
      <c r="P94" s="1563"/>
      <c r="Q94" s="1563"/>
      <c r="R94" s="1563"/>
      <c r="S94" s="1563"/>
      <c r="T94" s="1563"/>
      <c r="U94" s="1563"/>
      <c r="V94" s="1563"/>
      <c r="W94" s="1563"/>
      <c r="X94" s="1563"/>
      <c r="Y94" s="1563"/>
      <c r="Z94" s="1563"/>
      <c r="AA94" s="1563"/>
      <c r="AB94" s="1563"/>
      <c r="AC94" s="1563"/>
      <c r="AD94" s="1563"/>
      <c r="AE94" s="1563"/>
      <c r="AF94" s="1563"/>
      <c r="AG94" s="1563"/>
      <c r="AH94" s="1563"/>
      <c r="AI94" s="1563"/>
      <c r="AJ94" s="1563"/>
      <c r="AK94" s="1563"/>
      <c r="AL94" s="1563"/>
      <c r="AM94" s="1563"/>
      <c r="AN94" s="1563"/>
      <c r="AO94" s="1563"/>
      <c r="AP94" s="1563"/>
      <c r="AQ94" s="1563"/>
      <c r="AR94" s="1563"/>
      <c r="AS94" s="1563"/>
      <c r="AT94" s="1563"/>
      <c r="AU94" s="20"/>
      <c r="AV94" s="20"/>
      <c r="AW94" s="20"/>
      <c r="AX94" s="20"/>
      <c r="AY94" s="20"/>
      <c r="AZ94" s="20"/>
      <c r="BD94" s="1248" t="s">
        <v>2587</v>
      </c>
      <c r="BE94" s="1249">
        <f>Application!AC234</f>
        <v>94541</v>
      </c>
    </row>
    <row r="95" spans="1:57" ht="12.95" customHeight="1">
      <c r="A95" s="1563"/>
      <c r="B95" s="1563"/>
      <c r="C95" s="1563"/>
      <c r="D95" s="1563"/>
      <c r="E95" s="1563"/>
      <c r="F95" s="1563"/>
      <c r="G95" s="1563"/>
      <c r="H95" s="1563"/>
      <c r="I95" s="1563"/>
      <c r="J95" s="1563"/>
      <c r="K95" s="1563"/>
      <c r="L95" s="1563"/>
      <c r="M95" s="1563"/>
      <c r="N95" s="1563"/>
      <c r="O95" s="1563"/>
      <c r="P95" s="1563"/>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563"/>
      <c r="AM95" s="1563"/>
      <c r="AN95" s="1563"/>
      <c r="AO95" s="1563"/>
      <c r="AP95" s="1563"/>
      <c r="AQ95" s="1563"/>
      <c r="AR95" s="1563"/>
      <c r="AS95" s="1563"/>
      <c r="AT95" s="1563"/>
      <c r="AU95" s="20"/>
      <c r="AV95" s="20"/>
      <c r="AW95" s="20"/>
      <c r="AX95" s="20"/>
      <c r="AY95" s="20"/>
      <c r="AZ95" s="20"/>
      <c r="BD95" s="1247" t="s">
        <v>2588</v>
      </c>
      <c r="BE95" s="1249">
        <f>Application!M235</f>
        <v>0</v>
      </c>
    </row>
    <row r="96" spans="1:57" ht="12.95" customHeight="1">
      <c r="A96" s="1563"/>
      <c r="B96" s="1563"/>
      <c r="C96" s="1563"/>
      <c r="D96" s="1563"/>
      <c r="E96" s="1563"/>
      <c r="F96" s="1563"/>
      <c r="G96" s="1563"/>
      <c r="H96" s="1563"/>
      <c r="I96" s="1563"/>
      <c r="J96" s="1563"/>
      <c r="K96" s="1563"/>
      <c r="L96" s="1563"/>
      <c r="M96" s="1563"/>
      <c r="N96" s="1563"/>
      <c r="O96" s="1563"/>
      <c r="P96" s="1563"/>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563"/>
      <c r="AM96" s="1563"/>
      <c r="AN96" s="1563"/>
      <c r="AO96" s="1563"/>
      <c r="AP96" s="1563"/>
      <c r="AQ96" s="1563"/>
      <c r="AR96" s="1563"/>
      <c r="AS96" s="1563"/>
      <c r="AT96" s="1563"/>
      <c r="AU96" s="20"/>
      <c r="AV96" s="20"/>
      <c r="AW96" s="20"/>
      <c r="AX96" s="20"/>
      <c r="AY96" s="20"/>
      <c r="AZ96" s="20"/>
      <c r="BD96" s="1248" t="s">
        <v>2589</v>
      </c>
      <c r="BE96" s="1249">
        <f>Application!M237</f>
        <v>0</v>
      </c>
    </row>
    <row r="97" spans="1:57" ht="12.95" customHeight="1">
      <c r="A97" s="1563"/>
      <c r="B97" s="1563"/>
      <c r="C97" s="1563"/>
      <c r="D97" s="1563"/>
      <c r="E97" s="1563"/>
      <c r="F97" s="1563"/>
      <c r="G97" s="1563"/>
      <c r="H97" s="1563"/>
      <c r="I97" s="1563"/>
      <c r="J97" s="1563"/>
      <c r="K97" s="1563"/>
      <c r="L97" s="1563"/>
      <c r="M97" s="1563"/>
      <c r="N97" s="1563"/>
      <c r="O97" s="1563"/>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563"/>
      <c r="AM97" s="1563"/>
      <c r="AN97" s="1563"/>
      <c r="AO97" s="1563"/>
      <c r="AP97" s="1563"/>
      <c r="AQ97" s="1563"/>
      <c r="AR97" s="1563"/>
      <c r="AS97" s="1563"/>
      <c r="AT97" s="1563"/>
      <c r="AU97" s="20"/>
      <c r="AV97" s="20"/>
      <c r="AW97" s="20"/>
      <c r="AX97" s="20"/>
      <c r="AY97" s="20"/>
      <c r="AZ97" s="20"/>
      <c r="BD97" s="1247" t="s">
        <v>2590</v>
      </c>
      <c r="BE97" s="1249" t="str">
        <f>Application!M248</f>
        <v>teddy.newmyer@edenhousing.org</v>
      </c>
    </row>
    <row r="98" spans="1:57" ht="12.95" customHeight="1">
      <c r="A98" s="1563"/>
      <c r="B98" s="1563"/>
      <c r="C98" s="1563"/>
      <c r="D98" s="1563"/>
      <c r="E98" s="1563"/>
      <c r="F98" s="1563"/>
      <c r="G98" s="1563"/>
      <c r="H98" s="1563"/>
      <c r="I98" s="1563"/>
      <c r="J98" s="1563"/>
      <c r="K98" s="1563"/>
      <c r="L98" s="1563"/>
      <c r="M98" s="1563"/>
      <c r="N98" s="1563"/>
      <c r="O98" s="1563"/>
      <c r="P98" s="1563"/>
      <c r="Q98" s="1563"/>
      <c r="R98" s="1563"/>
      <c r="S98" s="1563"/>
      <c r="T98" s="1563"/>
      <c r="U98" s="1563"/>
      <c r="V98" s="1563"/>
      <c r="W98" s="1563"/>
      <c r="X98" s="1563"/>
      <c r="Y98" s="1563"/>
      <c r="Z98" s="1563"/>
      <c r="AA98" s="1563"/>
      <c r="AB98" s="1563"/>
      <c r="AC98" s="1563"/>
      <c r="AD98" s="1563"/>
      <c r="AE98" s="1563"/>
      <c r="AF98" s="1563"/>
      <c r="AG98" s="1563"/>
      <c r="AH98" s="1563"/>
      <c r="AI98" s="1563"/>
      <c r="AJ98" s="1563"/>
      <c r="AK98" s="1563"/>
      <c r="AL98" s="1563"/>
      <c r="AM98" s="1563"/>
      <c r="AN98" s="1563"/>
      <c r="AO98" s="1563"/>
      <c r="AP98" s="1563"/>
      <c r="AQ98" s="1563"/>
      <c r="AR98" s="1563"/>
      <c r="AS98" s="1563"/>
      <c r="AT98" s="1563"/>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73" t="s">
        <v>2166</v>
      </c>
      <c r="B100" s="1573"/>
      <c r="C100" s="1573"/>
      <c r="D100" s="1573"/>
      <c r="E100" s="1573"/>
      <c r="F100" s="1573"/>
      <c r="G100" s="1573"/>
      <c r="H100" s="1573"/>
      <c r="I100" s="1573"/>
      <c r="J100" s="1573"/>
      <c r="K100" s="1573"/>
      <c r="L100" s="1573"/>
      <c r="M100" s="1573"/>
      <c r="N100" s="1573"/>
      <c r="O100" s="1573"/>
      <c r="P100" s="1573"/>
      <c r="Q100" s="1573"/>
      <c r="R100" s="1573"/>
      <c r="S100" s="1573"/>
      <c r="T100" s="1573"/>
      <c r="U100" s="1573"/>
      <c r="V100" s="1573"/>
      <c r="W100" s="1573"/>
      <c r="X100" s="1573"/>
      <c r="Y100" s="1573"/>
      <c r="Z100" s="1573"/>
      <c r="AA100" s="1573"/>
      <c r="AB100" s="1573"/>
      <c r="AC100" s="1573"/>
      <c r="AD100" s="1573"/>
      <c r="AE100" s="1573"/>
      <c r="AF100" s="1573"/>
      <c r="AG100" s="1573"/>
      <c r="AH100" s="1573"/>
      <c r="AI100" s="1573"/>
      <c r="AJ100" s="1573"/>
      <c r="AK100" s="1573"/>
      <c r="AL100" s="1573"/>
      <c r="AM100" s="1573"/>
      <c r="AN100" s="1573"/>
      <c r="AO100" s="1573"/>
      <c r="AP100" s="1573"/>
      <c r="AQ100" s="1573"/>
      <c r="AR100" s="1573"/>
      <c r="AS100" s="1573"/>
      <c r="AT100" s="1573"/>
      <c r="AU100" s="20"/>
      <c r="AV100" s="20"/>
      <c r="AW100" s="20"/>
      <c r="AX100" s="20"/>
      <c r="AY100" s="20"/>
      <c r="AZ100" s="20"/>
      <c r="BD100" s="1248" t="s">
        <v>2593</v>
      </c>
      <c r="BE100" s="1249" t="str">
        <f>Application!L279</f>
        <v>Teddy.Newmyer@edenhousing.org</v>
      </c>
    </row>
    <row r="101" spans="1:57" ht="12.95" customHeight="1">
      <c r="A101" s="1573"/>
      <c r="B101" s="1573"/>
      <c r="C101" s="1573"/>
      <c r="D101" s="1573"/>
      <c r="E101" s="1573"/>
      <c r="F101" s="1573"/>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3"/>
      <c r="AH101" s="1573"/>
      <c r="AI101" s="1573"/>
      <c r="AJ101" s="1573"/>
      <c r="AK101" s="1573"/>
      <c r="AL101" s="1573"/>
      <c r="AM101" s="1573"/>
      <c r="AN101" s="1573"/>
      <c r="AO101" s="1573"/>
      <c r="AP101" s="1573"/>
      <c r="AQ101" s="1573"/>
      <c r="AR101" s="1573"/>
      <c r="AS101" s="1573"/>
      <c r="AT101" s="1573"/>
      <c r="AU101" s="20"/>
      <c r="AV101" s="20"/>
      <c r="AW101" s="20"/>
      <c r="AX101" s="20"/>
      <c r="AY101" s="20"/>
      <c r="AZ101" s="20"/>
      <c r="BD101" s="3" t="s">
        <v>2598</v>
      </c>
      <c r="BE101">
        <f>'Sources and Uses Budget'!C105</f>
        <v>110202946</v>
      </c>
    </row>
    <row r="102" spans="1:57" ht="12.95" customHeight="1">
      <c r="A102" s="1573"/>
      <c r="B102" s="1573"/>
      <c r="C102" s="1573"/>
      <c r="D102" s="1573"/>
      <c r="E102" s="1573"/>
      <c r="F102" s="1573"/>
      <c r="G102" s="1573"/>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3"/>
      <c r="AH102" s="1573"/>
      <c r="AI102" s="1573"/>
      <c r="AJ102" s="1573"/>
      <c r="AK102" s="1573"/>
      <c r="AL102" s="1573"/>
      <c r="AM102" s="1573"/>
      <c r="AN102" s="1573"/>
      <c r="AO102" s="1573"/>
      <c r="AP102" s="1573"/>
      <c r="AQ102" s="1573"/>
      <c r="AR102" s="1573"/>
      <c r="AS102" s="1573"/>
      <c r="AT102" s="1573"/>
      <c r="AU102" s="20"/>
      <c r="AV102" s="20"/>
      <c r="AW102" s="20"/>
      <c r="AX102" s="20"/>
      <c r="AY102" s="20"/>
      <c r="AZ102" s="20"/>
      <c r="BD102" s="3" t="s">
        <v>2599</v>
      </c>
      <c r="BE102" t="b">
        <f>T197="Yes"</f>
        <v>0</v>
      </c>
    </row>
    <row r="103" spans="1:57" ht="12.95" customHeight="1">
      <c r="A103" s="1573"/>
      <c r="B103" s="1573"/>
      <c r="C103" s="1573"/>
      <c r="D103" s="1573"/>
      <c r="E103" s="1573"/>
      <c r="F103" s="1573"/>
      <c r="G103" s="1573"/>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3"/>
      <c r="AP103" s="1573"/>
      <c r="AQ103" s="1573"/>
      <c r="AR103" s="1573"/>
      <c r="AS103" s="1573"/>
      <c r="AT103" s="1573"/>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73" t="s">
        <v>2167</v>
      </c>
      <c r="B105" s="1573"/>
      <c r="C105" s="1573"/>
      <c r="D105" s="1573"/>
      <c r="E105" s="1573"/>
      <c r="F105" s="1573"/>
      <c r="G105" s="1573"/>
      <c r="H105" s="1573"/>
      <c r="I105" s="1573"/>
      <c r="J105" s="1573"/>
      <c r="K105" s="1573"/>
      <c r="L105" s="1573"/>
      <c r="M105" s="1573"/>
      <c r="N105" s="1573"/>
      <c r="O105" s="1573"/>
      <c r="P105" s="1573"/>
      <c r="Q105" s="1573"/>
      <c r="R105" s="1573"/>
      <c r="S105" s="1573"/>
      <c r="T105" s="1573"/>
      <c r="U105" s="1573"/>
      <c r="V105" s="1573"/>
      <c r="W105" s="1573"/>
      <c r="X105" s="1573"/>
      <c r="Y105" s="1573"/>
      <c r="Z105" s="1573"/>
      <c r="AA105" s="1573"/>
      <c r="AB105" s="1573"/>
      <c r="AC105" s="1573"/>
      <c r="AD105" s="1573"/>
      <c r="AE105" s="1573"/>
      <c r="AF105" s="1573"/>
      <c r="AG105" s="1573"/>
      <c r="AH105" s="1573"/>
      <c r="AI105" s="1573"/>
      <c r="AJ105" s="1573"/>
      <c r="AK105" s="1573"/>
      <c r="AL105" s="1573"/>
      <c r="AM105" s="1573"/>
      <c r="AN105" s="1573"/>
      <c r="AO105" s="1573"/>
      <c r="AP105" s="1573"/>
      <c r="AQ105" s="1573"/>
      <c r="AR105" s="1573"/>
      <c r="AS105" s="1573"/>
      <c r="AT105" s="1573"/>
      <c r="AU105" s="20"/>
      <c r="AV105" s="20"/>
      <c r="AW105" s="20"/>
      <c r="AX105" s="20"/>
      <c r="AY105" s="20"/>
    </row>
    <row r="106" spans="1:57" ht="12.95" customHeight="1">
      <c r="A106" s="1573"/>
      <c r="B106" s="1573"/>
      <c r="C106" s="1573"/>
      <c r="D106" s="1573"/>
      <c r="E106" s="1573"/>
      <c r="F106" s="1573"/>
      <c r="G106" s="1573"/>
      <c r="H106" s="1573"/>
      <c r="I106" s="1573"/>
      <c r="J106" s="1573"/>
      <c r="K106" s="1573"/>
      <c r="L106" s="1573"/>
      <c r="M106" s="1573"/>
      <c r="N106" s="1573"/>
      <c r="O106" s="1573"/>
      <c r="P106" s="1573"/>
      <c r="Q106" s="1573"/>
      <c r="R106" s="1573"/>
      <c r="S106" s="1573"/>
      <c r="T106" s="1573"/>
      <c r="U106" s="1573"/>
      <c r="V106" s="1573"/>
      <c r="W106" s="1573"/>
      <c r="X106" s="1573"/>
      <c r="Y106" s="1573"/>
      <c r="Z106" s="1573"/>
      <c r="AA106" s="1573"/>
      <c r="AB106" s="1573"/>
      <c r="AC106" s="1573"/>
      <c r="AD106" s="1573"/>
      <c r="AE106" s="1573"/>
      <c r="AF106" s="1573"/>
      <c r="AG106" s="1573"/>
      <c r="AH106" s="1573"/>
      <c r="AI106" s="1573"/>
      <c r="AJ106" s="1573"/>
      <c r="AK106" s="1573"/>
      <c r="AL106" s="1573"/>
      <c r="AM106" s="1573"/>
      <c r="AN106" s="1573"/>
      <c r="AO106" s="1573"/>
      <c r="AP106" s="1573"/>
      <c r="AQ106" s="1573"/>
      <c r="AR106" s="1573"/>
      <c r="AS106" s="1573"/>
      <c r="AT106" s="157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65"/>
      <c r="H113" s="1565"/>
      <c r="I113" s="3" t="s">
        <v>182</v>
      </c>
      <c r="L113" s="1565"/>
      <c r="M113" s="1565"/>
      <c r="N113" s="1565"/>
      <c r="O113" s="1565"/>
      <c r="P113" s="1580" t="s">
        <v>2240</v>
      </c>
      <c r="Q113" s="1580"/>
      <c r="R113" s="1580"/>
      <c r="S113" s="158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66"/>
      <c r="D115" s="1566"/>
      <c r="E115" s="1566"/>
      <c r="F115" s="1566"/>
      <c r="G115" s="1566"/>
      <c r="H115" s="1566"/>
      <c r="I115" s="1566"/>
      <c r="J115" s="1566"/>
      <c r="K115" s="156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65"/>
      <c r="Z117" s="1565"/>
      <c r="AA117" s="1565"/>
      <c r="AB117" s="1565"/>
      <c r="AC117" s="1565"/>
      <c r="AD117" s="1565"/>
      <c r="AE117" s="1565"/>
      <c r="AF117" s="1565"/>
      <c r="AG117" s="1565"/>
      <c r="AH117" s="1565"/>
      <c r="AI117" s="1565"/>
      <c r="AJ117" s="1565"/>
      <c r="AK117" s="156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65"/>
      <c r="Z120" s="1565"/>
      <c r="AA120" s="1565"/>
      <c r="AB120" s="1565"/>
      <c r="AC120" s="1565"/>
      <c r="AD120" s="1565"/>
      <c r="AE120" s="1565"/>
      <c r="AF120" s="1565"/>
      <c r="AG120" s="1565"/>
      <c r="AH120" s="1565"/>
      <c r="AI120" s="1565"/>
      <c r="AJ120" s="1565"/>
      <c r="AK120" s="156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7" t="s">
        <v>470</v>
      </c>
      <c r="CV122" s="1698"/>
      <c r="CW122" s="14"/>
      <c r="CX122" s="14" t="s">
        <v>635</v>
      </c>
      <c r="CY122" s="14"/>
      <c r="CZ122" s="14"/>
      <c r="DA122" s="14"/>
      <c r="DB122" s="14"/>
      <c r="DC122" s="14"/>
      <c r="DD122" s="14"/>
      <c r="DE122" s="14"/>
      <c r="DF122" s="14"/>
      <c r="DG122" s="1694" t="str">
        <f>T189</f>
        <v>Marin</v>
      </c>
      <c r="DH122" s="1695"/>
      <c r="DI122" s="1695"/>
      <c r="DJ122" s="1695"/>
      <c r="DK122" s="1695"/>
      <c r="DL122" s="1695"/>
      <c r="DM122" s="1696"/>
    </row>
    <row r="123" spans="1:117" ht="12.95" customHeight="1">
      <c r="A123" s="3"/>
      <c r="B123" s="3"/>
      <c r="T123" s="3"/>
      <c r="U123" s="3"/>
      <c r="V123" s="3"/>
      <c r="W123" s="3"/>
      <c r="X123" s="3"/>
      <c r="Y123" s="1565"/>
      <c r="Z123" s="1565"/>
      <c r="AA123" s="1565"/>
      <c r="AB123" s="1565"/>
      <c r="AC123" s="1565"/>
      <c r="AD123" s="1565"/>
      <c r="AE123" s="1565"/>
      <c r="AF123" s="1565"/>
      <c r="AG123" s="1565"/>
      <c r="AH123" s="1565"/>
      <c r="AI123" s="1565"/>
      <c r="AJ123" s="1565"/>
      <c r="AK123" s="156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14"/>
      <c r="G150" s="1414"/>
      <c r="H150" s="1414"/>
      <c r="I150" s="1414"/>
      <c r="J150" s="1414"/>
      <c r="K150" s="1414"/>
      <c r="L150" s="1414"/>
      <c r="M150" s="1414"/>
      <c r="N150" s="1414"/>
      <c r="O150" s="1414"/>
      <c r="P150" s="1414"/>
      <c r="Q150" s="1414"/>
      <c r="R150" s="1414"/>
      <c r="S150" s="1414"/>
      <c r="T150" s="141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339" t="s">
        <v>2615</v>
      </c>
      <c r="P153" s="1543"/>
      <c r="Q153" s="1543"/>
      <c r="R153" s="1543"/>
      <c r="S153" s="1543"/>
      <c r="T153" s="1543"/>
      <c r="U153" s="1543"/>
      <c r="V153" s="1543"/>
      <c r="W153" s="1543"/>
      <c r="X153" s="1543"/>
      <c r="Y153" s="1543"/>
      <c r="Z153" s="1543"/>
      <c r="AA153" s="1543"/>
      <c r="AB153" s="1543"/>
      <c r="AC153" s="1543"/>
      <c r="AD153" s="1543"/>
      <c r="AE153" s="1543"/>
      <c r="AF153" s="1543"/>
      <c r="AG153" s="1543"/>
      <c r="AH153" s="1543"/>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341" t="s">
        <v>2616</v>
      </c>
      <c r="P154" s="1429"/>
      <c r="Q154" s="1429"/>
      <c r="R154" s="1429"/>
      <c r="S154" s="1429"/>
      <c r="T154" s="1429"/>
      <c r="U154" s="1429"/>
      <c r="V154" s="1429"/>
      <c r="W154" s="1429"/>
      <c r="X154" s="1429"/>
      <c r="Y154" s="1429"/>
      <c r="Z154" s="1429"/>
      <c r="AA154" s="1429"/>
      <c r="AB154" s="1429"/>
      <c r="AC154" s="1429"/>
      <c r="AD154" s="1429"/>
      <c r="AE154" s="1429"/>
      <c r="AF154" s="1429"/>
      <c r="AG154" s="1429"/>
      <c r="AH154" s="1429"/>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50" t="s">
        <v>441</v>
      </c>
      <c r="P155" s="1551"/>
      <c r="Q155" s="1551"/>
      <c r="R155" s="1551"/>
      <c r="S155" s="1551"/>
      <c r="T155" s="1551"/>
      <c r="U155" s="1551"/>
      <c r="V155" s="1551"/>
      <c r="W155" s="1551"/>
      <c r="X155" s="1551"/>
      <c r="Y155" s="1551"/>
      <c r="Z155" s="1551"/>
      <c r="AA155" s="1551"/>
      <c r="AB155" s="1551"/>
      <c r="AC155" s="1551"/>
      <c r="AD155" s="1551"/>
      <c r="AE155" s="1551"/>
      <c r="AF155" s="1551"/>
      <c r="AG155" s="1551"/>
      <c r="AH155" s="155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552" t="s">
        <v>2617</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39" t="s">
        <v>2618</v>
      </c>
      <c r="P157" s="1543"/>
      <c r="Q157" s="1543"/>
      <c r="R157" s="1543"/>
      <c r="S157" s="1543"/>
      <c r="T157" s="1543"/>
      <c r="U157" s="1543"/>
      <c r="V157" s="1543"/>
      <c r="W157" s="1543"/>
      <c r="X157" s="1543"/>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76">
        <v>94903</v>
      </c>
      <c r="P158" s="1576"/>
      <c r="Q158" s="1576"/>
      <c r="R158" s="157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71" t="s">
        <v>2619</v>
      </c>
      <c r="P159" s="1571"/>
      <c r="Q159" s="1571"/>
      <c r="R159" s="1571"/>
      <c r="S159" s="1571"/>
      <c r="T159" s="1571"/>
      <c r="V159" s="97" t="s">
        <v>271</v>
      </c>
      <c r="W159" s="1577"/>
      <c r="X159" s="157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71" t="s">
        <v>2620</v>
      </c>
      <c r="P160" s="1571"/>
      <c r="Q160" s="1571"/>
      <c r="R160" s="1571"/>
      <c r="S160" s="1571"/>
      <c r="T160" s="157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59" t="s">
        <v>2621</v>
      </c>
      <c r="P161" s="1559"/>
      <c r="Q161" s="1559"/>
      <c r="R161" s="1559"/>
      <c r="S161" s="1559"/>
      <c r="T161" s="1559"/>
      <c r="U161" s="1559"/>
      <c r="V161" s="1559"/>
      <c r="W161" s="1559"/>
      <c r="X161" s="1559"/>
      <c r="Y161" s="1559"/>
      <c r="Z161" s="1559"/>
      <c r="AA161" s="1559"/>
      <c r="AB161" s="1559"/>
      <c r="AC161" s="1559"/>
      <c r="AD161" s="1559"/>
      <c r="AE161" s="1559"/>
      <c r="AF161" s="1559"/>
      <c r="AG161" s="1559"/>
      <c r="AH161" s="155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67" t="s">
        <v>2217</v>
      </c>
      <c r="E164" s="1567"/>
      <c r="F164" s="1567"/>
      <c r="G164" s="1567"/>
      <c r="H164" s="1567"/>
      <c r="I164" s="1567"/>
      <c r="J164" s="1567"/>
      <c r="K164" s="1567"/>
      <c r="L164" s="1567"/>
      <c r="M164" s="1567"/>
      <c r="N164" s="1567"/>
      <c r="O164" s="1567"/>
      <c r="P164" s="1567"/>
      <c r="Q164" s="1567"/>
      <c r="R164" s="1567"/>
      <c r="S164" s="1567"/>
      <c r="T164" s="1567"/>
      <c r="U164" s="1567"/>
      <c r="V164" s="1567"/>
      <c r="W164" s="1567"/>
      <c r="X164" s="1567"/>
      <c r="Y164" s="1567"/>
      <c r="Z164" s="1567"/>
      <c r="AA164" s="1567"/>
      <c r="AB164" s="1567"/>
      <c r="AC164" s="1567"/>
      <c r="AD164" s="1567"/>
      <c r="AE164" s="1567"/>
      <c r="AF164" s="1567"/>
      <c r="AG164" s="1567"/>
      <c r="AH164" s="156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54" t="s">
        <v>540</v>
      </c>
      <c r="B169" s="1554"/>
      <c r="C169" s="1554"/>
      <c r="D169" s="1554"/>
      <c r="E169" s="1554"/>
      <c r="F169" s="1554"/>
      <c r="G169" s="1554"/>
      <c r="H169" s="1554"/>
      <c r="I169" s="1554"/>
      <c r="J169" s="1554"/>
      <c r="K169" s="1554"/>
      <c r="L169" s="1554"/>
      <c r="M169" s="1554"/>
      <c r="N169" s="1554"/>
      <c r="O169" s="1554"/>
      <c r="P169" s="1554"/>
      <c r="Q169" s="1554"/>
      <c r="R169" s="1554"/>
      <c r="S169" s="1554"/>
      <c r="T169" s="1554"/>
      <c r="U169" s="1554"/>
      <c r="V169" s="1554"/>
      <c r="W169" s="1554"/>
      <c r="X169" s="1554"/>
      <c r="Y169" s="1554"/>
      <c r="Z169" s="1554"/>
      <c r="AA169" s="1554"/>
      <c r="AB169" s="1554"/>
      <c r="AC169" s="1554"/>
      <c r="AD169" s="1554"/>
      <c r="AE169" s="1554"/>
      <c r="AF169" s="1554"/>
      <c r="AG169" s="1554"/>
      <c r="AH169" s="1554"/>
      <c r="AI169" s="1554"/>
      <c r="AJ169" s="1554"/>
      <c r="AK169" s="1554"/>
      <c r="AL169" s="1554"/>
      <c r="AM169" s="1554"/>
      <c r="AN169" s="1554"/>
      <c r="AO169" s="1554"/>
      <c r="AP169" s="1554"/>
      <c r="AQ169" s="1554"/>
      <c r="AR169" s="1554"/>
      <c r="AS169" s="1554"/>
      <c r="AT169" s="155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54"/>
      <c r="B170" s="1554"/>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49" t="s">
        <v>371</v>
      </c>
      <c r="K173" s="1549"/>
      <c r="L173" s="1549"/>
      <c r="M173" s="1549"/>
      <c r="N173" s="1549"/>
      <c r="O173" s="1549"/>
      <c r="P173" s="1549"/>
      <c r="Q173" s="1549"/>
      <c r="R173" s="1549"/>
      <c r="S173" s="154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40" t="s">
        <v>2102</v>
      </c>
      <c r="K174" s="1340"/>
      <c r="L174" s="1340"/>
      <c r="M174" s="1340"/>
      <c r="N174" s="1340"/>
      <c r="O174" s="1340"/>
      <c r="P174" s="1340"/>
      <c r="Q174" s="1340"/>
      <c r="R174" s="1340"/>
      <c r="S174" s="1340"/>
      <c r="T174" s="1340"/>
      <c r="U174" s="1340"/>
      <c r="V174" s="1340"/>
      <c r="W174" s="1340"/>
      <c r="X174" s="1340"/>
      <c r="Y174" s="1340"/>
      <c r="Z174" s="1340"/>
      <c r="AA174" s="1340"/>
      <c r="AB174" s="1340"/>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20" t="s">
        <v>670</v>
      </c>
      <c r="V175" s="1420"/>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83"/>
      <c r="V176" s="1483"/>
      <c r="W176" s="1" t="s">
        <v>306</v>
      </c>
      <c r="X176" s="1584"/>
      <c r="Y176" s="158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20" t="s">
        <v>670</v>
      </c>
      <c r="S177" s="1420"/>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83"/>
      <c r="AG178" s="1583"/>
      <c r="AH178" s="1" t="s">
        <v>306</v>
      </c>
      <c r="AI178" s="1525"/>
      <c r="AJ178" s="1525"/>
      <c r="AK178" s="1525"/>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20" t="s">
        <v>670</v>
      </c>
      <c r="Y180" s="1420"/>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91" t="str">
        <f>H18</f>
        <v>Oak Hill Eden</v>
      </c>
      <c r="J184" s="1491"/>
      <c r="K184" s="1491"/>
      <c r="L184" s="1491"/>
      <c r="M184" s="1491"/>
      <c r="N184" s="1491"/>
      <c r="O184" s="1491"/>
      <c r="P184" s="1491"/>
      <c r="Q184" s="1491"/>
      <c r="R184" s="1491"/>
      <c r="S184" s="1491"/>
      <c r="T184" s="1491"/>
      <c r="U184" s="1491"/>
      <c r="V184" s="1491"/>
      <c r="W184" s="1491"/>
      <c r="X184" s="1491"/>
      <c r="Y184" s="1491"/>
      <c r="Z184" s="1491"/>
      <c r="AA184" s="1491"/>
      <c r="AB184" s="1491"/>
      <c r="AC184" s="1491"/>
      <c r="AD184" s="1491"/>
      <c r="AE184" s="149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2" t="s">
        <v>2622</v>
      </c>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46" t="s">
        <v>2623</v>
      </c>
      <c r="F187" s="1546"/>
      <c r="G187" s="1546"/>
      <c r="H187" s="1546"/>
      <c r="I187" s="1546"/>
      <c r="J187" s="1546"/>
      <c r="K187" s="1546"/>
      <c r="L187" s="1546"/>
      <c r="M187" s="1546"/>
      <c r="N187" s="1546"/>
      <c r="O187" s="1546"/>
      <c r="P187" s="1546"/>
      <c r="Q187" s="1546"/>
      <c r="R187" s="1546"/>
      <c r="S187" s="1546"/>
      <c r="T187" s="1546"/>
      <c r="U187" s="1546"/>
      <c r="V187" s="1546"/>
      <c r="W187" s="1546"/>
      <c r="X187" s="1546"/>
      <c r="Y187" s="1546"/>
      <c r="Z187" s="1546"/>
      <c r="AA187" s="1546"/>
      <c r="AB187" s="1546"/>
      <c r="AC187" s="1546"/>
      <c r="AD187" s="1546"/>
      <c r="AE187" s="154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47"/>
      <c r="F188" s="1547"/>
      <c r="G188" s="1547"/>
      <c r="H188" s="1547"/>
      <c r="I188" s="1547"/>
      <c r="J188" s="1547"/>
      <c r="K188" s="1547"/>
      <c r="L188" s="1547"/>
      <c r="M188" s="1547"/>
      <c r="N188" s="1547"/>
      <c r="O188" s="1547"/>
      <c r="P188" s="1547"/>
      <c r="Q188" s="1547"/>
      <c r="R188" s="1547"/>
      <c r="S188" s="1547"/>
      <c r="T188" s="1547"/>
      <c r="U188" s="1547"/>
      <c r="V188" s="1547"/>
      <c r="W188" s="1547"/>
      <c r="X188" s="1547"/>
      <c r="Y188" s="1547"/>
      <c r="Z188" s="1547"/>
      <c r="AA188" s="1547"/>
      <c r="AB188" s="1547"/>
      <c r="AC188" s="1547"/>
      <c r="AD188" s="1547"/>
      <c r="AE188" s="154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39" t="s">
        <v>592</v>
      </c>
      <c r="J189" s="1340"/>
      <c r="K189" s="1340"/>
      <c r="L189" s="1340"/>
      <c r="M189" s="1340"/>
      <c r="N189" s="1340"/>
      <c r="O189" s="1340"/>
      <c r="P189" s="1340"/>
      <c r="Q189" t="s">
        <v>583</v>
      </c>
      <c r="T189" s="1340" t="s">
        <v>497</v>
      </c>
      <c r="U189" s="1340"/>
      <c r="V189" s="1340"/>
      <c r="W189" s="1340"/>
      <c r="X189" s="1340"/>
      <c r="Y189" s="1340"/>
      <c r="Z189" s="1340"/>
      <c r="AA189" s="1340"/>
      <c r="AB189" s="1340"/>
      <c r="AC189" s="1340"/>
      <c r="AD189" s="1340"/>
      <c r="AE189" s="1340"/>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2">
        <v>94964</v>
      </c>
      <c r="J190" s="1342"/>
      <c r="K190" s="1342"/>
      <c r="L190" s="1342"/>
      <c r="M190" s="1342"/>
      <c r="N190" s="1342"/>
      <c r="O190" t="s">
        <v>586</v>
      </c>
      <c r="T190" s="1574">
        <v>1212</v>
      </c>
      <c r="U190" s="1574"/>
      <c r="V190" s="1574"/>
      <c r="W190" s="1574"/>
      <c r="X190" s="1574"/>
      <c r="Y190" s="1574"/>
      <c r="Z190" s="1574"/>
      <c r="AA190" s="1574"/>
      <c r="AB190" s="1574"/>
      <c r="AC190" s="1574"/>
      <c r="AD190" s="1574"/>
      <c r="AE190" s="1574"/>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46" t="s">
        <v>2624</v>
      </c>
      <c r="O191" s="1546"/>
      <c r="P191" s="1546"/>
      <c r="Q191" s="1546"/>
      <c r="R191" s="1546"/>
      <c r="S191" s="1546"/>
      <c r="T191" s="1546"/>
      <c r="U191" s="1546"/>
      <c r="V191" s="1546"/>
      <c r="W191" s="1546"/>
      <c r="X191" s="1546"/>
      <c r="Y191" s="1546"/>
      <c r="Z191" s="1546"/>
      <c r="AA191" s="1546"/>
      <c r="AB191" s="1546"/>
      <c r="AC191" s="1546"/>
      <c r="AD191" s="1546"/>
      <c r="AE191" s="1546"/>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47"/>
      <c r="O192" s="1547"/>
      <c r="P192" s="1547"/>
      <c r="Q192" s="1547"/>
      <c r="R192" s="1547"/>
      <c r="S192" s="1547"/>
      <c r="T192" s="1547"/>
      <c r="U192" s="1547"/>
      <c r="V192" s="1547"/>
      <c r="W192" s="1547"/>
      <c r="X192" s="1547"/>
      <c r="Y192" s="1547"/>
      <c r="Z192" s="1547"/>
      <c r="AA192" s="1547"/>
      <c r="AB192" s="1547"/>
      <c r="AC192" s="1547"/>
      <c r="AD192" s="1547"/>
      <c r="AE192" s="1547"/>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78" t="s">
        <v>1970</v>
      </c>
      <c r="U193" s="1578"/>
      <c r="V193" s="1578"/>
      <c r="W193" s="1578"/>
      <c r="X193" s="1578"/>
      <c r="Y193" s="1578"/>
      <c r="Z193" s="1578"/>
      <c r="AA193" s="1578"/>
      <c r="AB193" s="1578"/>
      <c r="AC193" s="1578"/>
      <c r="AD193" s="1578"/>
      <c r="AE193" s="1578"/>
      <c r="AF193" s="1578"/>
      <c r="AG193" s="1578"/>
      <c r="AH193" s="1578"/>
      <c r="AI193" s="157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20" t="s">
        <v>670</v>
      </c>
      <c r="AI194" s="1420"/>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20" t="s">
        <v>670</v>
      </c>
      <c r="U195" s="1420"/>
      <c r="W195" t="s">
        <v>685</v>
      </c>
      <c r="AH195" s="1420">
        <v>2</v>
      </c>
      <c r="AI195" s="1420"/>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37" t="s">
        <v>670</v>
      </c>
      <c r="U196" s="1437"/>
      <c r="W196" t="s">
        <v>686</v>
      </c>
      <c r="AH196" s="1420">
        <v>12</v>
      </c>
      <c r="AI196" s="1420"/>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37" t="s">
        <v>670</v>
      </c>
      <c r="U197" s="1437"/>
      <c r="W197" t="s">
        <v>687</v>
      </c>
      <c r="AH197" s="1420">
        <v>2</v>
      </c>
      <c r="AI197" s="1420"/>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37"/>
      <c r="U198" s="1437"/>
      <c r="V198"/>
      <c r="X198" s="1555" t="s">
        <v>2514</v>
      </c>
      <c r="Y198" s="1555"/>
      <c r="Z198" s="1555"/>
      <c r="AA198" s="1555"/>
      <c r="AB198" s="1555"/>
      <c r="AC198" s="1555"/>
      <c r="AD198" s="1555"/>
      <c r="AE198" s="1555"/>
      <c r="AF198" s="1555"/>
      <c r="AG198" s="1555"/>
      <c r="AH198" s="1555"/>
      <c r="AI198" s="1555"/>
      <c r="AJ198" s="1555"/>
      <c r="AK198" s="1555"/>
      <c r="AL198" s="1555"/>
      <c r="AM198" s="1555"/>
      <c r="AN198" s="1555"/>
      <c r="AO198" s="1555"/>
      <c r="AP198" s="1555"/>
      <c r="AQ198" s="1555"/>
      <c r="AR198" s="1555"/>
      <c r="AS198" s="1555"/>
      <c r="AT198" s="155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20" t="s">
        <v>670</v>
      </c>
      <c r="U199" s="1420"/>
      <c r="V199"/>
      <c r="W199"/>
      <c r="X199" s="1555"/>
      <c r="Y199" s="1555"/>
      <c r="Z199" s="1555"/>
      <c r="AA199" s="1555"/>
      <c r="AB199" s="1555"/>
      <c r="AC199" s="1555"/>
      <c r="AD199" s="1555"/>
      <c r="AE199" s="1555"/>
      <c r="AF199" s="1555"/>
      <c r="AG199" s="1555"/>
      <c r="AH199" s="1555"/>
      <c r="AI199" s="1555"/>
      <c r="AJ199" s="1555"/>
      <c r="AK199" s="1555"/>
      <c r="AL199" s="1555"/>
      <c r="AM199" s="1555"/>
      <c r="AN199" s="1555"/>
      <c r="AO199" s="1555"/>
      <c r="AP199" s="1555"/>
      <c r="AQ199" s="1555"/>
      <c r="AR199" s="1555"/>
      <c r="AS199" s="1555"/>
      <c r="AT199" s="155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20" t="s">
        <v>670</v>
      </c>
      <c r="U200" s="1420"/>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91" t="s">
        <v>385</v>
      </c>
      <c r="E204" s="1491"/>
      <c r="F204" s="1491"/>
      <c r="G204" s="1491"/>
      <c r="H204" s="1491"/>
      <c r="I204" s="1491"/>
      <c r="J204" s="1491"/>
      <c r="K204" s="1491"/>
      <c r="L204" s="1491"/>
      <c r="M204" s="1491"/>
      <c r="P204" s="1568">
        <f>M26</f>
        <v>3967629</v>
      </c>
      <c r="Q204" s="1569"/>
      <c r="R204" s="1569"/>
      <c r="S204" s="1569"/>
      <c r="T204" s="1569"/>
      <c r="U204" s="156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57" t="s">
        <v>1248</v>
      </c>
      <c r="E205" s="1491"/>
      <c r="F205" s="1491"/>
      <c r="G205" s="1491"/>
      <c r="H205" s="1491"/>
      <c r="I205" s="1491"/>
      <c r="J205" s="1491"/>
      <c r="K205" s="1491"/>
      <c r="L205" s="1491"/>
      <c r="M205" s="1491"/>
      <c r="P205" s="1569">
        <f>M27</f>
        <v>8679816</v>
      </c>
      <c r="Q205" s="1569"/>
      <c r="R205" s="1569"/>
      <c r="S205" s="1569"/>
      <c r="T205" s="1569"/>
      <c r="U205" s="1569"/>
      <c r="V205" s="28"/>
      <c r="W205" s="3" t="s">
        <v>1721</v>
      </c>
      <c r="Z205" s="1553" t="s">
        <v>2220</v>
      </c>
      <c r="AA205" s="1553"/>
      <c r="AB205" s="1553"/>
      <c r="AC205" s="1553"/>
      <c r="AD205" s="1553"/>
      <c r="AE205" s="1553"/>
      <c r="AF205" s="1553"/>
      <c r="AG205" s="1553"/>
      <c r="AH205" s="1553"/>
      <c r="AI205" s="1553"/>
      <c r="AJ205" s="1553"/>
      <c r="AK205" s="1553"/>
      <c r="AL205" s="1553"/>
      <c r="AM205" s="1553"/>
      <c r="AN205" s="1553"/>
      <c r="AP205" s="1414"/>
      <c r="AQ205" s="1414"/>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43" t="s">
        <v>2625</v>
      </c>
      <c r="E208" s="1543"/>
      <c r="F208" s="1543"/>
      <c r="G208" s="1543"/>
      <c r="H208" s="1543"/>
      <c r="I208" s="1543"/>
      <c r="J208" s="1543"/>
      <c r="K208" s="1543"/>
      <c r="L208" s="1543"/>
      <c r="M208" s="1543"/>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43" t="s">
        <v>1042</v>
      </c>
      <c r="E211" s="1543"/>
      <c r="F211" s="1543"/>
      <c r="G211" s="1543"/>
      <c r="H211" s="1543"/>
      <c r="I211" s="1543"/>
      <c r="J211" s="1543"/>
      <c r="K211" s="1543"/>
      <c r="L211" s="1543"/>
      <c r="M211" s="1543"/>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20">
        <v>29</v>
      </c>
      <c r="R212" s="1420"/>
      <c r="T212" s="1581">
        <f>IFERROR(Q212/AG440,0)</f>
        <v>0.25663716814159293</v>
      </c>
      <c r="U212" s="158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64" t="s">
        <v>592</v>
      </c>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38"/>
      <c r="AC215" s="1538"/>
      <c r="AD215" s="1538"/>
      <c r="AE215" s="1538"/>
      <c r="AF215" s="1538"/>
      <c r="AG215" s="1538"/>
      <c r="AH215" s="1538"/>
      <c r="AI215" s="1538"/>
      <c r="AJ215" s="1538"/>
      <c r="AK215" s="1538"/>
      <c r="AL215" s="153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38"/>
      <c r="AC216" s="1538"/>
      <c r="AD216" s="1538"/>
      <c r="AE216" s="1538"/>
      <c r="AF216" s="1538"/>
      <c r="AG216" s="1538"/>
      <c r="AH216" s="1538"/>
      <c r="AI216" s="1538"/>
      <c r="AJ216" s="1538"/>
      <c r="AK216" s="1538"/>
      <c r="AL216" s="153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43" t="s">
        <v>1066</v>
      </c>
      <c r="E220" s="1543"/>
      <c r="F220" s="1543"/>
      <c r="G220" s="1543"/>
      <c r="H220" s="1543"/>
      <c r="I220" s="1543"/>
      <c r="J220" s="1543"/>
      <c r="K220" s="1543"/>
      <c r="L220" s="1543"/>
      <c r="M220" s="1543"/>
      <c r="N220" s="1543"/>
      <c r="O220" s="1543"/>
      <c r="P220" s="1543"/>
      <c r="Q220" s="1543"/>
      <c r="R220" s="1543"/>
      <c r="S220" s="1543"/>
      <c r="T220" s="1543"/>
      <c r="U220" s="1543"/>
      <c r="V220" s="1543"/>
      <c r="W220" s="1543"/>
      <c r="X220" s="1543"/>
      <c r="Y220" s="1543"/>
      <c r="Z220" s="1543"/>
      <c r="AC220" s="1556" t="s">
        <v>2466</v>
      </c>
      <c r="AD220" s="1556"/>
      <c r="AE220" s="1556"/>
      <c r="AF220" s="1556"/>
      <c r="AG220" s="1556"/>
      <c r="AH220" s="1556"/>
      <c r="AI220" s="1556"/>
      <c r="AJ220" s="1556"/>
      <c r="AK220" s="1556"/>
      <c r="AL220" s="1556"/>
      <c r="AM220" s="1556"/>
      <c r="AN220" s="1556"/>
      <c r="AO220" s="1556"/>
      <c r="AP220" s="1556"/>
      <c r="AQ220" s="1556"/>
      <c r="BA220" s="3"/>
      <c r="BC220" t="s">
        <v>300</v>
      </c>
    </row>
    <row r="221" spans="1:108" ht="12.95" customHeight="1">
      <c r="A221" s="2"/>
      <c r="B221" s="14"/>
      <c r="C221" s="2"/>
      <c r="BA221" s="3"/>
    </row>
    <row r="222" spans="1:108" ht="12.95" customHeight="1">
      <c r="A222" s="1554" t="s">
        <v>541</v>
      </c>
      <c r="B222" s="1554"/>
      <c r="C222" s="1554"/>
      <c r="D222" s="1554"/>
      <c r="E222" s="1554"/>
      <c r="F222" s="1554"/>
      <c r="G222" s="1554"/>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95"/>
      <c r="AV222" s="95"/>
      <c r="AW222" s="95"/>
      <c r="AX222" s="95"/>
      <c r="AY222" s="95"/>
      <c r="AZ222" s="3"/>
      <c r="BA222" s="3"/>
      <c r="BP222" s="34"/>
    </row>
    <row r="223" spans="1:108" ht="12.95" customHeight="1">
      <c r="A223" s="1554"/>
      <c r="B223" s="1554"/>
      <c r="C223" s="1554"/>
      <c r="D223" s="1554"/>
      <c r="E223" s="1554"/>
      <c r="F223" s="1554"/>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592</v>
      </c>
      <c r="AJ226" s="1420"/>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592</v>
      </c>
      <c r="AJ227" s="1420"/>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592</v>
      </c>
      <c r="AJ228" s="1420"/>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546</v>
      </c>
      <c r="AJ229" s="1420"/>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75" t="str">
        <f>H16</f>
        <v>Eden Housing, Inc.</v>
      </c>
      <c r="N232" s="1575"/>
      <c r="O232" s="1575"/>
      <c r="P232" s="1575"/>
      <c r="Q232" s="1575"/>
      <c r="R232" s="1575"/>
      <c r="S232" s="1575"/>
      <c r="T232" s="1575"/>
      <c r="U232" s="1575"/>
      <c r="V232" s="1575"/>
      <c r="W232" s="1575"/>
      <c r="X232" s="1575"/>
      <c r="Y232" s="1575"/>
      <c r="Z232" s="1575"/>
      <c r="AA232" s="1575"/>
      <c r="AB232" s="1575"/>
      <c r="AC232" s="1575"/>
      <c r="AD232" s="1575"/>
      <c r="AE232" s="1575"/>
      <c r="AF232" s="1575"/>
      <c r="AG232" s="1575"/>
      <c r="AH232" s="1575"/>
      <c r="AI232" s="1575"/>
      <c r="AJ232" s="1575"/>
      <c r="AK232" s="1575"/>
      <c r="AZ232" s="4"/>
      <c r="BA232" s="3"/>
      <c r="BB232" s="205" t="s">
        <v>539</v>
      </c>
      <c r="BG232" s="241">
        <f>IF(AND(AND($M$249="nonprofit",$M$257="nonprofit",$M$265="for profit")),2,0)</f>
        <v>0</v>
      </c>
    </row>
    <row r="233" spans="1:59" ht="12.95" customHeight="1">
      <c r="D233" s="4" t="s">
        <v>85</v>
      </c>
      <c r="E233" s="4"/>
      <c r="F233" s="4"/>
      <c r="G233" s="4"/>
      <c r="H233" s="4"/>
      <c r="I233" s="4"/>
      <c r="J233" s="4"/>
      <c r="K233" s="4"/>
      <c r="M233" s="1339" t="s">
        <v>2626</v>
      </c>
      <c r="N233" s="1543"/>
      <c r="O233" s="1543"/>
      <c r="P233" s="1543"/>
      <c r="Q233" s="1543"/>
      <c r="R233" s="1543"/>
      <c r="S233" s="1543"/>
      <c r="T233" s="1543"/>
      <c r="U233" s="1543"/>
      <c r="V233" s="1543"/>
      <c r="W233" s="1543"/>
      <c r="X233" s="1543"/>
      <c r="Y233" s="1543"/>
      <c r="Z233" s="1543"/>
      <c r="AA233" s="1543"/>
      <c r="AB233" s="1543"/>
      <c r="AC233" s="1543"/>
      <c r="AD233" s="1543"/>
      <c r="AE233" s="1543"/>
      <c r="BB233" s="205" t="s">
        <v>539</v>
      </c>
      <c r="BG233" s="241">
        <f>IF(AND(AND($M$249="nonprofit",$M$257="for profit",$M$265="nonprofit")),2,0)</f>
        <v>0</v>
      </c>
    </row>
    <row r="234" spans="1:59" ht="12.95" customHeight="1">
      <c r="D234" s="4" t="s">
        <v>581</v>
      </c>
      <c r="E234" s="4"/>
      <c r="M234" s="1339" t="s">
        <v>2627</v>
      </c>
      <c r="N234" s="1543"/>
      <c r="O234" s="1543"/>
      <c r="P234" s="1543"/>
      <c r="Q234" s="1543"/>
      <c r="R234" s="1543"/>
      <c r="S234" s="1543"/>
      <c r="T234" s="1543"/>
      <c r="V234" s="33" t="s">
        <v>86</v>
      </c>
      <c r="W234" s="1341" t="s">
        <v>2628</v>
      </c>
      <c r="X234" s="1429"/>
      <c r="Y234" s="4" t="s">
        <v>584</v>
      </c>
      <c r="AC234" s="1543">
        <v>94541</v>
      </c>
      <c r="AD234" s="1543"/>
      <c r="AE234" s="1543"/>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43"/>
      <c r="N235" s="1543"/>
      <c r="O235" s="1543"/>
      <c r="P235" s="1543"/>
      <c r="Q235" s="1543"/>
      <c r="R235" s="1543"/>
      <c r="S235" s="1543"/>
      <c r="T235" s="1543"/>
      <c r="U235" s="1543"/>
      <c r="V235" s="1543"/>
      <c r="W235" s="1543"/>
      <c r="X235" s="1543"/>
      <c r="Y235" s="1543"/>
      <c r="Z235" s="1543"/>
      <c r="AA235" s="1543"/>
      <c r="AB235" s="1543"/>
      <c r="AC235" s="1543"/>
      <c r="AD235" s="1543"/>
      <c r="AE235" s="1543"/>
      <c r="AI235" s="4"/>
      <c r="AJ235" s="4"/>
      <c r="AK235" s="4"/>
      <c r="AL235" s="4"/>
      <c r="AM235" s="4"/>
      <c r="AN235" s="4"/>
      <c r="AO235" s="4"/>
      <c r="AP235" s="4"/>
      <c r="AQ235" s="4"/>
      <c r="AR235" s="4"/>
      <c r="AS235" s="4"/>
      <c r="AT235" s="4"/>
      <c r="BB235" s="205"/>
      <c r="BG235" s="204"/>
    </row>
    <row r="236" spans="1:59" ht="12.95" customHeight="1">
      <c r="D236" s="4" t="s">
        <v>88</v>
      </c>
      <c r="E236" s="4"/>
      <c r="F236" s="4"/>
      <c r="M236" s="1495"/>
      <c r="N236" s="1495"/>
      <c r="O236" s="1495"/>
      <c r="P236" s="1495"/>
      <c r="Q236" s="1495"/>
      <c r="R236" s="1495"/>
      <c r="S236" s="4" t="s">
        <v>206</v>
      </c>
      <c r="T236" s="4"/>
      <c r="U236" s="1429"/>
      <c r="V236" s="1429"/>
      <c r="W236" s="1429"/>
      <c r="X236" s="4" t="s">
        <v>89</v>
      </c>
      <c r="Z236" s="1495"/>
      <c r="AA236" s="1495"/>
      <c r="AB236" s="1495"/>
      <c r="AC236" s="1495"/>
      <c r="AD236" s="1495"/>
      <c r="AE236" s="1495"/>
      <c r="AU236" s="4"/>
      <c r="AV236" s="4"/>
      <c r="AW236" s="4"/>
      <c r="AX236" s="4"/>
      <c r="AY236" s="4"/>
      <c r="AZ236" s="4"/>
      <c r="BB236" s="204" t="s">
        <v>538</v>
      </c>
      <c r="BG236" s="241">
        <f>IF(AND(AND($M$249="nonprofit",$M$257="nonprofit",$M$265="(select one)")),1,0)</f>
        <v>0</v>
      </c>
    </row>
    <row r="237" spans="1:59" ht="12.95" customHeight="1">
      <c r="D237" s="4" t="s">
        <v>90</v>
      </c>
      <c r="E237" s="4"/>
      <c r="F237" s="4"/>
      <c r="M237" s="1559"/>
      <c r="N237" s="1559"/>
      <c r="O237" s="1559"/>
      <c r="P237" s="1559"/>
      <c r="Q237" s="1559"/>
      <c r="R237" s="1559"/>
      <c r="S237" s="1559"/>
      <c r="T237" s="1559"/>
      <c r="U237" s="1559"/>
      <c r="V237" s="1559"/>
      <c r="W237" s="1559"/>
      <c r="X237" s="1559"/>
      <c r="Y237" s="1559"/>
      <c r="Z237" s="1559"/>
      <c r="AA237" s="1559"/>
      <c r="AB237" s="1559"/>
      <c r="AC237" s="1559"/>
      <c r="AD237" s="1559"/>
      <c r="AE237" s="155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2" t="s">
        <v>307</v>
      </c>
      <c r="N238" s="1342"/>
      <c r="O238" s="1342"/>
      <c r="P238" s="1342"/>
      <c r="Q238" s="1342"/>
      <c r="R238" s="1342"/>
      <c r="S238" s="1342"/>
      <c r="T238" s="1342"/>
      <c r="U238" s="204" t="s">
        <v>907</v>
      </c>
      <c r="V238" s="204"/>
      <c r="W238" s="204"/>
      <c r="X238" s="204"/>
      <c r="Y238" s="204"/>
      <c r="Z238" s="204"/>
      <c r="AA238" s="1579"/>
      <c r="AB238" s="1579"/>
      <c r="AC238" s="1579"/>
      <c r="AD238" s="1579"/>
      <c r="AE238" s="1579"/>
      <c r="AF238" s="1579"/>
      <c r="AG238" s="1579"/>
      <c r="AH238" s="1579"/>
      <c r="AI238" s="1579"/>
      <c r="AJ238" s="1579"/>
      <c r="AK238" s="1579"/>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85" t="s">
        <v>2635</v>
      </c>
      <c r="N243" s="1561"/>
      <c r="O243" s="1561"/>
      <c r="P243" s="1561"/>
      <c r="Q243" s="1561"/>
      <c r="R243" s="1561"/>
      <c r="S243" s="1561"/>
      <c r="T243" s="1561"/>
      <c r="U243" s="1561"/>
      <c r="V243" s="1561"/>
      <c r="W243" s="1561"/>
      <c r="X243" s="1561"/>
      <c r="Y243" s="1561"/>
      <c r="Z243" s="1561"/>
      <c r="AA243" s="1561"/>
      <c r="AB243" s="1561"/>
      <c r="AC243" s="1561"/>
      <c r="AD243" s="1561"/>
      <c r="AE243" s="1561"/>
      <c r="AF243" s="1561" t="s">
        <v>2636</v>
      </c>
      <c r="AG243" s="1561"/>
      <c r="AH243" s="1561"/>
      <c r="AI243" s="1561"/>
      <c r="AJ243" s="1561"/>
      <c r="AK243" s="156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43" t="s">
        <v>2626</v>
      </c>
      <c r="N244" s="1543"/>
      <c r="O244" s="1543"/>
      <c r="P244" s="1543"/>
      <c r="Q244" s="1543"/>
      <c r="R244" s="1543"/>
      <c r="S244" s="1543"/>
      <c r="T244" s="1543"/>
      <c r="U244" s="1543"/>
      <c r="V244" s="1543"/>
      <c r="W244" s="1543"/>
      <c r="X244" s="1543"/>
      <c r="Y244" s="1543"/>
      <c r="Z244" s="1543"/>
      <c r="AA244" s="1543"/>
      <c r="AB244" s="1543"/>
      <c r="AC244" s="1543"/>
      <c r="AD244" s="1543"/>
      <c r="AE244" s="1543"/>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339" t="s">
        <v>2627</v>
      </c>
      <c r="N245" s="1543"/>
      <c r="O245" s="1543"/>
      <c r="P245" s="1543"/>
      <c r="Q245" s="1543"/>
      <c r="R245" s="1543"/>
      <c r="S245" s="1543"/>
      <c r="T245" s="1543"/>
      <c r="V245" s="33" t="s">
        <v>86</v>
      </c>
      <c r="W245" s="1341" t="s">
        <v>2628</v>
      </c>
      <c r="X245" s="1429"/>
      <c r="Y245" s="4" t="s">
        <v>584</v>
      </c>
      <c r="AC245" s="1543">
        <v>94541</v>
      </c>
      <c r="AD245" s="1543"/>
      <c r="AE245" s="1543"/>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339" t="s">
        <v>2637</v>
      </c>
      <c r="N246" s="1543"/>
      <c r="O246" s="1543"/>
      <c r="P246" s="1543"/>
      <c r="Q246" s="1543"/>
      <c r="R246" s="1543"/>
      <c r="S246" s="1543"/>
      <c r="T246" s="1543"/>
      <c r="U246" s="1543"/>
      <c r="V246" s="1543"/>
      <c r="W246" s="1543"/>
      <c r="X246" s="1543"/>
      <c r="Y246" s="1543"/>
      <c r="Z246" s="1543"/>
      <c r="AA246" s="1543"/>
      <c r="AB246" s="1543"/>
      <c r="AC246" s="1543"/>
      <c r="AD246" s="1543"/>
      <c r="AE246" s="1543"/>
      <c r="AH246" s="1570">
        <v>0.01</v>
      </c>
      <c r="AI246" s="1570"/>
      <c r="AJ246" s="1570"/>
      <c r="AK246" s="157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5">
        <v>5105821460</v>
      </c>
      <c r="N247" s="1495"/>
      <c r="O247" s="1495"/>
      <c r="P247" s="1495"/>
      <c r="Q247" s="1495"/>
      <c r="R247" s="1495"/>
      <c r="S247" s="4" t="s">
        <v>206</v>
      </c>
      <c r="T247" s="4"/>
      <c r="U247" s="1429"/>
      <c r="V247" s="1429"/>
      <c r="W247" s="1429"/>
      <c r="X247" s="4" t="s">
        <v>89</v>
      </c>
      <c r="Z247" s="1495"/>
      <c r="AA247" s="1495"/>
      <c r="AB247" s="1495"/>
      <c r="AC247" s="1495"/>
      <c r="AD247" s="1495"/>
      <c r="AE247" s="1495"/>
      <c r="AU247" s="4"/>
      <c r="AV247" s="4"/>
      <c r="AW247" s="4"/>
      <c r="AX247" s="4"/>
      <c r="AY247" s="4"/>
      <c r="BG247">
        <v>0</v>
      </c>
      <c r="BH247" s="3" t="str">
        <f>""</f>
        <v/>
      </c>
      <c r="BN247" s="34"/>
    </row>
    <row r="248" spans="1:67" ht="12.95" customHeight="1">
      <c r="A248" s="19"/>
      <c r="B248" s="4"/>
      <c r="C248" s="4"/>
      <c r="D248" s="4" t="s">
        <v>90</v>
      </c>
      <c r="E248" s="4"/>
      <c r="F248" s="4"/>
      <c r="M248" s="1559" t="s">
        <v>2638</v>
      </c>
      <c r="N248" s="1559"/>
      <c r="O248" s="1559"/>
      <c r="P248" s="1559"/>
      <c r="Q248" s="1559"/>
      <c r="R248" s="1559"/>
      <c r="S248" s="1559"/>
      <c r="T248" s="1559"/>
      <c r="U248" s="1559"/>
      <c r="V248" s="1559"/>
      <c r="W248" s="1559"/>
      <c r="X248" s="1559"/>
      <c r="Y248" s="1559"/>
      <c r="Z248" s="1559"/>
      <c r="AA248" s="1559"/>
      <c r="AB248" s="1559"/>
      <c r="AC248" s="1559"/>
      <c r="AD248" s="1559"/>
      <c r="AE248" s="155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2" t="s">
        <v>535</v>
      </c>
      <c r="N249" s="1342"/>
      <c r="O249" s="1342"/>
      <c r="P249" s="1342"/>
      <c r="Q249" s="1342"/>
      <c r="R249" s="1342"/>
      <c r="S249" s="1342"/>
      <c r="T249" s="1342"/>
      <c r="U249" s="204" t="s">
        <v>907</v>
      </c>
      <c r="V249" s="204"/>
      <c r="W249" s="204"/>
      <c r="X249" s="204"/>
      <c r="Y249" s="204"/>
      <c r="Z249" s="204"/>
      <c r="AA249" s="1579"/>
      <c r="AB249" s="1579"/>
      <c r="AC249" s="1579"/>
      <c r="AD249" s="1579"/>
      <c r="AE249" s="1579"/>
      <c r="AF249" s="1579"/>
      <c r="AG249" s="1579"/>
      <c r="AH249" s="1579"/>
      <c r="AI249" s="1579"/>
      <c r="AJ249" s="1579"/>
      <c r="AK249" s="15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1"/>
      <c r="N251" s="1561"/>
      <c r="O251" s="1561"/>
      <c r="P251" s="1561"/>
      <c r="Q251" s="1561"/>
      <c r="R251" s="1561"/>
      <c r="S251" s="1561"/>
      <c r="T251" s="1561"/>
      <c r="U251" s="1561"/>
      <c r="V251" s="1561"/>
      <c r="W251" s="1561"/>
      <c r="X251" s="1561"/>
      <c r="Y251" s="1561"/>
      <c r="Z251" s="1561"/>
      <c r="AA251" s="1561"/>
      <c r="AB251" s="1561"/>
      <c r="AC251" s="1561"/>
      <c r="AD251" s="1561"/>
      <c r="AE251" s="1561"/>
      <c r="AF251" s="1561" t="s">
        <v>307</v>
      </c>
      <c r="AG251" s="1561"/>
      <c r="AH251" s="1561"/>
      <c r="AI251" s="1561"/>
      <c r="AJ251" s="1561"/>
      <c r="AK251" s="1561"/>
      <c r="AU251" s="4"/>
      <c r="AV251" s="4"/>
      <c r="AW251" s="4"/>
      <c r="AX251" s="4"/>
      <c r="AY251" s="4"/>
      <c r="BN251" s="34"/>
    </row>
    <row r="252" spans="1:67" ht="12.95" customHeight="1">
      <c r="A252" s="19"/>
      <c r="B252" s="4"/>
      <c r="C252" s="4"/>
      <c r="D252" s="4" t="s">
        <v>85</v>
      </c>
      <c r="E252" s="4"/>
      <c r="F252" s="4"/>
      <c r="G252" s="4"/>
      <c r="H252" s="4"/>
      <c r="I252" s="4"/>
      <c r="J252" s="4"/>
      <c r="K252" s="4"/>
      <c r="L252" s="4"/>
      <c r="M252" s="1543"/>
      <c r="N252" s="1543"/>
      <c r="O252" s="1543"/>
      <c r="P252" s="1543"/>
      <c r="Q252" s="1543"/>
      <c r="R252" s="1543"/>
      <c r="S252" s="1543"/>
      <c r="T252" s="1543"/>
      <c r="U252" s="1543"/>
      <c r="V252" s="1543"/>
      <c r="W252" s="1543"/>
      <c r="X252" s="1543"/>
      <c r="Y252" s="1543"/>
      <c r="Z252" s="1543"/>
      <c r="AA252" s="1543"/>
      <c r="AB252" s="1543"/>
      <c r="AC252" s="1543"/>
      <c r="AD252" s="1543"/>
      <c r="AE252" s="1543"/>
      <c r="AF252" s="3" t="s">
        <v>1180</v>
      </c>
      <c r="AL252" s="4"/>
      <c r="AM252" s="4"/>
      <c r="AN252" s="4"/>
      <c r="AO252" s="4"/>
      <c r="AP252" s="4"/>
      <c r="AQ252" s="4"/>
      <c r="AR252" s="4"/>
      <c r="AS252" s="4"/>
      <c r="AT252" s="4"/>
      <c r="BN252" s="34"/>
    </row>
    <row r="253" spans="1:67" ht="12.95" customHeight="1">
      <c r="A253" s="19"/>
      <c r="B253" s="4"/>
      <c r="C253" s="4"/>
      <c r="D253" s="4" t="s">
        <v>581</v>
      </c>
      <c r="E253" s="4"/>
      <c r="M253" s="1543"/>
      <c r="N253" s="1543"/>
      <c r="O253" s="1543"/>
      <c r="P253" s="1543"/>
      <c r="Q253" s="1543"/>
      <c r="R253" s="1543"/>
      <c r="S253" s="1543"/>
      <c r="T253" s="1543"/>
      <c r="V253" s="33" t="s">
        <v>86</v>
      </c>
      <c r="W253" s="1429"/>
      <c r="X253" s="1429"/>
      <c r="Y253" s="4" t="s">
        <v>584</v>
      </c>
      <c r="AC253" s="1543"/>
      <c r="AD253" s="1543"/>
      <c r="AE253" s="1543"/>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43"/>
      <c r="N254" s="1543"/>
      <c r="O254" s="1543"/>
      <c r="P254" s="1543"/>
      <c r="Q254" s="1543"/>
      <c r="R254" s="1543"/>
      <c r="S254" s="1543"/>
      <c r="T254" s="1543"/>
      <c r="U254" s="1543"/>
      <c r="V254" s="1543"/>
      <c r="W254" s="1543"/>
      <c r="X254" s="1543"/>
      <c r="Y254" s="1543"/>
      <c r="Z254" s="1543"/>
      <c r="AA254" s="1543"/>
      <c r="AB254" s="1543"/>
      <c r="AC254" s="1543"/>
      <c r="AD254" s="1543"/>
      <c r="AE254" s="1543"/>
      <c r="AH254" s="1570"/>
      <c r="AI254" s="1570"/>
      <c r="AJ254" s="1570"/>
      <c r="AK254" s="1570"/>
      <c r="AL254" s="4"/>
      <c r="AM254" s="4"/>
      <c r="AN254" s="4"/>
      <c r="AO254" s="4"/>
      <c r="AP254" s="4"/>
      <c r="AQ254" s="4"/>
      <c r="AR254" s="4"/>
      <c r="AS254" s="4"/>
      <c r="AT254" s="4"/>
    </row>
    <row r="255" spans="1:67" ht="12.95" customHeight="1">
      <c r="A255" s="19"/>
      <c r="B255" s="4"/>
      <c r="C255" s="4"/>
      <c r="D255" s="4" t="s">
        <v>88</v>
      </c>
      <c r="E255" s="4"/>
      <c r="F255" s="4"/>
      <c r="M255" s="1495"/>
      <c r="N255" s="1495"/>
      <c r="O255" s="1495"/>
      <c r="P255" s="1495"/>
      <c r="Q255" s="1495"/>
      <c r="R255" s="1495"/>
      <c r="S255" s="4" t="s">
        <v>206</v>
      </c>
      <c r="T255" s="4"/>
      <c r="U255" s="1429"/>
      <c r="V255" s="1429"/>
      <c r="W255" s="1429"/>
      <c r="X255" s="4" t="s">
        <v>89</v>
      </c>
      <c r="Z255" s="1495"/>
      <c r="AA255" s="1495"/>
      <c r="AB255" s="1495"/>
      <c r="AC255" s="1495"/>
      <c r="AD255" s="1495"/>
      <c r="AE255" s="1495"/>
      <c r="AU255" s="4"/>
      <c r="AV255" s="4"/>
      <c r="AW255" s="4"/>
      <c r="AX255" s="4"/>
      <c r="AY255" s="4"/>
      <c r="BN255" s="34"/>
    </row>
    <row r="256" spans="1:67" ht="12.95" customHeight="1">
      <c r="A256" s="19"/>
      <c r="B256" s="4"/>
      <c r="C256" s="4"/>
      <c r="D256" s="4" t="s">
        <v>90</v>
      </c>
      <c r="E256" s="4"/>
      <c r="F256" s="4"/>
      <c r="M256" s="1559"/>
      <c r="N256" s="1559"/>
      <c r="O256" s="1559"/>
      <c r="P256" s="1559"/>
      <c r="Q256" s="1559"/>
      <c r="R256" s="1559"/>
      <c r="S256" s="1559"/>
      <c r="T256" s="1559"/>
      <c r="U256" s="1559"/>
      <c r="V256" s="1559"/>
      <c r="W256" s="1559"/>
      <c r="X256" s="1559"/>
      <c r="Y256" s="1559"/>
      <c r="Z256" s="1559"/>
      <c r="AA256" s="1559"/>
      <c r="AB256" s="1559"/>
      <c r="AC256" s="1559"/>
      <c r="AD256" s="1559"/>
      <c r="AE256" s="155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2" t="s">
        <v>307</v>
      </c>
      <c r="N257" s="1342"/>
      <c r="O257" s="1342"/>
      <c r="P257" s="1342"/>
      <c r="Q257" s="1342"/>
      <c r="R257" s="1342"/>
      <c r="S257" s="1342"/>
      <c r="T257" s="1342"/>
      <c r="U257" s="204" t="s">
        <v>907</v>
      </c>
      <c r="V257" s="204"/>
      <c r="W257" s="204"/>
      <c r="X257" s="204"/>
      <c r="Y257" s="204"/>
      <c r="Z257" s="204"/>
      <c r="AA257" s="1579"/>
      <c r="AB257" s="1579"/>
      <c r="AC257" s="1579"/>
      <c r="AD257" s="1579"/>
      <c r="AE257" s="1579"/>
      <c r="AF257" s="1579"/>
      <c r="AG257" s="1579"/>
      <c r="AH257" s="1579"/>
      <c r="AI257" s="1579"/>
      <c r="AJ257" s="1579"/>
      <c r="AK257" s="15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61"/>
      <c r="N259" s="1561"/>
      <c r="O259" s="1561"/>
      <c r="P259" s="1561"/>
      <c r="Q259" s="1561"/>
      <c r="R259" s="1561"/>
      <c r="S259" s="1561"/>
      <c r="T259" s="1561"/>
      <c r="U259" s="1561"/>
      <c r="V259" s="1561"/>
      <c r="W259" s="1561"/>
      <c r="X259" s="1561"/>
      <c r="Y259" s="1561"/>
      <c r="Z259" s="1561"/>
      <c r="AA259" s="1561"/>
      <c r="AB259" s="1561"/>
      <c r="AC259" s="1561"/>
      <c r="AD259" s="1561"/>
      <c r="AE259" s="1561"/>
      <c r="AF259" s="1561" t="s">
        <v>307</v>
      </c>
      <c r="AG259" s="1561"/>
      <c r="AH259" s="1561"/>
      <c r="AI259" s="1561"/>
      <c r="AJ259" s="1561"/>
      <c r="AK259" s="156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43"/>
      <c r="N260" s="1543"/>
      <c r="O260" s="1543"/>
      <c r="P260" s="1543"/>
      <c r="Q260" s="1543"/>
      <c r="R260" s="1543"/>
      <c r="S260" s="1543"/>
      <c r="T260" s="1543"/>
      <c r="U260" s="1543"/>
      <c r="V260" s="1543"/>
      <c r="W260" s="1543"/>
      <c r="X260" s="1543"/>
      <c r="Y260" s="1543"/>
      <c r="Z260" s="1543"/>
      <c r="AA260" s="1543"/>
      <c r="AB260" s="1543"/>
      <c r="AC260" s="1543"/>
      <c r="AD260" s="1543"/>
      <c r="AE260" s="1543"/>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43"/>
      <c r="N261" s="1543"/>
      <c r="O261" s="1543"/>
      <c r="P261" s="1543"/>
      <c r="Q261" s="1543"/>
      <c r="R261" s="1543"/>
      <c r="S261" s="1543"/>
      <c r="T261" s="1543"/>
      <c r="V261" s="33" t="s">
        <v>86</v>
      </c>
      <c r="W261" s="1429"/>
      <c r="X261" s="1429"/>
      <c r="Y261" s="4" t="s">
        <v>584</v>
      </c>
      <c r="AC261" s="1543"/>
      <c r="AD261" s="1543"/>
      <c r="AE261" s="1543"/>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43"/>
      <c r="N262" s="1543"/>
      <c r="O262" s="1543"/>
      <c r="P262" s="1543"/>
      <c r="Q262" s="1543"/>
      <c r="R262" s="1543"/>
      <c r="S262" s="1543"/>
      <c r="T262" s="1543"/>
      <c r="U262" s="1543"/>
      <c r="V262" s="1543"/>
      <c r="W262" s="1543"/>
      <c r="X262" s="1543"/>
      <c r="Y262" s="1543"/>
      <c r="Z262" s="1543"/>
      <c r="AA262" s="1543"/>
      <c r="AB262" s="1543"/>
      <c r="AC262" s="1543"/>
      <c r="AD262" s="1543"/>
      <c r="AE262" s="1543"/>
      <c r="AH262" s="1570"/>
      <c r="AI262" s="1570"/>
      <c r="AJ262" s="1570"/>
      <c r="AK262" s="157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5"/>
      <c r="N263" s="1495"/>
      <c r="O263" s="1495"/>
      <c r="P263" s="1495"/>
      <c r="Q263" s="1495"/>
      <c r="R263" s="1495"/>
      <c r="S263" s="4" t="s">
        <v>206</v>
      </c>
      <c r="T263" s="4"/>
      <c r="U263" s="1429"/>
      <c r="V263" s="1429"/>
      <c r="W263" s="1429"/>
      <c r="X263" s="4" t="s">
        <v>89</v>
      </c>
      <c r="Z263" s="1495"/>
      <c r="AA263" s="1495"/>
      <c r="AB263" s="1495"/>
      <c r="AC263" s="1495"/>
      <c r="AD263" s="1495"/>
      <c r="AE263" s="149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59"/>
      <c r="N264" s="1559"/>
      <c r="O264" s="1559"/>
      <c r="P264" s="1559"/>
      <c r="Q264" s="1559"/>
      <c r="R264" s="1559"/>
      <c r="S264" s="1559"/>
      <c r="T264" s="1559"/>
      <c r="U264" s="1559"/>
      <c r="V264" s="1559"/>
      <c r="W264" s="1559"/>
      <c r="X264" s="1559"/>
      <c r="Y264" s="1559"/>
      <c r="Z264" s="1559"/>
      <c r="AA264" s="1560"/>
      <c r="AB264" s="1560"/>
      <c r="AC264" s="1560"/>
      <c r="AD264" s="1560"/>
      <c r="AE264" s="156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2" t="s">
        <v>307</v>
      </c>
      <c r="N265" s="1342"/>
      <c r="O265" s="1342"/>
      <c r="P265" s="1342"/>
      <c r="Q265" s="1342"/>
      <c r="R265" s="1342"/>
      <c r="S265" s="1342"/>
      <c r="T265" s="1342"/>
      <c r="U265" s="204" t="s">
        <v>907</v>
      </c>
      <c r="V265" s="204"/>
      <c r="W265" s="204"/>
      <c r="X265" s="204"/>
      <c r="Y265" s="204"/>
      <c r="Z265" s="204"/>
      <c r="AA265" s="1594"/>
      <c r="AB265" s="1594"/>
      <c r="AC265" s="1594"/>
      <c r="AD265" s="1594"/>
      <c r="AE265" s="1594"/>
      <c r="AF265" s="1594"/>
      <c r="AG265" s="1594"/>
      <c r="AH265" s="1594"/>
      <c r="AI265" s="1594"/>
      <c r="AJ265" s="1594"/>
      <c r="AK265" s="159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87" t="str">
        <f>IFERROR(BO245,"")</f>
        <v>Nonprofit</v>
      </c>
      <c r="U267" s="1587"/>
      <c r="V267" s="1587"/>
      <c r="W267" s="1587"/>
      <c r="X267" s="158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43" t="s">
        <v>307</v>
      </c>
      <c r="E270" s="1543"/>
      <c r="F270" s="1543"/>
      <c r="G270" s="1543"/>
      <c r="H270" s="1543"/>
      <c r="J270" t="s">
        <v>279</v>
      </c>
      <c r="X270" s="1558"/>
      <c r="Y270" s="1558"/>
      <c r="Z270" s="1558"/>
      <c r="AA270" s="1558"/>
      <c r="AB270" s="1558"/>
      <c r="AC270" s="155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85" t="s">
        <v>2639</v>
      </c>
      <c r="M274" s="1561"/>
      <c r="N274" s="1561"/>
      <c r="O274" s="1561"/>
      <c r="P274" s="1561"/>
      <c r="Q274" s="1561"/>
      <c r="R274" s="1561"/>
      <c r="S274" s="1561"/>
      <c r="T274" s="1561"/>
      <c r="U274" s="1561"/>
      <c r="V274" s="1561"/>
      <c r="W274" s="1561"/>
      <c r="X274" s="1561"/>
      <c r="Y274" s="1561"/>
      <c r="Z274" s="1561"/>
      <c r="AA274" s="1561"/>
      <c r="AB274" s="1561"/>
      <c r="AC274" s="1561"/>
      <c r="AD274" s="1561"/>
      <c r="AE274" s="1561"/>
      <c r="AF274" s="1561"/>
      <c r="AG274" s="1561"/>
      <c r="AH274" s="1561"/>
      <c r="AI274" s="1561"/>
      <c r="AJ274" s="156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39" t="s">
        <v>2626</v>
      </c>
      <c r="M275" s="1543"/>
      <c r="N275" s="1543"/>
      <c r="O275" s="1543"/>
      <c r="P275" s="1543"/>
      <c r="Q275" s="1543"/>
      <c r="R275" s="1543"/>
      <c r="S275" s="1543"/>
      <c r="T275" s="1543"/>
      <c r="U275" s="1543"/>
      <c r="V275" s="1543"/>
      <c r="W275" s="1543"/>
      <c r="X275" s="1543"/>
      <c r="Y275" s="1543"/>
      <c r="Z275" s="1543"/>
      <c r="AA275" s="1543"/>
      <c r="AB275" s="1543"/>
      <c r="AC275" s="1543"/>
      <c r="AD275" s="1543"/>
      <c r="AK275" s="3"/>
      <c r="AL275" s="3"/>
      <c r="AM275" s="3"/>
      <c r="AN275" s="3"/>
      <c r="AO275" s="3"/>
      <c r="AP275" s="3"/>
      <c r="AQ275" s="3"/>
      <c r="AR275" s="3"/>
      <c r="AS275" s="3"/>
      <c r="AT275" s="3"/>
      <c r="AU275" s="3"/>
      <c r="AV275" s="3"/>
      <c r="AW275" s="3"/>
      <c r="AX275" s="3"/>
      <c r="AY275" s="3"/>
    </row>
    <row r="276" spans="1:51" ht="12.95" customHeight="1">
      <c r="D276" s="4" t="s">
        <v>581</v>
      </c>
      <c r="E276" s="4"/>
      <c r="L276" s="1339" t="s">
        <v>2627</v>
      </c>
      <c r="M276" s="1543"/>
      <c r="N276" s="1543"/>
      <c r="O276" s="1543"/>
      <c r="P276" s="1543"/>
      <c r="Q276" s="1543"/>
      <c r="R276" s="1543"/>
      <c r="S276" s="1543"/>
      <c r="U276" s="33" t="s">
        <v>86</v>
      </c>
      <c r="V276" s="1341" t="s">
        <v>2628</v>
      </c>
      <c r="W276" s="1429"/>
      <c r="X276" s="4" t="s">
        <v>584</v>
      </c>
      <c r="AB276" s="1543">
        <v>94541</v>
      </c>
      <c r="AC276" s="1543"/>
      <c r="AD276" s="154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39" t="s">
        <v>2640</v>
      </c>
      <c r="M277" s="1543"/>
      <c r="N277" s="1543"/>
      <c r="O277" s="1543"/>
      <c r="P277" s="1543"/>
      <c r="Q277" s="1543"/>
      <c r="R277" s="1543"/>
      <c r="S277" s="1543"/>
      <c r="T277" s="1543"/>
      <c r="U277" s="1543"/>
      <c r="V277" s="1543"/>
      <c r="W277" s="1543"/>
      <c r="X277" s="1543"/>
      <c r="Y277" s="1543"/>
      <c r="Z277" s="1543"/>
      <c r="AA277" s="1543"/>
      <c r="AB277" s="1543"/>
      <c r="AC277" s="1543"/>
      <c r="AD277" s="1543"/>
      <c r="AI277" s="4"/>
      <c r="AJ277" s="4"/>
      <c r="AK277" s="3"/>
      <c r="AL277" s="3"/>
      <c r="AM277" s="3"/>
      <c r="AN277" s="3"/>
      <c r="AO277" s="3"/>
      <c r="AP277" s="3"/>
      <c r="AQ277" s="3"/>
      <c r="AR277" s="3"/>
      <c r="AS277" s="3"/>
      <c r="AT277" s="3"/>
    </row>
    <row r="278" spans="1:51" ht="12.95" customHeight="1">
      <c r="D278" s="4" t="s">
        <v>88</v>
      </c>
      <c r="E278" s="4"/>
      <c r="F278" s="4"/>
      <c r="L278" s="1495">
        <v>5108615324</v>
      </c>
      <c r="M278" s="1495"/>
      <c r="N278" s="1495"/>
      <c r="O278" s="1495"/>
      <c r="P278" s="1495"/>
      <c r="Q278" s="1495"/>
      <c r="R278" s="4" t="s">
        <v>206</v>
      </c>
      <c r="S278" s="4"/>
      <c r="T278" s="1429"/>
      <c r="U278" s="1429"/>
      <c r="V278" s="1429"/>
      <c r="W278" s="4" t="s">
        <v>89</v>
      </c>
      <c r="Y278" s="1495"/>
      <c r="Z278" s="1495"/>
      <c r="AA278" s="1495"/>
      <c r="AB278" s="1495"/>
      <c r="AC278" s="1495"/>
      <c r="AD278" s="1495"/>
    </row>
    <row r="279" spans="1:51" ht="12.95" customHeight="1">
      <c r="D279" s="4" t="s">
        <v>90</v>
      </c>
      <c r="E279" s="4"/>
      <c r="F279" s="4"/>
      <c r="L279" s="1559" t="s">
        <v>2641</v>
      </c>
      <c r="M279" s="1559"/>
      <c r="N279" s="1559"/>
      <c r="O279" s="1559"/>
      <c r="P279" s="1559"/>
      <c r="Q279" s="1559"/>
      <c r="R279" s="1559"/>
      <c r="S279" s="1559"/>
      <c r="T279" s="1559"/>
      <c r="U279" s="1559"/>
      <c r="V279" s="1559"/>
      <c r="W279" s="1559"/>
      <c r="X279" s="1559"/>
      <c r="Y279" s="1559"/>
      <c r="Z279" s="1559"/>
      <c r="AA279" s="1559"/>
      <c r="AB279" s="1559"/>
      <c r="AC279" s="1559"/>
      <c r="AD279" s="1559"/>
      <c r="AF279" s="4"/>
      <c r="AG279" s="4"/>
      <c r="AH279" s="4"/>
      <c r="AI279" s="4"/>
      <c r="AJ279" s="4"/>
      <c r="AU279" s="3"/>
      <c r="AV279" s="3"/>
      <c r="AW279" s="3"/>
      <c r="AX279" s="3"/>
      <c r="AY279" s="3"/>
    </row>
    <row r="280" spans="1:51" ht="12.95" customHeight="1">
      <c r="D280" s="3" t="s">
        <v>624</v>
      </c>
      <c r="E280" s="3"/>
      <c r="F280" s="3"/>
      <c r="G280" s="3"/>
      <c r="H280" s="3"/>
      <c r="I280" s="3"/>
      <c r="L280" s="1341" t="s">
        <v>2642</v>
      </c>
      <c r="M280" s="1341"/>
      <c r="N280" s="1341"/>
      <c r="O280" s="1341"/>
      <c r="P280" s="1341"/>
      <c r="Q280" s="1341"/>
      <c r="R280" s="1341"/>
      <c r="S280" s="1341"/>
      <c r="T280" s="1341"/>
      <c r="U280" s="1341"/>
      <c r="V280" s="1341"/>
      <c r="W280" s="1341"/>
      <c r="X280" s="1341"/>
      <c r="Y280" s="1341"/>
      <c r="Z280" s="1341"/>
      <c r="AA280" s="1341"/>
      <c r="AB280" s="1341"/>
      <c r="AC280" s="1341"/>
      <c r="AD280" s="1341"/>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54" t="s">
        <v>542</v>
      </c>
      <c r="B282" s="1554"/>
      <c r="C282" s="1554"/>
      <c r="D282" s="1554"/>
      <c r="E282" s="1554"/>
      <c r="F282" s="1554"/>
      <c r="G282" s="1554"/>
      <c r="H282" s="1554"/>
      <c r="I282" s="1554"/>
      <c r="J282" s="1554"/>
      <c r="K282" s="1554"/>
      <c r="L282" s="1554"/>
      <c r="M282" s="1554"/>
      <c r="N282" s="1554"/>
      <c r="O282" s="1554"/>
      <c r="P282" s="1554"/>
      <c r="Q282" s="1554"/>
      <c r="R282" s="1554"/>
      <c r="S282" s="1554"/>
      <c r="T282" s="1554"/>
      <c r="U282" s="1554"/>
      <c r="V282" s="1554"/>
      <c r="W282" s="1554"/>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95"/>
      <c r="AV282" s="95"/>
      <c r="AW282" s="95"/>
      <c r="AX282" s="95"/>
      <c r="AY282" s="95"/>
    </row>
    <row r="283" spans="1:51" ht="12.95" customHeight="1">
      <c r="A283" s="1554"/>
      <c r="B283" s="1554"/>
      <c r="C283" s="1554"/>
      <c r="D283" s="1554"/>
      <c r="E283" s="1554"/>
      <c r="F283" s="1554"/>
      <c r="G283" s="1554"/>
      <c r="H283" s="1554"/>
      <c r="I283" s="1554"/>
      <c r="J283" s="1554"/>
      <c r="K283" s="1554"/>
      <c r="L283" s="1554"/>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39" t="s">
        <v>2643</v>
      </c>
      <c r="I287" s="1340"/>
      <c r="J287" s="1340"/>
      <c r="K287" s="1340"/>
      <c r="L287" s="1340"/>
      <c r="M287" s="1340"/>
      <c r="N287" s="1340"/>
      <c r="O287" s="1340"/>
      <c r="P287" s="1340"/>
      <c r="Q287" s="1340"/>
      <c r="R287" s="1340"/>
      <c r="T287" s="3" t="s">
        <v>568</v>
      </c>
      <c r="V287" s="3"/>
      <c r="W287" s="3"/>
      <c r="X287" s="3"/>
      <c r="Y287" s="3"/>
      <c r="AA287" s="1339" t="s">
        <v>2646</v>
      </c>
      <c r="AB287" s="1340"/>
      <c r="AC287" s="1340"/>
      <c r="AD287" s="1340"/>
      <c r="AE287" s="1340"/>
      <c r="AF287" s="1340"/>
      <c r="AG287" s="1340"/>
      <c r="AH287" s="1340"/>
      <c r="AI287" s="1340"/>
      <c r="AJ287" s="1340"/>
      <c r="AK287" s="1340"/>
    </row>
    <row r="288" spans="1:51" ht="12.95" customHeight="1">
      <c r="B288" s="3" t="s">
        <v>472</v>
      </c>
      <c r="C288" s="3"/>
      <c r="D288" s="3"/>
      <c r="E288" s="3"/>
      <c r="F288" s="3"/>
      <c r="H288" s="1341" t="s">
        <v>2644</v>
      </c>
      <c r="I288" s="1342"/>
      <c r="J288" s="1342"/>
      <c r="K288" s="1342"/>
      <c r="L288" s="1342"/>
      <c r="M288" s="1342"/>
      <c r="N288" s="1342"/>
      <c r="O288" s="1342"/>
      <c r="P288" s="1342"/>
      <c r="Q288" s="1342"/>
      <c r="R288" s="1342"/>
      <c r="T288" s="3" t="s">
        <v>472</v>
      </c>
      <c r="V288" s="3"/>
      <c r="W288" s="3"/>
      <c r="X288" s="3"/>
      <c r="Y288" s="3"/>
      <c r="AA288" s="1341" t="s">
        <v>2695</v>
      </c>
      <c r="AB288" s="1342"/>
      <c r="AC288" s="1342"/>
      <c r="AD288" s="1342"/>
      <c r="AE288" s="1342"/>
      <c r="AF288" s="1342"/>
      <c r="AG288" s="1342"/>
      <c r="AH288" s="1342"/>
      <c r="AI288" s="1342"/>
      <c r="AJ288" s="1342"/>
      <c r="AK288" s="1342"/>
    </row>
    <row r="289" spans="2:37" ht="12.95" customHeight="1">
      <c r="B289" s="3" t="s">
        <v>473</v>
      </c>
      <c r="C289" s="3"/>
      <c r="D289" s="3"/>
      <c r="E289" s="3"/>
      <c r="F289" s="3"/>
      <c r="H289" s="1341" t="s">
        <v>2645</v>
      </c>
      <c r="I289" s="1342"/>
      <c r="J289" s="1342"/>
      <c r="K289" s="1342"/>
      <c r="L289" s="1342"/>
      <c r="M289" s="1342"/>
      <c r="N289" s="1342"/>
      <c r="O289" s="1342"/>
      <c r="P289" s="1342"/>
      <c r="Q289" s="1342"/>
      <c r="R289" s="1342"/>
      <c r="T289" s="3" t="s">
        <v>75</v>
      </c>
      <c r="V289" s="3"/>
      <c r="W289" s="3"/>
      <c r="X289" s="3"/>
      <c r="Y289" s="3"/>
      <c r="AA289" s="1341" t="s">
        <v>2694</v>
      </c>
      <c r="AB289" s="1342"/>
      <c r="AC289" s="1342"/>
      <c r="AD289" s="1342"/>
      <c r="AE289" s="1342"/>
      <c r="AF289" s="1342"/>
      <c r="AG289" s="1342"/>
      <c r="AH289" s="1342"/>
      <c r="AI289" s="1342"/>
      <c r="AJ289" s="1342"/>
      <c r="AK289" s="1342"/>
    </row>
    <row r="290" spans="2:37" ht="12.95" customHeight="1">
      <c r="B290" s="3" t="s">
        <v>87</v>
      </c>
      <c r="C290" s="3"/>
      <c r="D290" s="3"/>
      <c r="E290" s="3"/>
      <c r="F290" s="3"/>
      <c r="H290" s="1341" t="s">
        <v>2640</v>
      </c>
      <c r="I290" s="1342"/>
      <c r="J290" s="1342"/>
      <c r="K290" s="1342"/>
      <c r="L290" s="1342"/>
      <c r="M290" s="1342"/>
      <c r="N290" s="1342"/>
      <c r="O290" s="1342"/>
      <c r="P290" s="1342"/>
      <c r="Q290" s="1342"/>
      <c r="R290" s="1342"/>
      <c r="T290" s="3" t="s">
        <v>87</v>
      </c>
      <c r="V290" s="3"/>
      <c r="W290" s="3"/>
      <c r="X290" s="3"/>
      <c r="Y290" s="3"/>
      <c r="AA290" s="1341" t="s">
        <v>2647</v>
      </c>
      <c r="AB290" s="1342"/>
      <c r="AC290" s="1342"/>
      <c r="AD290" s="1342"/>
      <c r="AE290" s="1342"/>
      <c r="AF290" s="1342"/>
      <c r="AG290" s="1342"/>
      <c r="AH290" s="1342"/>
      <c r="AI290" s="1342"/>
      <c r="AJ290" s="1342"/>
      <c r="AK290" s="1342"/>
    </row>
    <row r="291" spans="2:37" ht="12.95" customHeight="1">
      <c r="B291" s="3" t="s">
        <v>88</v>
      </c>
      <c r="C291" s="3"/>
      <c r="D291" s="3"/>
      <c r="E291" s="3"/>
      <c r="F291" s="3"/>
      <c r="G291" s="3"/>
      <c r="H291" s="1562">
        <v>5108615324</v>
      </c>
      <c r="I291" s="1562"/>
      <c r="J291" s="1562"/>
      <c r="K291" s="1562"/>
      <c r="L291" s="1562"/>
      <c r="M291" s="1562"/>
      <c r="N291" s="4" t="s">
        <v>206</v>
      </c>
      <c r="O291" s="4"/>
      <c r="P291" s="1543"/>
      <c r="Q291" s="1543"/>
      <c r="R291" s="1543"/>
      <c r="S291" s="3"/>
      <c r="T291" s="3" t="s">
        <v>88</v>
      </c>
      <c r="V291" s="3"/>
      <c r="W291" s="3"/>
      <c r="X291" s="3"/>
      <c r="Y291" s="3"/>
      <c r="AA291" s="1562">
        <v>9253749884</v>
      </c>
      <c r="AB291" s="1562"/>
      <c r="AC291" s="1562"/>
      <c r="AD291" s="1562"/>
      <c r="AE291" s="1562"/>
      <c r="AF291" s="1562"/>
      <c r="AG291" s="4" t="s">
        <v>206</v>
      </c>
      <c r="AH291" s="4"/>
      <c r="AI291" s="1543"/>
      <c r="AJ291" s="1543"/>
      <c r="AK291" s="1543"/>
    </row>
    <row r="292" spans="2:37" ht="12.95" customHeight="1">
      <c r="B292" s="3" t="s">
        <v>89</v>
      </c>
      <c r="C292" s="3"/>
      <c r="D292" s="3"/>
      <c r="E292" s="3"/>
      <c r="F292" s="3"/>
      <c r="G292" s="3"/>
      <c r="H292" s="1495"/>
      <c r="I292" s="1495"/>
      <c r="J292" s="1495"/>
      <c r="K292" s="1495"/>
      <c r="L292" s="1495"/>
      <c r="M292" s="1495"/>
      <c r="N292" s="4"/>
      <c r="O292" s="4"/>
      <c r="P292" s="35"/>
      <c r="Q292" s="35"/>
      <c r="R292" s="35"/>
      <c r="S292" s="3"/>
      <c r="T292" s="3" t="s">
        <v>89</v>
      </c>
      <c r="V292" s="3"/>
      <c r="W292" s="3"/>
      <c r="X292" s="3"/>
      <c r="Y292" s="3"/>
      <c r="AA292" s="1495"/>
      <c r="AB292" s="1495"/>
      <c r="AC292" s="1495"/>
      <c r="AD292" s="1495"/>
      <c r="AE292" s="1495"/>
      <c r="AF292" s="1495"/>
      <c r="AG292" s="4"/>
      <c r="AH292" s="4"/>
      <c r="AI292" s="35"/>
      <c r="AJ292" s="35"/>
      <c r="AK292" s="35"/>
    </row>
    <row r="293" spans="2:37" ht="12.95" customHeight="1">
      <c r="B293" s="3" t="s">
        <v>76</v>
      </c>
      <c r="C293" s="3"/>
      <c r="D293" s="3"/>
      <c r="E293" s="3"/>
      <c r="F293" s="3"/>
      <c r="G293" s="3"/>
      <c r="H293" s="1341" t="s">
        <v>2689</v>
      </c>
      <c r="I293" s="1342"/>
      <c r="J293" s="1342"/>
      <c r="K293" s="1342"/>
      <c r="L293" s="1342"/>
      <c r="M293" s="1342"/>
      <c r="N293" s="1340"/>
      <c r="O293" s="1340"/>
      <c r="P293" s="1340"/>
      <c r="Q293" s="1340"/>
      <c r="R293" s="1340"/>
      <c r="S293" s="3"/>
      <c r="T293" s="3" t="s">
        <v>76</v>
      </c>
      <c r="V293" s="3"/>
      <c r="W293" s="3"/>
      <c r="X293" s="3"/>
      <c r="Y293" s="3"/>
      <c r="AA293" s="1341" t="s">
        <v>2696</v>
      </c>
      <c r="AB293" s="1342"/>
      <c r="AC293" s="1342"/>
      <c r="AD293" s="1342"/>
      <c r="AE293" s="1342"/>
      <c r="AF293" s="1342"/>
      <c r="AG293" s="1340"/>
      <c r="AH293" s="1340"/>
      <c r="AI293" s="1340"/>
      <c r="AJ293" s="1340"/>
      <c r="AK293" s="134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39" t="s">
        <v>2648</v>
      </c>
      <c r="I295" s="1340"/>
      <c r="J295" s="1340"/>
      <c r="K295" s="1340"/>
      <c r="L295" s="1340"/>
      <c r="M295" s="1340"/>
      <c r="N295" s="1340"/>
      <c r="O295" s="1340"/>
      <c r="P295" s="1340"/>
      <c r="Q295" s="1340"/>
      <c r="R295" s="1340"/>
      <c r="T295" s="3" t="s">
        <v>364</v>
      </c>
      <c r="V295" s="3"/>
      <c r="W295" s="3"/>
      <c r="X295" s="3"/>
      <c r="Y295" s="3"/>
      <c r="AA295" s="1339" t="s">
        <v>2652</v>
      </c>
      <c r="AB295" s="1340"/>
      <c r="AC295" s="1340"/>
      <c r="AD295" s="1340"/>
      <c r="AE295" s="1340"/>
      <c r="AF295" s="1340"/>
      <c r="AG295" s="1340"/>
      <c r="AH295" s="1340"/>
      <c r="AI295" s="1340"/>
      <c r="AJ295" s="1340"/>
      <c r="AK295" s="1340"/>
    </row>
    <row r="296" spans="2:37" ht="12.95" customHeight="1">
      <c r="B296" s="3" t="s">
        <v>472</v>
      </c>
      <c r="C296" s="3"/>
      <c r="D296" s="3"/>
      <c r="E296" s="3"/>
      <c r="F296" s="3"/>
      <c r="H296" s="1341" t="s">
        <v>2649</v>
      </c>
      <c r="I296" s="1342"/>
      <c r="J296" s="1342"/>
      <c r="K296" s="1342"/>
      <c r="L296" s="1342"/>
      <c r="M296" s="1342"/>
      <c r="N296" s="1342"/>
      <c r="O296" s="1342"/>
      <c r="P296" s="1342"/>
      <c r="Q296" s="1342"/>
      <c r="R296" s="1342"/>
      <c r="T296" s="3" t="s">
        <v>472</v>
      </c>
      <c r="V296" s="3"/>
      <c r="W296" s="3"/>
      <c r="X296" s="3"/>
      <c r="Y296" s="3"/>
      <c r="AA296" s="1342"/>
      <c r="AB296" s="1342"/>
      <c r="AC296" s="1342"/>
      <c r="AD296" s="1342"/>
      <c r="AE296" s="1342"/>
      <c r="AF296" s="1342"/>
      <c r="AG296" s="1342"/>
      <c r="AH296" s="1342"/>
      <c r="AI296" s="1342"/>
      <c r="AJ296" s="1342"/>
      <c r="AK296" s="1342"/>
    </row>
    <row r="297" spans="2:37" ht="12.95" customHeight="1">
      <c r="B297" s="3" t="s">
        <v>473</v>
      </c>
      <c r="C297" s="3"/>
      <c r="D297" s="3"/>
      <c r="E297" s="3"/>
      <c r="F297" s="3"/>
      <c r="H297" s="1341" t="s">
        <v>2650</v>
      </c>
      <c r="I297" s="1342"/>
      <c r="J297" s="1342"/>
      <c r="K297" s="1342"/>
      <c r="L297" s="1342"/>
      <c r="M297" s="1342"/>
      <c r="N297" s="1342"/>
      <c r="O297" s="1342"/>
      <c r="P297" s="1342"/>
      <c r="Q297" s="1342"/>
      <c r="R297" s="1342"/>
      <c r="T297" s="3" t="s">
        <v>75</v>
      </c>
      <c r="V297" s="3"/>
      <c r="W297" s="3"/>
      <c r="X297" s="3"/>
      <c r="Y297" s="3"/>
      <c r="AA297" s="1342"/>
      <c r="AB297" s="1342"/>
      <c r="AC297" s="1342"/>
      <c r="AD297" s="1342"/>
      <c r="AE297" s="1342"/>
      <c r="AF297" s="1342"/>
      <c r="AG297" s="1342"/>
      <c r="AH297" s="1342"/>
      <c r="AI297" s="1342"/>
      <c r="AJ297" s="1342"/>
      <c r="AK297" s="1342"/>
    </row>
    <row r="298" spans="2:37" ht="12.95" customHeight="1">
      <c r="B298" s="3" t="s">
        <v>87</v>
      </c>
      <c r="C298" s="3"/>
      <c r="D298" s="3"/>
      <c r="E298" s="3"/>
      <c r="F298" s="3"/>
      <c r="H298" s="1341" t="s">
        <v>2651</v>
      </c>
      <c r="I298" s="1342"/>
      <c r="J298" s="1342"/>
      <c r="K298" s="1342"/>
      <c r="L298" s="1342"/>
      <c r="M298" s="1342"/>
      <c r="N298" s="1342"/>
      <c r="O298" s="1342"/>
      <c r="P298" s="1342"/>
      <c r="Q298" s="1342"/>
      <c r="R298" s="1342"/>
      <c r="T298" s="3" t="s">
        <v>87</v>
      </c>
      <c r="V298" s="3"/>
      <c r="W298" s="3"/>
      <c r="X298" s="3"/>
      <c r="Y298" s="3"/>
      <c r="AA298" s="1342"/>
      <c r="AB298" s="1342"/>
      <c r="AC298" s="1342"/>
      <c r="AD298" s="1342"/>
      <c r="AE298" s="1342"/>
      <c r="AF298" s="1342"/>
      <c r="AG298" s="1342"/>
      <c r="AH298" s="1342"/>
      <c r="AI298" s="1342"/>
      <c r="AJ298" s="1342"/>
      <c r="AK298" s="1342"/>
    </row>
    <row r="299" spans="2:37" ht="12.95" customHeight="1">
      <c r="B299" s="3" t="s">
        <v>88</v>
      </c>
      <c r="C299" s="3"/>
      <c r="D299" s="3"/>
      <c r="E299" s="3"/>
      <c r="F299" s="3"/>
      <c r="G299" s="3"/>
      <c r="H299" s="1562">
        <v>4157816600</v>
      </c>
      <c r="I299" s="1562"/>
      <c r="J299" s="1562"/>
      <c r="K299" s="1562"/>
      <c r="L299" s="1562"/>
      <c r="M299" s="1562"/>
      <c r="N299" s="4" t="s">
        <v>206</v>
      </c>
      <c r="O299" s="4"/>
      <c r="P299" s="1543"/>
      <c r="Q299" s="1543"/>
      <c r="R299" s="1543"/>
      <c r="S299" s="3"/>
      <c r="T299" s="3" t="s">
        <v>88</v>
      </c>
      <c r="V299" s="3"/>
      <c r="W299" s="3"/>
      <c r="X299" s="3"/>
      <c r="Y299" s="3"/>
      <c r="AA299" s="1562"/>
      <c r="AB299" s="1562"/>
      <c r="AC299" s="1562"/>
      <c r="AD299" s="1562"/>
      <c r="AE299" s="1562"/>
      <c r="AF299" s="1562"/>
      <c r="AG299" s="4" t="s">
        <v>206</v>
      </c>
      <c r="AH299" s="4"/>
      <c r="AI299" s="1543"/>
      <c r="AJ299" s="1543"/>
      <c r="AK299" s="1543"/>
    </row>
    <row r="300" spans="2:37" ht="12.95" customHeight="1">
      <c r="B300" s="3" t="s">
        <v>89</v>
      </c>
      <c r="C300" s="3"/>
      <c r="D300" s="3"/>
      <c r="E300" s="3"/>
      <c r="F300" s="3"/>
      <c r="G300" s="3"/>
      <c r="H300" s="1495"/>
      <c r="I300" s="1495"/>
      <c r="J300" s="1495"/>
      <c r="K300" s="1495"/>
      <c r="L300" s="1495"/>
      <c r="M300" s="1495"/>
      <c r="N300" s="4"/>
      <c r="O300" s="4"/>
      <c r="P300" s="35"/>
      <c r="Q300" s="35"/>
      <c r="R300" s="35"/>
      <c r="S300" s="3"/>
      <c r="T300" s="3" t="s">
        <v>89</v>
      </c>
      <c r="V300" s="3"/>
      <c r="W300" s="3"/>
      <c r="X300" s="3"/>
      <c r="Y300" s="3"/>
      <c r="AA300" s="1495"/>
      <c r="AB300" s="1495"/>
      <c r="AC300" s="1495"/>
      <c r="AD300" s="1495"/>
      <c r="AE300" s="1495"/>
      <c r="AF300" s="1495"/>
      <c r="AG300" s="4"/>
      <c r="AH300" s="4"/>
      <c r="AI300" s="35"/>
      <c r="AJ300" s="35"/>
      <c r="AK300" s="35"/>
    </row>
    <row r="301" spans="2:37" ht="12.95" customHeight="1">
      <c r="B301" s="3" t="s">
        <v>76</v>
      </c>
      <c r="C301" s="3"/>
      <c r="D301" s="3"/>
      <c r="E301" s="3"/>
      <c r="F301" s="3"/>
      <c r="G301" s="3"/>
      <c r="H301" s="1342" t="s">
        <v>2693</v>
      </c>
      <c r="I301" s="1342"/>
      <c r="J301" s="1342"/>
      <c r="K301" s="1342"/>
      <c r="L301" s="1342"/>
      <c r="M301" s="1342"/>
      <c r="N301" s="1340"/>
      <c r="O301" s="1340"/>
      <c r="P301" s="1340"/>
      <c r="Q301" s="1340"/>
      <c r="R301" s="1340"/>
      <c r="S301" s="3"/>
      <c r="T301" s="3" t="s">
        <v>76</v>
      </c>
      <c r="V301" s="3"/>
      <c r="W301" s="3"/>
      <c r="X301" s="3"/>
      <c r="Y301" s="3"/>
      <c r="AA301" s="1342"/>
      <c r="AB301" s="1342"/>
      <c r="AC301" s="1342"/>
      <c r="AD301" s="1342"/>
      <c r="AE301" s="1342"/>
      <c r="AF301" s="1342"/>
      <c r="AG301" s="1340"/>
      <c r="AH301" s="1340"/>
      <c r="AI301" s="1340"/>
      <c r="AJ301" s="1340"/>
      <c r="AK301" s="1340"/>
    </row>
    <row r="302" spans="2:37" ht="12.95" customHeight="1"/>
    <row r="303" spans="2:37" ht="12.95" customHeight="1">
      <c r="B303" s="3" t="s">
        <v>77</v>
      </c>
      <c r="C303" s="3"/>
      <c r="D303" s="3"/>
      <c r="E303" s="3"/>
      <c r="F303" s="3"/>
      <c r="H303" s="1340" t="s">
        <v>2648</v>
      </c>
      <c r="I303" s="1340"/>
      <c r="J303" s="1340"/>
      <c r="K303" s="1340"/>
      <c r="L303" s="1340"/>
      <c r="M303" s="1340"/>
      <c r="N303" s="1340"/>
      <c r="O303" s="1340"/>
      <c r="P303" s="1340"/>
      <c r="Q303" s="1340"/>
      <c r="R303" s="1340"/>
      <c r="T303" s="4" t="s">
        <v>879</v>
      </c>
      <c r="V303" s="3"/>
      <c r="W303" s="3"/>
      <c r="X303" s="3"/>
      <c r="Y303" s="3"/>
      <c r="AA303" s="1339" t="s">
        <v>2682</v>
      </c>
      <c r="AB303" s="1340"/>
      <c r="AC303" s="1340"/>
      <c r="AD303" s="1340"/>
      <c r="AE303" s="1340"/>
      <c r="AF303" s="1340"/>
      <c r="AG303" s="1340"/>
      <c r="AH303" s="1340"/>
      <c r="AI303" s="1340"/>
      <c r="AJ303" s="1340"/>
      <c r="AK303" s="1340"/>
    </row>
    <row r="304" spans="2:37" ht="12.95" customHeight="1">
      <c r="B304" s="3" t="s">
        <v>472</v>
      </c>
      <c r="C304" s="3"/>
      <c r="D304" s="3"/>
      <c r="E304" s="3"/>
      <c r="F304" s="3"/>
      <c r="H304" s="1342" t="s">
        <v>2649</v>
      </c>
      <c r="I304" s="1342"/>
      <c r="J304" s="1342"/>
      <c r="K304" s="1342"/>
      <c r="L304" s="1342"/>
      <c r="M304" s="1342"/>
      <c r="N304" s="1342"/>
      <c r="O304" s="1342"/>
      <c r="P304" s="1342"/>
      <c r="Q304" s="1342"/>
      <c r="R304" s="1342"/>
      <c r="T304" s="3" t="s">
        <v>472</v>
      </c>
      <c r="V304" s="3"/>
      <c r="W304" s="3"/>
      <c r="X304" s="3"/>
      <c r="Y304" s="3"/>
      <c r="AA304" s="1341" t="s">
        <v>2681</v>
      </c>
      <c r="AB304" s="1342"/>
      <c r="AC304" s="1342"/>
      <c r="AD304" s="1342"/>
      <c r="AE304" s="1342"/>
      <c r="AF304" s="1342"/>
      <c r="AG304" s="1342"/>
      <c r="AH304" s="1342"/>
      <c r="AI304" s="1342"/>
      <c r="AJ304" s="1342"/>
      <c r="AK304" s="1342"/>
    </row>
    <row r="305" spans="2:37" ht="12.95" customHeight="1">
      <c r="B305" s="3" t="s">
        <v>473</v>
      </c>
      <c r="C305" s="3"/>
      <c r="D305" s="3"/>
      <c r="E305" s="3"/>
      <c r="F305" s="3"/>
      <c r="H305" s="1342" t="s">
        <v>2650</v>
      </c>
      <c r="I305" s="1342"/>
      <c r="J305" s="1342"/>
      <c r="K305" s="1342"/>
      <c r="L305" s="1342"/>
      <c r="M305" s="1342"/>
      <c r="N305" s="1342"/>
      <c r="O305" s="1342"/>
      <c r="P305" s="1342"/>
      <c r="Q305" s="1342"/>
      <c r="R305" s="1342"/>
      <c r="T305" s="3" t="s">
        <v>75</v>
      </c>
      <c r="V305" s="3"/>
      <c r="W305" s="3"/>
      <c r="X305" s="3"/>
      <c r="Y305" s="3"/>
      <c r="AA305" s="1586" t="s">
        <v>2680</v>
      </c>
      <c r="AB305" s="1342"/>
      <c r="AC305" s="1342"/>
      <c r="AD305" s="1342"/>
      <c r="AE305" s="1342"/>
      <c r="AF305" s="1342"/>
      <c r="AG305" s="1342"/>
      <c r="AH305" s="1342"/>
      <c r="AI305" s="1342"/>
      <c r="AJ305" s="1342"/>
      <c r="AK305" s="1342"/>
    </row>
    <row r="306" spans="2:37" ht="12.95" customHeight="1">
      <c r="B306" s="3" t="s">
        <v>87</v>
      </c>
      <c r="C306" s="3"/>
      <c r="D306" s="3"/>
      <c r="E306" s="3"/>
      <c r="F306" s="3"/>
      <c r="H306" s="1342" t="s">
        <v>2651</v>
      </c>
      <c r="I306" s="1342"/>
      <c r="J306" s="1342"/>
      <c r="K306" s="1342"/>
      <c r="L306" s="1342"/>
      <c r="M306" s="1342"/>
      <c r="N306" s="1342"/>
      <c r="O306" s="1342"/>
      <c r="P306" s="1342"/>
      <c r="Q306" s="1342"/>
      <c r="R306" s="1342"/>
      <c r="T306" s="3" t="s">
        <v>87</v>
      </c>
      <c r="V306" s="3"/>
      <c r="W306" s="3"/>
      <c r="X306" s="3"/>
      <c r="Y306" s="3"/>
      <c r="AA306" s="1341" t="s">
        <v>2683</v>
      </c>
      <c r="AB306" s="1342"/>
      <c r="AC306" s="1342"/>
      <c r="AD306" s="1342"/>
      <c r="AE306" s="1342"/>
      <c r="AF306" s="1342"/>
      <c r="AG306" s="1342"/>
      <c r="AH306" s="1342"/>
      <c r="AI306" s="1342"/>
      <c r="AJ306" s="1342"/>
      <c r="AK306" s="1342"/>
    </row>
    <row r="307" spans="2:37" ht="12.95" customHeight="1">
      <c r="B307" s="3" t="s">
        <v>88</v>
      </c>
      <c r="C307" s="3"/>
      <c r="D307" s="3"/>
      <c r="E307" s="3"/>
      <c r="F307" s="3"/>
      <c r="G307" s="3"/>
      <c r="H307" s="1562">
        <v>4157816600</v>
      </c>
      <c r="I307" s="1562"/>
      <c r="J307" s="1562"/>
      <c r="K307" s="1562"/>
      <c r="L307" s="1562"/>
      <c r="M307" s="1562"/>
      <c r="N307" s="4" t="s">
        <v>206</v>
      </c>
      <c r="O307" s="4"/>
      <c r="P307" s="1543"/>
      <c r="Q307" s="1543"/>
      <c r="R307" s="1543"/>
      <c r="S307" s="3"/>
      <c r="T307" s="3" t="s">
        <v>88</v>
      </c>
      <c r="V307" s="3"/>
      <c r="W307" s="3"/>
      <c r="X307" s="3"/>
      <c r="Y307" s="3"/>
      <c r="AA307" s="1562">
        <v>5108631109</v>
      </c>
      <c r="AB307" s="1562"/>
      <c r="AC307" s="1562"/>
      <c r="AD307" s="1562"/>
      <c r="AE307" s="1562"/>
      <c r="AF307" s="1562"/>
      <c r="AG307" s="4" t="s">
        <v>206</v>
      </c>
      <c r="AH307" s="4"/>
      <c r="AI307" s="1543">
        <v>1010</v>
      </c>
      <c r="AJ307" s="1543"/>
      <c r="AK307" s="1543"/>
    </row>
    <row r="308" spans="2:37" ht="12.95" customHeight="1">
      <c r="B308" s="3" t="s">
        <v>89</v>
      </c>
      <c r="C308" s="3"/>
      <c r="D308" s="3"/>
      <c r="E308" s="3"/>
      <c r="F308" s="3"/>
      <c r="G308" s="3"/>
      <c r="H308" s="1495"/>
      <c r="I308" s="1495"/>
      <c r="J308" s="1495"/>
      <c r="K308" s="1495"/>
      <c r="L308" s="1495"/>
      <c r="M308" s="1495"/>
      <c r="N308" s="4"/>
      <c r="O308" s="4"/>
      <c r="P308" s="35"/>
      <c r="Q308" s="35"/>
      <c r="R308" s="35"/>
      <c r="S308" s="3"/>
      <c r="T308" s="3" t="s">
        <v>89</v>
      </c>
      <c r="V308" s="3"/>
      <c r="W308" s="3"/>
      <c r="X308" s="3"/>
      <c r="Y308" s="3"/>
      <c r="AA308" s="1495"/>
      <c r="AB308" s="1495"/>
      <c r="AC308" s="1495"/>
      <c r="AD308" s="1495"/>
      <c r="AE308" s="1495"/>
      <c r="AF308" s="1495"/>
      <c r="AG308" s="4"/>
      <c r="AH308" s="4"/>
      <c r="AI308" s="35"/>
      <c r="AJ308" s="35"/>
      <c r="AK308" s="35"/>
    </row>
    <row r="309" spans="2:37" ht="12.95" customHeight="1">
      <c r="B309" s="3" t="s">
        <v>76</v>
      </c>
      <c r="C309" s="3"/>
      <c r="D309" s="3"/>
      <c r="E309" s="3"/>
      <c r="F309" s="3"/>
      <c r="G309" s="3"/>
      <c r="H309" s="1342" t="s">
        <v>2693</v>
      </c>
      <c r="I309" s="1342"/>
      <c r="J309" s="1342"/>
      <c r="K309" s="1342"/>
      <c r="L309" s="1342"/>
      <c r="M309" s="1342"/>
      <c r="N309" s="1340"/>
      <c r="O309" s="1340"/>
      <c r="P309" s="1340"/>
      <c r="Q309" s="1340"/>
      <c r="R309" s="1340"/>
      <c r="S309" s="3"/>
      <c r="T309" s="3" t="s">
        <v>76</v>
      </c>
      <c r="V309" s="3"/>
      <c r="W309" s="3"/>
      <c r="X309" s="3"/>
      <c r="Y309" s="3"/>
      <c r="AA309" s="1341" t="s">
        <v>2684</v>
      </c>
      <c r="AB309" s="1342"/>
      <c r="AC309" s="1342"/>
      <c r="AD309" s="1342"/>
      <c r="AE309" s="1342"/>
      <c r="AF309" s="1342"/>
      <c r="AG309" s="1340"/>
      <c r="AH309" s="1340"/>
      <c r="AI309" s="1340"/>
      <c r="AJ309" s="1340"/>
      <c r="AK309" s="134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39" t="s">
        <v>2685</v>
      </c>
      <c r="I311" s="1340"/>
      <c r="J311" s="1340"/>
      <c r="K311" s="1340"/>
      <c r="L311" s="1340"/>
      <c r="M311" s="1340"/>
      <c r="N311" s="1340"/>
      <c r="O311" s="1340"/>
      <c r="P311" s="1340"/>
      <c r="Q311" s="1340"/>
      <c r="R311" s="1340"/>
      <c r="S311" s="3"/>
      <c r="T311" s="3" t="s">
        <v>365</v>
      </c>
      <c r="V311" s="3"/>
      <c r="W311" s="3"/>
      <c r="X311" s="3"/>
      <c r="Y311" s="3"/>
      <c r="AA311" s="1340" t="s">
        <v>2652</v>
      </c>
      <c r="AB311" s="1340"/>
      <c r="AC311" s="1340"/>
      <c r="AD311" s="1340"/>
      <c r="AE311" s="1340"/>
      <c r="AF311" s="1340"/>
      <c r="AG311" s="1340"/>
      <c r="AH311" s="1340"/>
      <c r="AI311" s="1340"/>
      <c r="AJ311" s="1340"/>
      <c r="AK311" s="1340"/>
    </row>
    <row r="312" spans="2:37" ht="12.95" customHeight="1">
      <c r="B312" s="3" t="s">
        <v>472</v>
      </c>
      <c r="C312" s="3"/>
      <c r="D312" s="3"/>
      <c r="E312" s="3"/>
      <c r="F312" s="3"/>
      <c r="H312" s="1342" t="s">
        <v>2686</v>
      </c>
      <c r="I312" s="1342"/>
      <c r="J312" s="1342"/>
      <c r="K312" s="1342"/>
      <c r="L312" s="1342"/>
      <c r="M312" s="1342"/>
      <c r="N312" s="1342"/>
      <c r="O312" s="1342"/>
      <c r="P312" s="1342"/>
      <c r="Q312" s="1342"/>
      <c r="R312" s="1342"/>
      <c r="S312" s="3"/>
      <c r="T312" s="3" t="s">
        <v>472</v>
      </c>
      <c r="V312" s="3"/>
      <c r="W312" s="3"/>
      <c r="X312" s="3"/>
      <c r="Y312" s="3"/>
      <c r="AA312" s="1342"/>
      <c r="AB312" s="1342"/>
      <c r="AC312" s="1342"/>
      <c r="AD312" s="1342"/>
      <c r="AE312" s="1342"/>
      <c r="AF312" s="1342"/>
      <c r="AG312" s="1342"/>
      <c r="AH312" s="1342"/>
      <c r="AI312" s="1342"/>
      <c r="AJ312" s="1342"/>
      <c r="AK312" s="1342"/>
    </row>
    <row r="313" spans="2:37" ht="12.95" customHeight="1">
      <c r="B313" s="3" t="s">
        <v>473</v>
      </c>
      <c r="C313" s="3"/>
      <c r="D313" s="3"/>
      <c r="E313" s="3"/>
      <c r="F313" s="3"/>
      <c r="H313" s="1342" t="s">
        <v>2687</v>
      </c>
      <c r="I313" s="1342"/>
      <c r="J313" s="1342"/>
      <c r="K313" s="1342"/>
      <c r="L313" s="1342"/>
      <c r="M313" s="1342"/>
      <c r="N313" s="1342"/>
      <c r="O313" s="1342"/>
      <c r="P313" s="1342"/>
      <c r="Q313" s="1342"/>
      <c r="R313" s="1342"/>
      <c r="S313" s="3"/>
      <c r="T313" s="3" t="s">
        <v>75</v>
      </c>
      <c r="V313" s="3"/>
      <c r="W313" s="3"/>
      <c r="X313" s="3"/>
      <c r="Y313" s="3"/>
      <c r="AA313" s="1342"/>
      <c r="AB313" s="1342"/>
      <c r="AC313" s="1342"/>
      <c r="AD313" s="1342"/>
      <c r="AE313" s="1342"/>
      <c r="AF313" s="1342"/>
      <c r="AG313" s="1342"/>
      <c r="AH313" s="1342"/>
      <c r="AI313" s="1342"/>
      <c r="AJ313" s="1342"/>
      <c r="AK313" s="1342"/>
    </row>
    <row r="314" spans="2:37" ht="12.95" customHeight="1">
      <c r="B314" s="3" t="s">
        <v>87</v>
      </c>
      <c r="C314" s="3"/>
      <c r="D314" s="3"/>
      <c r="E314" s="3"/>
      <c r="F314" s="3"/>
      <c r="H314" s="1342" t="s">
        <v>2688</v>
      </c>
      <c r="I314" s="1342"/>
      <c r="J314" s="1342"/>
      <c r="K314" s="1342"/>
      <c r="L314" s="1342"/>
      <c r="M314" s="1342"/>
      <c r="N314" s="1342"/>
      <c r="O314" s="1342"/>
      <c r="P314" s="1342"/>
      <c r="Q314" s="1342"/>
      <c r="R314" s="1342"/>
      <c r="S314" s="3"/>
      <c r="T314" s="3" t="s">
        <v>87</v>
      </c>
      <c r="V314" s="3"/>
      <c r="W314" s="3"/>
      <c r="X314" s="3"/>
      <c r="Y314" s="3"/>
      <c r="AA314" s="1342"/>
      <c r="AB314" s="1342"/>
      <c r="AC314" s="1342"/>
      <c r="AD314" s="1342"/>
      <c r="AE314" s="1342"/>
      <c r="AF314" s="1342"/>
      <c r="AG314" s="1342"/>
      <c r="AH314" s="1342"/>
      <c r="AI314" s="1342"/>
      <c r="AJ314" s="1342"/>
      <c r="AK314" s="1342"/>
    </row>
    <row r="315" spans="2:37" ht="12.95" customHeight="1">
      <c r="B315" s="3" t="s">
        <v>88</v>
      </c>
      <c r="C315" s="3"/>
      <c r="D315" s="3"/>
      <c r="E315" s="3"/>
      <c r="F315" s="3"/>
      <c r="G315" s="3"/>
      <c r="H315" s="1562" t="s">
        <v>2690</v>
      </c>
      <c r="I315" s="1562"/>
      <c r="J315" s="1562"/>
      <c r="K315" s="1562"/>
      <c r="L315" s="1562"/>
      <c r="M315" s="1562"/>
      <c r="N315" s="4" t="s">
        <v>206</v>
      </c>
      <c r="O315" s="4"/>
      <c r="P315" s="1543"/>
      <c r="Q315" s="1543"/>
      <c r="R315" s="1543"/>
      <c r="S315" s="3"/>
      <c r="T315" s="3" t="s">
        <v>88</v>
      </c>
      <c r="V315" s="3"/>
      <c r="W315" s="3"/>
      <c r="X315" s="3"/>
      <c r="Y315" s="3"/>
      <c r="AA315" s="1562"/>
      <c r="AB315" s="1562"/>
      <c r="AC315" s="1562"/>
      <c r="AD315" s="1562"/>
      <c r="AE315" s="1562"/>
      <c r="AF315" s="1562"/>
      <c r="AG315" s="4" t="s">
        <v>206</v>
      </c>
      <c r="AH315" s="4"/>
      <c r="AI315" s="1543"/>
      <c r="AJ315" s="1543"/>
      <c r="AK315" s="1543"/>
    </row>
    <row r="316" spans="2:37" ht="12.95" customHeight="1">
      <c r="B316" s="3" t="s">
        <v>89</v>
      </c>
      <c r="C316" s="3"/>
      <c r="D316" s="3"/>
      <c r="E316" s="3"/>
      <c r="F316" s="3"/>
      <c r="G316" s="3"/>
      <c r="H316" s="1495" t="s">
        <v>2691</v>
      </c>
      <c r="I316" s="1495"/>
      <c r="J316" s="1495"/>
      <c r="K316" s="1495"/>
      <c r="L316" s="1495"/>
      <c r="M316" s="1495"/>
      <c r="N316" s="4"/>
      <c r="O316" s="4"/>
      <c r="P316" s="35"/>
      <c r="Q316" s="35"/>
      <c r="R316" s="35"/>
      <c r="S316" s="3"/>
      <c r="T316" s="3" t="s">
        <v>89</v>
      </c>
      <c r="V316" s="3"/>
      <c r="W316" s="3"/>
      <c r="X316" s="3"/>
      <c r="Y316" s="3"/>
      <c r="AA316" s="1495"/>
      <c r="AB316" s="1495"/>
      <c r="AC316" s="1495"/>
      <c r="AD316" s="1495"/>
      <c r="AE316" s="1495"/>
      <c r="AF316" s="1495"/>
      <c r="AG316" s="4"/>
      <c r="AH316" s="4"/>
      <c r="AI316" s="35"/>
      <c r="AJ316" s="35"/>
      <c r="AK316" s="35"/>
    </row>
    <row r="317" spans="2:37" ht="12.95" customHeight="1">
      <c r="B317" s="3" t="s">
        <v>76</v>
      </c>
      <c r="C317" s="3"/>
      <c r="D317" s="3"/>
      <c r="E317" s="3"/>
      <c r="F317" s="3"/>
      <c r="G317" s="3"/>
      <c r="H317" s="1342" t="s">
        <v>2692</v>
      </c>
      <c r="I317" s="1342"/>
      <c r="J317" s="1342"/>
      <c r="K317" s="1342"/>
      <c r="L317" s="1342"/>
      <c r="M317" s="1342"/>
      <c r="N317" s="1340"/>
      <c r="O317" s="1340"/>
      <c r="P317" s="1340"/>
      <c r="Q317" s="1340"/>
      <c r="R317" s="1340"/>
      <c r="S317" s="3"/>
      <c r="T317" s="3" t="s">
        <v>76</v>
      </c>
      <c r="V317" s="3"/>
      <c r="W317" s="3"/>
      <c r="X317" s="3"/>
      <c r="Y317" s="3"/>
      <c r="AA317" s="1342"/>
      <c r="AB317" s="1342"/>
      <c r="AC317" s="1342"/>
      <c r="AD317" s="1342"/>
      <c r="AE317" s="1342"/>
      <c r="AF317" s="1342"/>
      <c r="AG317" s="1340"/>
      <c r="AH317" s="1340"/>
      <c r="AI317" s="1340"/>
      <c r="AJ317" s="1340"/>
      <c r="AK317" s="1340"/>
    </row>
    <row r="318" spans="2:37" ht="12.95" customHeight="1"/>
    <row r="319" spans="2:37" ht="12.95" customHeight="1">
      <c r="B319" s="4" t="s">
        <v>909</v>
      </c>
      <c r="C319" s="3"/>
      <c r="D319" s="3"/>
      <c r="E319" s="3"/>
      <c r="F319" s="3"/>
      <c r="H319" s="1339" t="s">
        <v>2653</v>
      </c>
      <c r="I319" s="1340"/>
      <c r="J319" s="1340"/>
      <c r="K319" s="1340"/>
      <c r="L319" s="1340"/>
      <c r="M319" s="1340"/>
      <c r="N319" s="1340"/>
      <c r="O319" s="1340"/>
      <c r="P319" s="1340"/>
      <c r="Q319" s="1340"/>
      <c r="R319" s="1340"/>
      <c r="T319" s="3" t="s">
        <v>366</v>
      </c>
      <c r="V319" s="3"/>
      <c r="W319" s="3"/>
      <c r="X319" s="3"/>
      <c r="Y319" s="3"/>
      <c r="AA319" s="1340" t="s">
        <v>2657</v>
      </c>
      <c r="AB319" s="1340"/>
      <c r="AC319" s="1340"/>
      <c r="AD319" s="1340"/>
      <c r="AE319" s="1340"/>
      <c r="AF319" s="1340"/>
      <c r="AG319" s="1340"/>
      <c r="AH319" s="1340"/>
      <c r="AI319" s="1340"/>
      <c r="AJ319" s="1340"/>
      <c r="AK319" s="1340"/>
    </row>
    <row r="320" spans="2:37" ht="12.95" customHeight="1">
      <c r="B320" s="3" t="s">
        <v>472</v>
      </c>
      <c r="C320" s="3"/>
      <c r="D320" s="3"/>
      <c r="E320" s="3"/>
      <c r="F320" s="3"/>
      <c r="H320" s="1341" t="s">
        <v>2654</v>
      </c>
      <c r="I320" s="1342"/>
      <c r="J320" s="1342"/>
      <c r="K320" s="1342"/>
      <c r="L320" s="1342"/>
      <c r="M320" s="1342"/>
      <c r="N320" s="1342"/>
      <c r="O320" s="1342"/>
      <c r="P320" s="1342"/>
      <c r="Q320" s="1342"/>
      <c r="R320" s="1342"/>
      <c r="T320" s="3" t="s">
        <v>472</v>
      </c>
      <c r="V320" s="3"/>
      <c r="W320" s="3"/>
      <c r="X320" s="3"/>
      <c r="Y320" s="3"/>
      <c r="AA320" s="1341" t="s">
        <v>2658</v>
      </c>
      <c r="AB320" s="1342"/>
      <c r="AC320" s="1342"/>
      <c r="AD320" s="1342"/>
      <c r="AE320" s="1342"/>
      <c r="AF320" s="1342"/>
      <c r="AG320" s="1342"/>
      <c r="AH320" s="1342"/>
      <c r="AI320" s="1342"/>
      <c r="AJ320" s="1342"/>
      <c r="AK320" s="1342"/>
    </row>
    <row r="321" spans="2:37" ht="12.95" customHeight="1">
      <c r="B321" s="3" t="s">
        <v>473</v>
      </c>
      <c r="C321" s="3"/>
      <c r="D321" s="3"/>
      <c r="E321" s="3"/>
      <c r="F321" s="3"/>
      <c r="H321" s="1341" t="s">
        <v>2655</v>
      </c>
      <c r="I321" s="1342"/>
      <c r="J321" s="1342"/>
      <c r="K321" s="1342"/>
      <c r="L321" s="1342"/>
      <c r="M321" s="1342"/>
      <c r="N321" s="1342"/>
      <c r="O321" s="1342"/>
      <c r="P321" s="1342"/>
      <c r="Q321" s="1342"/>
      <c r="R321" s="1342"/>
      <c r="T321" s="3" t="s">
        <v>75</v>
      </c>
      <c r="V321" s="3"/>
      <c r="W321" s="3"/>
      <c r="X321" s="3"/>
      <c r="Y321" s="3"/>
      <c r="AA321" s="1341" t="s">
        <v>2659</v>
      </c>
      <c r="AB321" s="1342"/>
      <c r="AC321" s="1342"/>
      <c r="AD321" s="1342"/>
      <c r="AE321" s="1342"/>
      <c r="AF321" s="1342"/>
      <c r="AG321" s="1342"/>
      <c r="AH321" s="1342"/>
      <c r="AI321" s="1342"/>
      <c r="AJ321" s="1342"/>
      <c r="AK321" s="1342"/>
    </row>
    <row r="322" spans="2:37" ht="12.95" customHeight="1">
      <c r="B322" s="3" t="s">
        <v>87</v>
      </c>
      <c r="C322" s="3"/>
      <c r="D322" s="3"/>
      <c r="E322" s="3"/>
      <c r="F322" s="3"/>
      <c r="H322" s="1341" t="s">
        <v>2656</v>
      </c>
      <c r="I322" s="1342"/>
      <c r="J322" s="1342"/>
      <c r="K322" s="1342"/>
      <c r="L322" s="1342"/>
      <c r="M322" s="1342"/>
      <c r="N322" s="1342"/>
      <c r="O322" s="1342"/>
      <c r="P322" s="1342"/>
      <c r="Q322" s="1342"/>
      <c r="R322" s="1342"/>
      <c r="T322" s="3" t="s">
        <v>87</v>
      </c>
      <c r="V322" s="3"/>
      <c r="W322" s="3"/>
      <c r="X322" s="3"/>
      <c r="Y322" s="3"/>
      <c r="AA322" s="1341" t="s">
        <v>2660</v>
      </c>
      <c r="AB322" s="1342"/>
      <c r="AC322" s="1342"/>
      <c r="AD322" s="1342"/>
      <c r="AE322" s="1342"/>
      <c r="AF322" s="1342"/>
      <c r="AG322" s="1342"/>
      <c r="AH322" s="1342"/>
      <c r="AI322" s="1342"/>
      <c r="AJ322" s="1342"/>
      <c r="AK322" s="1342"/>
    </row>
    <row r="323" spans="2:37" ht="12.95" customHeight="1">
      <c r="B323" s="3" t="s">
        <v>88</v>
      </c>
      <c r="C323" s="3"/>
      <c r="D323" s="3"/>
      <c r="E323" s="3"/>
      <c r="F323" s="3"/>
      <c r="G323" s="3"/>
      <c r="H323" s="1562">
        <v>5108328300</v>
      </c>
      <c r="I323" s="1562"/>
      <c r="J323" s="1562"/>
      <c r="K323" s="1562"/>
      <c r="L323" s="1562"/>
      <c r="M323" s="1562"/>
      <c r="N323" s="4" t="s">
        <v>206</v>
      </c>
      <c r="O323" s="4"/>
      <c r="P323" s="1543">
        <v>5</v>
      </c>
      <c r="Q323" s="1543"/>
      <c r="R323" s="1543"/>
      <c r="S323" s="3"/>
      <c r="T323" s="3" t="s">
        <v>88</v>
      </c>
      <c r="V323" s="3"/>
      <c r="W323" s="3"/>
      <c r="X323" s="3"/>
      <c r="Y323" s="3"/>
      <c r="AA323" s="1562">
        <v>9163726100</v>
      </c>
      <c r="AB323" s="1562"/>
      <c r="AC323" s="1562"/>
      <c r="AD323" s="1562"/>
      <c r="AE323" s="1562"/>
      <c r="AF323" s="1562"/>
      <c r="AG323" s="4" t="s">
        <v>206</v>
      </c>
      <c r="AH323" s="4"/>
      <c r="AI323" s="1543"/>
      <c r="AJ323" s="1543"/>
      <c r="AK323" s="1543"/>
    </row>
    <row r="324" spans="2:37" ht="12.95" customHeight="1">
      <c r="B324" s="3" t="s">
        <v>89</v>
      </c>
      <c r="C324" s="3"/>
      <c r="D324" s="3"/>
      <c r="E324" s="3"/>
      <c r="F324" s="3"/>
      <c r="G324" s="3"/>
      <c r="H324" s="1495"/>
      <c r="I324" s="1495"/>
      <c r="J324" s="1495"/>
      <c r="K324" s="1495"/>
      <c r="L324" s="1495"/>
      <c r="M324" s="1495"/>
      <c r="N324" s="4"/>
      <c r="O324" s="4"/>
      <c r="P324" s="35"/>
      <c r="Q324" s="35"/>
      <c r="R324" s="35"/>
      <c r="S324" s="3"/>
      <c r="T324" s="3" t="s">
        <v>89</v>
      </c>
      <c r="V324" s="3"/>
      <c r="W324" s="3"/>
      <c r="X324" s="3"/>
      <c r="Y324" s="3"/>
      <c r="AA324" s="1495"/>
      <c r="AB324" s="1495"/>
      <c r="AC324" s="1495"/>
      <c r="AD324" s="1495"/>
      <c r="AE324" s="1495"/>
      <c r="AF324" s="1495"/>
      <c r="AG324" s="4"/>
      <c r="AH324" s="4"/>
      <c r="AI324" s="35"/>
      <c r="AJ324" s="35"/>
      <c r="AK324" s="35"/>
    </row>
    <row r="325" spans="2:37" ht="12.95" customHeight="1">
      <c r="B325" s="3" t="s">
        <v>76</v>
      </c>
      <c r="C325" s="3"/>
      <c r="D325" s="3"/>
      <c r="E325" s="3"/>
      <c r="F325" s="3"/>
      <c r="G325" s="3"/>
      <c r="H325" s="1341" t="s">
        <v>2697</v>
      </c>
      <c r="I325" s="1342"/>
      <c r="J325" s="1342"/>
      <c r="K325" s="1342"/>
      <c r="L325" s="1342"/>
      <c r="M325" s="1342"/>
      <c r="N325" s="1340"/>
      <c r="O325" s="1340"/>
      <c r="P325" s="1340"/>
      <c r="Q325" s="1340"/>
      <c r="R325" s="1340"/>
      <c r="S325" s="3"/>
      <c r="T325" s="3" t="s">
        <v>76</v>
      </c>
      <c r="V325" s="3"/>
      <c r="W325" s="3"/>
      <c r="X325" s="3"/>
      <c r="Y325" s="3"/>
      <c r="AA325" s="1341" t="s">
        <v>2661</v>
      </c>
      <c r="AB325" s="1342"/>
      <c r="AC325" s="1342"/>
      <c r="AD325" s="1342"/>
      <c r="AE325" s="1342"/>
      <c r="AF325" s="1342"/>
      <c r="AG325" s="1340"/>
      <c r="AH325" s="1340"/>
      <c r="AI325" s="1340"/>
      <c r="AJ325" s="1340"/>
      <c r="AK325" s="134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39" t="s">
        <v>2662</v>
      </c>
      <c r="I327" s="1340"/>
      <c r="J327" s="1340"/>
      <c r="K327" s="1340"/>
      <c r="L327" s="1340"/>
      <c r="M327" s="1340"/>
      <c r="N327" s="1340"/>
      <c r="O327" s="1340"/>
      <c r="P327" s="1340"/>
      <c r="Q327" s="1340"/>
      <c r="R327" s="1340"/>
      <c r="T327" s="3" t="s">
        <v>368</v>
      </c>
      <c r="V327" s="3"/>
      <c r="W327" s="3"/>
      <c r="X327" s="3"/>
      <c r="Y327" s="3"/>
      <c r="AA327" s="1339" t="s">
        <v>592</v>
      </c>
      <c r="AB327" s="1340"/>
      <c r="AC327" s="1340"/>
      <c r="AD327" s="1340"/>
      <c r="AE327" s="1340"/>
      <c r="AF327" s="1340"/>
      <c r="AG327" s="1340"/>
      <c r="AH327" s="1340"/>
      <c r="AI327" s="1340"/>
      <c r="AJ327" s="1340"/>
      <c r="AK327" s="1340"/>
    </row>
    <row r="328" spans="2:37" ht="12.95" customHeight="1">
      <c r="B328" s="3" t="s">
        <v>472</v>
      </c>
      <c r="C328" s="3"/>
      <c r="D328" s="3"/>
      <c r="E328" s="3"/>
      <c r="F328" s="3"/>
      <c r="H328" s="1342" t="s">
        <v>2663</v>
      </c>
      <c r="I328" s="1342"/>
      <c r="J328" s="1342"/>
      <c r="K328" s="1342"/>
      <c r="L328" s="1342"/>
      <c r="M328" s="1342"/>
      <c r="N328" s="1342"/>
      <c r="O328" s="1342"/>
      <c r="P328" s="1342"/>
      <c r="Q328" s="1342"/>
      <c r="R328" s="1342"/>
      <c r="T328" s="3" t="s">
        <v>472</v>
      </c>
      <c r="V328" s="3"/>
      <c r="W328" s="3"/>
      <c r="X328" s="3"/>
      <c r="Y328" s="3"/>
      <c r="AA328" s="1342"/>
      <c r="AB328" s="1342"/>
      <c r="AC328" s="1342"/>
      <c r="AD328" s="1342"/>
      <c r="AE328" s="1342"/>
      <c r="AF328" s="1342"/>
      <c r="AG328" s="1342"/>
      <c r="AH328" s="1342"/>
      <c r="AI328" s="1342"/>
      <c r="AJ328" s="1342"/>
      <c r="AK328" s="1342"/>
    </row>
    <row r="329" spans="2:37" ht="12.95" customHeight="1">
      <c r="B329" s="3" t="s">
        <v>473</v>
      </c>
      <c r="C329" s="3"/>
      <c r="D329" s="3"/>
      <c r="E329" s="3"/>
      <c r="F329" s="3"/>
      <c r="H329" s="1342" t="s">
        <v>2664</v>
      </c>
      <c r="I329" s="1342"/>
      <c r="J329" s="1342"/>
      <c r="K329" s="1342"/>
      <c r="L329" s="1342"/>
      <c r="M329" s="1342"/>
      <c r="N329" s="1342"/>
      <c r="O329" s="1342"/>
      <c r="P329" s="1342"/>
      <c r="Q329" s="1342"/>
      <c r="R329" s="1342"/>
      <c r="T329" s="3" t="s">
        <v>75</v>
      </c>
      <c r="V329" s="3"/>
      <c r="W329" s="3"/>
      <c r="X329" s="3"/>
      <c r="Y329" s="3"/>
      <c r="AA329" s="1342"/>
      <c r="AB329" s="1342"/>
      <c r="AC329" s="1342"/>
      <c r="AD329" s="1342"/>
      <c r="AE329" s="1342"/>
      <c r="AF329" s="1342"/>
      <c r="AG329" s="1342"/>
      <c r="AH329" s="1342"/>
      <c r="AI329" s="1342"/>
      <c r="AJ329" s="1342"/>
      <c r="AK329" s="1342"/>
    </row>
    <row r="330" spans="2:37" ht="12.95" customHeight="1">
      <c r="B330" s="3" t="s">
        <v>87</v>
      </c>
      <c r="C330" s="3"/>
      <c r="D330" s="3"/>
      <c r="E330" s="3"/>
      <c r="F330" s="3"/>
      <c r="H330" s="1342" t="s">
        <v>2665</v>
      </c>
      <c r="I330" s="1342"/>
      <c r="J330" s="1342"/>
      <c r="K330" s="1342"/>
      <c r="L330" s="1342"/>
      <c r="M330" s="1342"/>
      <c r="N330" s="1342"/>
      <c r="O330" s="1342"/>
      <c r="P330" s="1342"/>
      <c r="Q330" s="1342"/>
      <c r="R330" s="1342"/>
      <c r="T330" s="3" t="s">
        <v>87</v>
      </c>
      <c r="V330" s="3"/>
      <c r="W330" s="3"/>
      <c r="X330" s="3"/>
      <c r="Y330" s="3"/>
      <c r="AA330" s="1342"/>
      <c r="AB330" s="1342"/>
      <c r="AC330" s="1342"/>
      <c r="AD330" s="1342"/>
      <c r="AE330" s="1342"/>
      <c r="AF330" s="1342"/>
      <c r="AG330" s="1342"/>
      <c r="AH330" s="1342"/>
      <c r="AI330" s="1342"/>
      <c r="AJ330" s="1342"/>
      <c r="AK330" s="1342"/>
    </row>
    <row r="331" spans="2:37" ht="12.95" customHeight="1">
      <c r="B331" s="3" t="s">
        <v>88</v>
      </c>
      <c r="C331" s="3"/>
      <c r="D331" s="3"/>
      <c r="E331" s="3"/>
      <c r="F331" s="3"/>
      <c r="G331" s="3"/>
      <c r="H331" s="1562">
        <v>5592265020</v>
      </c>
      <c r="I331" s="1562"/>
      <c r="J331" s="1562"/>
      <c r="K331" s="1562"/>
      <c r="L331" s="1562"/>
      <c r="M331" s="1562"/>
      <c r="N331" s="4" t="s">
        <v>206</v>
      </c>
      <c r="O331" s="4"/>
      <c r="P331" s="1543"/>
      <c r="Q331" s="1543"/>
      <c r="R331" s="1543"/>
      <c r="S331" s="3"/>
      <c r="T331" s="3" t="s">
        <v>88</v>
      </c>
      <c r="V331" s="3"/>
      <c r="W331" s="3"/>
      <c r="X331" s="3"/>
      <c r="Y331" s="3"/>
      <c r="AA331" s="1562"/>
      <c r="AB331" s="1562"/>
      <c r="AC331" s="1562"/>
      <c r="AD331" s="1562"/>
      <c r="AE331" s="1562"/>
      <c r="AF331" s="1562"/>
      <c r="AG331" s="4" t="s">
        <v>206</v>
      </c>
      <c r="AH331" s="4"/>
      <c r="AI331" s="1543"/>
      <c r="AJ331" s="1543"/>
      <c r="AK331" s="1543"/>
    </row>
    <row r="332" spans="2:37" ht="12.95" customHeight="1">
      <c r="B332" s="3" t="s">
        <v>89</v>
      </c>
      <c r="C332" s="3"/>
      <c r="D332" s="3"/>
      <c r="E332" s="3"/>
      <c r="F332" s="3"/>
      <c r="G332" s="3"/>
      <c r="H332" s="1495"/>
      <c r="I332" s="1495"/>
      <c r="J332" s="1495"/>
      <c r="K332" s="1495"/>
      <c r="L332" s="1495"/>
      <c r="M332" s="1495"/>
      <c r="N332" s="4"/>
      <c r="O332" s="4"/>
      <c r="P332" s="35"/>
      <c r="Q332" s="35"/>
      <c r="R332" s="35"/>
      <c r="S332" s="3"/>
      <c r="T332" s="3" t="s">
        <v>89</v>
      </c>
      <c r="V332" s="3"/>
      <c r="W332" s="3"/>
      <c r="X332" s="3"/>
      <c r="Y332" s="3"/>
      <c r="AA332" s="1495"/>
      <c r="AB332" s="1495"/>
      <c r="AC332" s="1495"/>
      <c r="AD332" s="1495"/>
      <c r="AE332" s="1495"/>
      <c r="AF332" s="1495"/>
      <c r="AG332" s="4"/>
      <c r="AH332" s="4"/>
      <c r="AI332" s="35"/>
      <c r="AJ332" s="35"/>
      <c r="AK332" s="35"/>
    </row>
    <row r="333" spans="2:37" ht="12.95" customHeight="1">
      <c r="B333" s="3" t="s">
        <v>76</v>
      </c>
      <c r="C333" s="3"/>
      <c r="D333" s="3"/>
      <c r="E333" s="3"/>
      <c r="F333" s="3"/>
      <c r="G333" s="3"/>
      <c r="H333" s="1342" t="s">
        <v>2666</v>
      </c>
      <c r="I333" s="1342"/>
      <c r="J333" s="1342"/>
      <c r="K333" s="1342"/>
      <c r="L333" s="1342"/>
      <c r="M333" s="1342"/>
      <c r="N333" s="1340"/>
      <c r="O333" s="1340"/>
      <c r="P333" s="1340"/>
      <c r="Q333" s="1340"/>
      <c r="R333" s="1340"/>
      <c r="S333" s="3"/>
      <c r="T333" s="3" t="s">
        <v>76</v>
      </c>
      <c r="V333" s="3"/>
      <c r="W333" s="3"/>
      <c r="X333" s="3"/>
      <c r="Y333" s="3"/>
      <c r="AA333" s="1342"/>
      <c r="AB333" s="1342"/>
      <c r="AC333" s="1342"/>
      <c r="AD333" s="1342"/>
      <c r="AE333" s="1342"/>
      <c r="AF333" s="1342"/>
      <c r="AG333" s="1340"/>
      <c r="AH333" s="1340"/>
      <c r="AI333" s="1340"/>
      <c r="AJ333" s="1340"/>
      <c r="AK333" s="134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40" t="s">
        <v>2667</v>
      </c>
      <c r="I335" s="1340"/>
      <c r="J335" s="1340"/>
      <c r="K335" s="1340"/>
      <c r="L335" s="1340"/>
      <c r="M335" s="1340"/>
      <c r="N335" s="1340"/>
      <c r="O335" s="1340"/>
      <c r="P335" s="1340"/>
      <c r="Q335" s="1340"/>
      <c r="R335" s="1340"/>
      <c r="T335" s="204" t="s">
        <v>887</v>
      </c>
      <c r="V335" s="3"/>
      <c r="W335" s="3"/>
      <c r="X335" s="3"/>
      <c r="Y335" s="3"/>
      <c r="AA335" s="1340" t="s">
        <v>2673</v>
      </c>
      <c r="AB335" s="1340"/>
      <c r="AC335" s="1340"/>
      <c r="AD335" s="1340"/>
      <c r="AE335" s="1340"/>
      <c r="AF335" s="1340"/>
      <c r="AG335" s="1340"/>
      <c r="AH335" s="1340"/>
      <c r="AI335" s="1340"/>
      <c r="AJ335" s="1340"/>
      <c r="AK335" s="1340"/>
    </row>
    <row r="336" spans="2:37" ht="12.95" customHeight="1">
      <c r="B336" s="3" t="s">
        <v>472</v>
      </c>
      <c r="C336" s="3"/>
      <c r="D336" s="3"/>
      <c r="E336" s="3"/>
      <c r="F336" s="3"/>
      <c r="H336" s="1342" t="s">
        <v>2668</v>
      </c>
      <c r="I336" s="1342"/>
      <c r="J336" s="1342"/>
      <c r="K336" s="1342"/>
      <c r="L336" s="1342"/>
      <c r="M336" s="1342"/>
      <c r="N336" s="1342"/>
      <c r="O336" s="1342"/>
      <c r="P336" s="1342"/>
      <c r="Q336" s="1342"/>
      <c r="R336" s="1342"/>
      <c r="T336" s="3" t="s">
        <v>472</v>
      </c>
      <c r="V336" s="3"/>
      <c r="W336" s="3"/>
      <c r="X336" s="3"/>
      <c r="Y336" s="3"/>
      <c r="AA336" s="1342" t="s">
        <v>2674</v>
      </c>
      <c r="AB336" s="1342"/>
      <c r="AC336" s="1342"/>
      <c r="AD336" s="1342"/>
      <c r="AE336" s="1342"/>
      <c r="AF336" s="1342"/>
      <c r="AG336" s="1342"/>
      <c r="AH336" s="1342"/>
      <c r="AI336" s="1342"/>
      <c r="AJ336" s="1342"/>
      <c r="AK336" s="1342"/>
    </row>
    <row r="337" spans="1:66" ht="12.95" customHeight="1">
      <c r="B337" s="3" t="s">
        <v>75</v>
      </c>
      <c r="C337" s="3"/>
      <c r="D337" s="3"/>
      <c r="E337" s="3"/>
      <c r="F337" s="3"/>
      <c r="H337" s="1342" t="s">
        <v>2669</v>
      </c>
      <c r="I337" s="1342"/>
      <c r="J337" s="1342"/>
      <c r="K337" s="1342"/>
      <c r="L337" s="1342"/>
      <c r="M337" s="1342"/>
      <c r="N337" s="1342"/>
      <c r="O337" s="1342"/>
      <c r="P337" s="1342"/>
      <c r="Q337" s="1342"/>
      <c r="R337" s="1342"/>
      <c r="T337" s="3" t="s">
        <v>75</v>
      </c>
      <c r="V337" s="3"/>
      <c r="W337" s="3"/>
      <c r="X337" s="3"/>
      <c r="Y337" s="3"/>
      <c r="AA337" s="1342" t="s">
        <v>2675</v>
      </c>
      <c r="AB337" s="1342"/>
      <c r="AC337" s="1342"/>
      <c r="AD337" s="1342"/>
      <c r="AE337" s="1342"/>
      <c r="AF337" s="1342"/>
      <c r="AG337" s="1342"/>
      <c r="AH337" s="1342"/>
      <c r="AI337" s="1342"/>
      <c r="AJ337" s="1342"/>
      <c r="AK337" s="1342"/>
    </row>
    <row r="338" spans="1:66" ht="12.95" customHeight="1">
      <c r="B338" s="3" t="s">
        <v>87</v>
      </c>
      <c r="C338" s="3"/>
      <c r="D338" s="3"/>
      <c r="E338" s="3"/>
      <c r="F338" s="3"/>
      <c r="G338" s="3"/>
      <c r="H338" s="1342" t="s">
        <v>2670</v>
      </c>
      <c r="I338" s="1342"/>
      <c r="J338" s="1342"/>
      <c r="K338" s="1342"/>
      <c r="L338" s="1342"/>
      <c r="M338" s="1342"/>
      <c r="N338" s="1342"/>
      <c r="O338" s="1342"/>
      <c r="P338" s="1342"/>
      <c r="Q338" s="1342"/>
      <c r="R338" s="1342"/>
      <c r="T338" s="3" t="s">
        <v>87</v>
      </c>
      <c r="V338" s="3"/>
      <c r="W338" s="3"/>
      <c r="X338" s="3"/>
      <c r="Y338" s="3"/>
      <c r="AA338" s="1342" t="s">
        <v>2676</v>
      </c>
      <c r="AB338" s="1342"/>
      <c r="AC338" s="1342"/>
      <c r="AD338" s="1342"/>
      <c r="AE338" s="1342"/>
      <c r="AF338" s="1342"/>
      <c r="AG338" s="1342"/>
      <c r="AH338" s="1342"/>
      <c r="AI338" s="1342"/>
      <c r="AJ338" s="1342"/>
      <c r="AK338" s="1342"/>
    </row>
    <row r="339" spans="1:66" ht="12.95" customHeight="1">
      <c r="B339" s="3" t="s">
        <v>88</v>
      </c>
      <c r="C339" s="3"/>
      <c r="D339" s="3"/>
      <c r="E339" s="3"/>
      <c r="F339" s="3"/>
      <c r="G339" s="3"/>
      <c r="H339" s="1588" t="s">
        <v>2671</v>
      </c>
      <c r="I339" s="1562"/>
      <c r="J339" s="1562"/>
      <c r="K339" s="1562"/>
      <c r="L339" s="1562"/>
      <c r="M339" s="1562"/>
      <c r="N339" s="4" t="s">
        <v>206</v>
      </c>
      <c r="O339" s="4"/>
      <c r="P339" s="1543"/>
      <c r="Q339" s="1543"/>
      <c r="R339" s="1543"/>
      <c r="S339" s="3"/>
      <c r="T339" s="3" t="s">
        <v>88</v>
      </c>
      <c r="V339" s="3"/>
      <c r="W339" s="3"/>
      <c r="X339" s="3"/>
      <c r="Y339" s="3"/>
      <c r="AA339" s="1588" t="s">
        <v>2678</v>
      </c>
      <c r="AB339" s="1562"/>
      <c r="AC339" s="1562"/>
      <c r="AD339" s="1562"/>
      <c r="AE339" s="1562"/>
      <c r="AF339" s="1562"/>
      <c r="AG339" s="4" t="s">
        <v>206</v>
      </c>
      <c r="AH339" s="4"/>
      <c r="AI339" s="1543"/>
      <c r="AJ339" s="1543"/>
      <c r="AK339" s="1543"/>
    </row>
    <row r="340" spans="1:66" ht="12.95" customHeight="1">
      <c r="B340" s="3" t="s">
        <v>89</v>
      </c>
      <c r="C340" s="3"/>
      <c r="D340" s="3"/>
      <c r="E340" s="3"/>
      <c r="F340" s="3"/>
      <c r="G340" s="3"/>
      <c r="H340" s="1495"/>
      <c r="I340" s="1495"/>
      <c r="J340" s="1495"/>
      <c r="K340" s="1495"/>
      <c r="L340" s="1495"/>
      <c r="M340" s="1495"/>
      <c r="N340" s="4"/>
      <c r="O340" s="4"/>
      <c r="P340" s="35"/>
      <c r="Q340" s="35"/>
      <c r="R340" s="35"/>
      <c r="S340" s="3"/>
      <c r="T340" s="3" t="s">
        <v>89</v>
      </c>
      <c r="V340" s="3"/>
      <c r="W340" s="3"/>
      <c r="X340" s="3"/>
      <c r="Y340" s="3"/>
      <c r="AA340" s="1495"/>
      <c r="AB340" s="1495"/>
      <c r="AC340" s="1495"/>
      <c r="AD340" s="1495"/>
      <c r="AE340" s="1495"/>
      <c r="AF340" s="1495"/>
      <c r="AG340" s="4"/>
      <c r="AH340" s="4"/>
      <c r="AI340" s="35"/>
      <c r="AJ340" s="35"/>
      <c r="AK340" s="35"/>
    </row>
    <row r="341" spans="1:66" ht="12.95" customHeight="1">
      <c r="B341" s="3" t="s">
        <v>76</v>
      </c>
      <c r="C341" s="3"/>
      <c r="D341" s="3"/>
      <c r="E341" s="3"/>
      <c r="F341" s="3"/>
      <c r="G341" s="3"/>
      <c r="H341" s="1342" t="s">
        <v>2672</v>
      </c>
      <c r="I341" s="1342"/>
      <c r="J341" s="1342"/>
      <c r="K341" s="1342"/>
      <c r="L341" s="1342"/>
      <c r="M341" s="1342"/>
      <c r="N341" s="1340"/>
      <c r="O341" s="1340"/>
      <c r="P341" s="1340"/>
      <c r="Q341" s="1340"/>
      <c r="R341" s="1340"/>
      <c r="S341" s="3"/>
      <c r="T341" s="3" t="s">
        <v>76</v>
      </c>
      <c r="V341" s="3"/>
      <c r="W341" s="3"/>
      <c r="X341" s="3"/>
      <c r="Y341" s="3"/>
      <c r="AA341" s="1342" t="s">
        <v>2677</v>
      </c>
      <c r="AB341" s="1342"/>
      <c r="AC341" s="1342"/>
      <c r="AD341" s="1342"/>
      <c r="AE341" s="1342"/>
      <c r="AF341" s="1342"/>
      <c r="AG341" s="1340"/>
      <c r="AH341" s="1340"/>
      <c r="AI341" s="1340"/>
      <c r="AJ341" s="1340"/>
      <c r="AK341" s="134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40"/>
      <c r="Q343" s="1340"/>
      <c r="R343" s="1340"/>
      <c r="S343" s="1340"/>
      <c r="T343" s="1340"/>
      <c r="U343" s="1340"/>
      <c r="V343" s="1340"/>
      <c r="W343" s="1340"/>
      <c r="X343" s="1340"/>
      <c r="Y343" s="1340"/>
      <c r="Z343" s="1340"/>
      <c r="AA343" s="1340"/>
      <c r="AB343" s="1340"/>
      <c r="AC343" s="1340"/>
      <c r="AD343" s="1340"/>
      <c r="AE343" s="1340"/>
      <c r="BN343" t="s">
        <v>670</v>
      </c>
    </row>
    <row r="344" spans="1:66" ht="12.95" customHeight="1">
      <c r="B344" s="4"/>
      <c r="C344" s="4"/>
      <c r="D344" s="4"/>
      <c r="E344" s="4"/>
      <c r="F344" s="4"/>
      <c r="I344" s="4" t="s">
        <v>472</v>
      </c>
      <c r="P344" s="1342"/>
      <c r="Q344" s="1342"/>
      <c r="R344" s="1342"/>
      <c r="S344" s="1342"/>
      <c r="T344" s="1342"/>
      <c r="U344" s="1342"/>
      <c r="V344" s="1342"/>
      <c r="W344" s="1342"/>
      <c r="X344" s="1342"/>
      <c r="Y344" s="1342"/>
      <c r="Z344" s="1342"/>
      <c r="AA344" s="1342"/>
      <c r="AB344" s="1342"/>
      <c r="AC344" s="1342"/>
      <c r="AD344" s="1342"/>
      <c r="AE344" s="1342"/>
      <c r="BN344" t="s">
        <v>546</v>
      </c>
    </row>
    <row r="345" spans="1:66" ht="12.95" customHeight="1">
      <c r="B345" s="4"/>
      <c r="C345" s="4"/>
      <c r="D345" s="4"/>
      <c r="E345" s="4"/>
      <c r="F345" s="4"/>
      <c r="I345" s="4" t="s">
        <v>75</v>
      </c>
      <c r="P345" s="1342"/>
      <c r="Q345" s="1342"/>
      <c r="R345" s="1342"/>
      <c r="S345" s="1342"/>
      <c r="T345" s="1342"/>
      <c r="U345" s="1342"/>
      <c r="V345" s="1342"/>
      <c r="W345" s="1342"/>
      <c r="X345" s="1342"/>
      <c r="Y345" s="1342"/>
      <c r="Z345" s="1342"/>
      <c r="AA345" s="1342"/>
      <c r="AB345" s="1342"/>
      <c r="AC345" s="1342"/>
      <c r="AD345" s="1342"/>
      <c r="AE345" s="1342"/>
    </row>
    <row r="346" spans="1:66" ht="12.95" customHeight="1">
      <c r="B346" s="4"/>
      <c r="C346" s="4"/>
      <c r="D346" s="4"/>
      <c r="E346" s="4"/>
      <c r="F346" s="4"/>
      <c r="G346" s="4"/>
      <c r="I346" s="4" t="s">
        <v>87</v>
      </c>
      <c r="P346" s="1342"/>
      <c r="Q346" s="1342"/>
      <c r="R346" s="1342"/>
      <c r="S346" s="1342"/>
      <c r="T346" s="1342"/>
      <c r="U346" s="1342"/>
      <c r="V346" s="1342"/>
      <c r="W346" s="1342"/>
      <c r="X346" s="1342"/>
      <c r="Y346" s="1342"/>
      <c r="Z346" s="1342"/>
      <c r="AA346" s="1342"/>
      <c r="AB346" s="1342"/>
      <c r="AC346" s="1342"/>
      <c r="AD346" s="1342"/>
      <c r="AE346" s="1342"/>
    </row>
    <row r="347" spans="1:66" ht="12.95" customHeight="1">
      <c r="B347" s="4"/>
      <c r="C347" s="4"/>
      <c r="D347" s="4"/>
      <c r="E347" s="4"/>
      <c r="F347" s="4"/>
      <c r="G347" s="4"/>
      <c r="H347" s="302"/>
      <c r="I347" s="4" t="s">
        <v>88</v>
      </c>
      <c r="P347" s="1495"/>
      <c r="Q347" s="1495"/>
      <c r="R347" s="1495"/>
      <c r="S347" s="1495"/>
      <c r="T347" s="1495"/>
      <c r="U347" s="1495"/>
      <c r="V347" s="1495"/>
      <c r="W347" s="1495"/>
      <c r="X347" s="1495"/>
      <c r="Y347" s="1495"/>
      <c r="Z347" s="1495"/>
      <c r="AA347" s="4" t="s">
        <v>206</v>
      </c>
      <c r="AB347" s="4"/>
      <c r="AC347" s="1429"/>
      <c r="AD347" s="1429"/>
      <c r="AE347" s="1429"/>
      <c r="AF347" s="302"/>
      <c r="AG347" s="4"/>
      <c r="AH347" s="4"/>
      <c r="AI347" s="4"/>
      <c r="AJ347" s="4"/>
      <c r="AK347" s="4"/>
    </row>
    <row r="348" spans="1:66" ht="12.95" customHeight="1">
      <c r="B348" s="4"/>
      <c r="C348" s="4"/>
      <c r="D348" s="4"/>
      <c r="E348" s="4"/>
      <c r="F348" s="4"/>
      <c r="G348" s="4"/>
      <c r="H348" s="302"/>
      <c r="I348" s="4" t="s">
        <v>89</v>
      </c>
      <c r="P348" s="1495"/>
      <c r="Q348" s="1495"/>
      <c r="R348" s="1495"/>
      <c r="S348" s="1495"/>
      <c r="T348" s="1495"/>
      <c r="U348" s="1495"/>
      <c r="V348" s="1495"/>
      <c r="W348" s="1495"/>
      <c r="X348" s="1495"/>
      <c r="Y348" s="1495"/>
      <c r="Z348" s="1495"/>
      <c r="AF348" s="302"/>
      <c r="AG348" s="4"/>
      <c r="AH348" s="4"/>
      <c r="AI348" s="35"/>
      <c r="AJ348" s="35"/>
      <c r="AK348" s="35"/>
    </row>
    <row r="349" spans="1:66" ht="12.95" customHeight="1">
      <c r="B349" s="4"/>
      <c r="C349" s="4"/>
      <c r="D349" s="4"/>
      <c r="E349" s="4"/>
      <c r="F349" s="4"/>
      <c r="G349" s="4"/>
      <c r="I349" s="4" t="s">
        <v>76</v>
      </c>
      <c r="P349" s="1340"/>
      <c r="Q349" s="1340"/>
      <c r="R349" s="1340"/>
      <c r="S349" s="1340"/>
      <c r="T349" s="1340"/>
      <c r="U349" s="1340"/>
      <c r="V349" s="1340"/>
      <c r="W349" s="1340"/>
      <c r="X349" s="1340"/>
      <c r="Y349" s="1340"/>
      <c r="Z349" s="1340"/>
      <c r="AA349" s="1340"/>
      <c r="AB349" s="1340"/>
      <c r="AC349" s="1340"/>
      <c r="AD349" s="1340"/>
      <c r="AE349" s="1340"/>
    </row>
    <row r="350" spans="1:66" ht="12.95" customHeight="1">
      <c r="T350" s="8"/>
      <c r="U350" s="8"/>
      <c r="V350" s="8"/>
      <c r="W350" s="8"/>
      <c r="X350" s="8"/>
      <c r="Y350" s="8"/>
      <c r="Z350" s="8"/>
      <c r="AU350" s="95"/>
      <c r="AV350" s="95"/>
      <c r="AW350" s="95"/>
      <c r="AX350" s="95"/>
      <c r="AY350" s="95"/>
    </row>
    <row r="351" spans="1:66" ht="12.95" customHeight="1">
      <c r="A351" s="1554" t="s">
        <v>543</v>
      </c>
      <c r="B351" s="1554"/>
      <c r="C351" s="1554"/>
      <c r="D351" s="1554"/>
      <c r="E351" s="1554"/>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554"/>
      <c r="AM351" s="1554"/>
      <c r="AN351" s="1554"/>
      <c r="AO351" s="1554"/>
      <c r="AP351" s="1554"/>
      <c r="AQ351" s="1554"/>
      <c r="AR351" s="1554"/>
      <c r="AS351" s="1554"/>
      <c r="AT351" s="1554"/>
      <c r="AU351" s="95"/>
      <c r="AV351" s="95"/>
      <c r="AW351" s="95"/>
      <c r="AX351" s="95"/>
      <c r="AY351" s="95"/>
    </row>
    <row r="352" spans="1:66" ht="12.95" customHeight="1">
      <c r="A352" s="1554"/>
      <c r="B352" s="1554"/>
      <c r="C352" s="1554"/>
      <c r="D352" s="1554"/>
      <c r="E352" s="1554"/>
      <c r="F352" s="1554"/>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554"/>
      <c r="AM352" s="1554"/>
      <c r="AN352" s="1554"/>
      <c r="AO352" s="1554"/>
      <c r="AP352" s="1554"/>
      <c r="AQ352" s="1554"/>
      <c r="AR352" s="1554"/>
      <c r="AS352" s="1554"/>
      <c r="AT352" s="15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20" t="s">
        <v>546</v>
      </c>
      <c r="N355" s="1420"/>
      <c r="P355" t="s">
        <v>1651</v>
      </c>
      <c r="AJ355" s="1420" t="s">
        <v>592</v>
      </c>
      <c r="AK355" s="1420"/>
    </row>
    <row r="356" spans="1:46" ht="12.95" customHeight="1">
      <c r="D356" s="3" t="s">
        <v>1640</v>
      </c>
      <c r="M356" s="1420" t="s">
        <v>592</v>
      </c>
      <c r="N356" s="1420"/>
      <c r="P356" s="3" t="s">
        <v>1720</v>
      </c>
      <c r="AJ356" s="1453"/>
      <c r="AK356" s="1453"/>
    </row>
    <row r="357" spans="1:46" ht="12.95" customHeight="1">
      <c r="D357" s="3" t="s">
        <v>705</v>
      </c>
      <c r="M357" s="1420" t="s">
        <v>592</v>
      </c>
      <c r="N357" s="1420"/>
      <c r="P357" t="s">
        <v>1650</v>
      </c>
      <c r="AJ357" s="1420" t="s">
        <v>592</v>
      </c>
      <c r="AK357" s="1420"/>
    </row>
    <row r="358" spans="1:46" ht="12.95" customHeight="1">
      <c r="D358" s="3" t="s">
        <v>706</v>
      </c>
      <c r="M358" s="1420" t="s">
        <v>592</v>
      </c>
      <c r="N358" s="1420"/>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592</v>
      </c>
      <c r="O363" s="1420"/>
      <c r="P363" s="40"/>
      <c r="Q363" s="40"/>
      <c r="R363" s="40"/>
      <c r="S363" s="40"/>
      <c r="T363" s="40"/>
      <c r="U363" s="40"/>
      <c r="V363" s="40"/>
      <c r="W363" s="40"/>
      <c r="X363" s="40"/>
      <c r="Y363" s="40"/>
      <c r="Z363" s="40"/>
      <c r="AC363" s="40"/>
      <c r="AD363" s="40"/>
      <c r="AE363" s="40"/>
    </row>
    <row r="364" spans="1:46" ht="12.95" customHeight="1">
      <c r="E364" t="s">
        <v>370</v>
      </c>
      <c r="Y364" s="1420" t="s">
        <v>592</v>
      </c>
      <c r="Z364" s="1420"/>
    </row>
    <row r="365" spans="1:46" ht="12.95" customHeight="1">
      <c r="D365" s="4" t="s">
        <v>979</v>
      </c>
      <c r="Q365" s="1340"/>
      <c r="R365" s="1340"/>
      <c r="S365" s="1340"/>
      <c r="T365" s="1340"/>
      <c r="U365" s="1340"/>
      <c r="V365" s="1340"/>
      <c r="W365" s="1340"/>
      <c r="X365" s="1340"/>
      <c r="Y365" s="1340"/>
      <c r="Z365" s="1340"/>
      <c r="AA365" s="1340"/>
      <c r="AB365" s="1340"/>
      <c r="AC365" s="1340"/>
      <c r="AD365" s="1340"/>
      <c r="AE365" s="1340"/>
      <c r="AF365" s="1340"/>
      <c r="AG365" s="134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0" t="s">
        <v>592</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18" t="s">
        <v>707</v>
      </c>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row>
    <row r="369" spans="1:34" ht="12.95" customHeight="1">
      <c r="E369" s="1518"/>
      <c r="F369" s="1518"/>
      <c r="G369" s="1518"/>
      <c r="H369" s="1518"/>
      <c r="I369" s="1518"/>
      <c r="J369" s="1518"/>
      <c r="K369" s="1518"/>
      <c r="L369" s="1518"/>
      <c r="M369" s="1518"/>
      <c r="N369" s="1518"/>
      <c r="O369" s="1518"/>
      <c r="P369" s="1518"/>
      <c r="Q369" s="1518"/>
      <c r="R369" s="1518"/>
      <c r="S369" s="1518"/>
      <c r="T369" s="1518"/>
      <c r="U369" s="1518"/>
      <c r="V369" s="1518"/>
      <c r="W369" s="1518"/>
      <c r="X369" s="1518"/>
      <c r="Y369" s="1518"/>
      <c r="Z369" s="1518"/>
      <c r="AA369" s="1518"/>
      <c r="AB369" s="1518"/>
      <c r="AC369" s="1518"/>
      <c r="AD369" s="1518"/>
      <c r="AE369" s="1518"/>
      <c r="AF369" s="1518"/>
      <c r="AG369" s="1518"/>
      <c r="AH369" s="1518"/>
    </row>
    <row r="370" spans="1:34" ht="12.95" customHeight="1">
      <c r="E370" s="4" t="s">
        <v>449</v>
      </c>
      <c r="F370" s="4"/>
      <c r="G370" s="4"/>
      <c r="H370" s="4"/>
      <c r="I370" s="4"/>
      <c r="J370" s="4"/>
      <c r="K370" s="4"/>
      <c r="L370" s="4"/>
      <c r="N370" s="1396"/>
      <c r="O370" s="1396"/>
      <c r="P370" s="1396"/>
      <c r="Q370" s="1396"/>
      <c r="R370" s="4"/>
      <c r="U370" s="4" t="s">
        <v>450</v>
      </c>
      <c r="V370" s="4"/>
      <c r="W370" s="4"/>
      <c r="X370" s="4"/>
      <c r="Y370" s="4"/>
      <c r="Z370" s="4"/>
      <c r="AA370" s="4"/>
      <c r="AB370" s="4"/>
      <c r="AC370" s="1396"/>
      <c r="AD370" s="1396"/>
      <c r="AE370" s="1396"/>
      <c r="AF370" s="1396"/>
    </row>
    <row r="371" spans="1:34" ht="12.95" customHeight="1">
      <c r="E371" s="4" t="s">
        <v>451</v>
      </c>
      <c r="F371" s="4"/>
      <c r="G371" s="4"/>
      <c r="H371" s="4"/>
      <c r="I371" s="4"/>
      <c r="J371" s="4"/>
      <c r="K371" s="4"/>
      <c r="L371" s="4"/>
      <c r="N371" s="1396"/>
      <c r="O371" s="1396"/>
      <c r="P371" s="1396"/>
      <c r="Q371" s="1396"/>
      <c r="R371" s="4"/>
      <c r="U371" s="4" t="s">
        <v>0</v>
      </c>
      <c r="V371" s="4"/>
      <c r="W371" s="4"/>
      <c r="X371" s="4"/>
      <c r="Y371" s="4"/>
      <c r="Z371" s="4"/>
      <c r="AA371" s="4"/>
      <c r="AB371" s="4"/>
      <c r="AC371" s="1396"/>
      <c r="AD371" s="1396"/>
      <c r="AE371" s="1396"/>
      <c r="AF371" s="1396"/>
    </row>
    <row r="372" spans="1:34" ht="12.95" customHeight="1">
      <c r="E372" s="4" t="s">
        <v>1</v>
      </c>
      <c r="F372" s="4"/>
      <c r="G372" s="4"/>
      <c r="H372" s="4"/>
      <c r="I372" s="4"/>
      <c r="J372" s="4"/>
      <c r="K372" s="4"/>
      <c r="L372" s="4"/>
      <c r="N372" s="1396"/>
      <c r="O372" s="1396"/>
      <c r="P372" s="1396"/>
      <c r="Q372" s="1396"/>
      <c r="R372" s="4"/>
      <c r="V372" s="4"/>
      <c r="W372" s="4"/>
      <c r="X372" s="4"/>
      <c r="Y372" s="4"/>
      <c r="Z372" s="4"/>
      <c r="AA372" s="4"/>
      <c r="AB372" s="4"/>
    </row>
    <row r="373" spans="1:34" ht="12.95" customHeight="1">
      <c r="E373" s="4" t="s">
        <v>2</v>
      </c>
      <c r="F373" s="4"/>
      <c r="G373" s="4"/>
      <c r="H373" s="4"/>
      <c r="I373" s="4"/>
      <c r="J373" s="4"/>
      <c r="K373" s="4"/>
      <c r="L373" s="4"/>
      <c r="N373" s="1544"/>
      <c r="O373" s="1544"/>
      <c r="P373" s="1544"/>
      <c r="Q373" s="1544"/>
      <c r="R373" s="1544"/>
      <c r="S373" s="1544"/>
      <c r="T373" s="1544"/>
      <c r="U373" s="1544"/>
      <c r="V373" s="1544"/>
      <c r="W373" s="1544"/>
      <c r="X373" s="1544"/>
      <c r="Y373" s="1544"/>
      <c r="Z373" s="1544"/>
      <c r="AA373" s="1544"/>
      <c r="AB373" s="1544"/>
      <c r="AC373" s="1544"/>
      <c r="AD373" s="1544"/>
      <c r="AE373" s="1544"/>
      <c r="AF373" s="1544"/>
    </row>
    <row r="374" spans="1:34" ht="12.95" customHeight="1">
      <c r="E374" s="4"/>
      <c r="F374" s="4"/>
      <c r="G374" s="4"/>
      <c r="H374" s="4"/>
      <c r="I374" s="4"/>
      <c r="J374" s="4"/>
      <c r="K374" s="4"/>
      <c r="L374" s="4"/>
      <c r="N374" s="1545"/>
      <c r="O374" s="1545"/>
      <c r="P374" s="1545"/>
      <c r="Q374" s="1545"/>
      <c r="R374" s="1545"/>
      <c r="S374" s="1545"/>
      <c r="T374" s="1545"/>
      <c r="U374" s="1545"/>
      <c r="V374" s="1545"/>
      <c r="W374" s="1545"/>
      <c r="X374" s="1545"/>
      <c r="Y374" s="1545"/>
      <c r="Z374" s="1545"/>
      <c r="AA374" s="1545"/>
      <c r="AB374" s="1545"/>
      <c r="AC374" s="1545"/>
      <c r="AD374" s="1545"/>
      <c r="AE374" s="1545"/>
      <c r="AF374" s="154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502"/>
      <c r="T377" s="1502"/>
      <c r="U377" s="1" t="s">
        <v>306</v>
      </c>
      <c r="V377" s="1502"/>
      <c r="W377" s="1502"/>
      <c r="Y377" t="s">
        <v>2080</v>
      </c>
      <c r="AC377" s="27" t="s">
        <v>305</v>
      </c>
      <c r="AD377" s="1502"/>
      <c r="AE377" s="1502"/>
      <c r="AF377" s="1" t="s">
        <v>306</v>
      </c>
      <c r="AG377" s="1502"/>
      <c r="AH377" s="1502"/>
    </row>
    <row r="378" spans="1:34" ht="12.95" customHeight="1">
      <c r="E378" s="4" t="s">
        <v>988</v>
      </c>
      <c r="F378" s="4"/>
      <c r="G378" s="4"/>
      <c r="H378" s="4"/>
      <c r="I378" s="4"/>
      <c r="J378" s="4"/>
      <c r="K378" s="4"/>
      <c r="L378" s="4"/>
      <c r="N378" s="1502"/>
      <c r="O378" s="1502"/>
      <c r="P378" s="1502"/>
    </row>
    <row r="379" spans="1:34" ht="12.95" customHeight="1">
      <c r="E379" s="204" t="s">
        <v>2086</v>
      </c>
      <c r="F379" s="4"/>
      <c r="G379" s="4"/>
      <c r="H379" s="4"/>
      <c r="I379" s="4"/>
      <c r="J379" s="4"/>
      <c r="K379" s="4"/>
      <c r="L379" s="4"/>
      <c r="AG379" s="1525" t="s">
        <v>592</v>
      </c>
      <c r="AH379" s="1525"/>
    </row>
    <row r="380" spans="1:34" ht="12.95" customHeight="1">
      <c r="E380" s="4"/>
      <c r="F380" s="4"/>
      <c r="G380" s="4" t="s">
        <v>2087</v>
      </c>
      <c r="H380" s="4"/>
      <c r="I380" s="4"/>
      <c r="J380" s="4"/>
      <c r="K380" s="4"/>
      <c r="L380" s="4"/>
      <c r="AG380" s="1525" t="s">
        <v>592</v>
      </c>
      <c r="AH380" s="1525"/>
    </row>
    <row r="381" spans="1:34" ht="12.95" customHeight="1">
      <c r="E381" s="4"/>
      <c r="F381" s="4"/>
      <c r="G381" s="320" t="s">
        <v>989</v>
      </c>
      <c r="H381" s="4"/>
      <c r="I381" s="4"/>
      <c r="J381" s="4"/>
      <c r="K381" s="4"/>
      <c r="L381" s="4"/>
      <c r="V381" s="1420" t="s">
        <v>592</v>
      </c>
      <c r="W381" s="1420"/>
      <c r="Y381" s="22" t="s">
        <v>981</v>
      </c>
    </row>
    <row r="382" spans="1:34" ht="12.95" customHeight="1">
      <c r="E382" s="4" t="s">
        <v>982</v>
      </c>
      <c r="F382" s="4"/>
      <c r="G382" s="4"/>
      <c r="H382" s="4"/>
      <c r="I382" s="4"/>
      <c r="J382" s="4"/>
      <c r="K382" s="4"/>
      <c r="L382" s="4"/>
      <c r="V382" s="1420" t="s">
        <v>592</v>
      </c>
      <c r="W382" s="1420"/>
      <c r="Y382" s="4" t="s">
        <v>983</v>
      </c>
    </row>
    <row r="383" spans="1:34" ht="12.95" customHeight="1"/>
    <row r="384" spans="1:34" ht="12.95" customHeight="1">
      <c r="A384" s="2" t="s">
        <v>78</v>
      </c>
      <c r="B384" s="2"/>
    </row>
    <row r="385" spans="4:36" ht="12.95" customHeight="1">
      <c r="D385" t="s">
        <v>428</v>
      </c>
      <c r="J385" s="1340" t="s">
        <v>2746</v>
      </c>
      <c r="K385" s="1340"/>
      <c r="L385" s="1340"/>
      <c r="M385" s="1340"/>
      <c r="N385" s="1340"/>
      <c r="O385" s="1340"/>
      <c r="P385" s="1340"/>
      <c r="Q385" s="1340"/>
      <c r="R385" s="1340"/>
      <c r="S385" s="1340"/>
      <c r="T385" s="1340"/>
      <c r="U385" s="1340"/>
      <c r="V385" s="8" t="s">
        <v>83</v>
      </c>
      <c r="W385" s="8"/>
      <c r="X385" s="8"/>
      <c r="Y385" s="8"/>
      <c r="Z385" s="8"/>
      <c r="AA385" s="8"/>
      <c r="AB385" s="8"/>
      <c r="AC385" s="1340" t="s">
        <v>2747</v>
      </c>
      <c r="AD385" s="1340"/>
      <c r="AE385" s="1340"/>
      <c r="AF385" s="1340"/>
      <c r="AG385" s="1340"/>
      <c r="AH385" s="1340"/>
      <c r="AI385" s="1340"/>
      <c r="AJ385" s="1340"/>
    </row>
    <row r="386" spans="4:36" ht="12.95" customHeight="1">
      <c r="D386" s="3" t="s">
        <v>1183</v>
      </c>
      <c r="J386" s="1342" t="s">
        <v>592</v>
      </c>
      <c r="K386" s="1342"/>
      <c r="L386" s="1342"/>
      <c r="M386" s="1342"/>
      <c r="N386" s="1342"/>
      <c r="O386" s="1342"/>
      <c r="P386" s="1342"/>
      <c r="Q386" s="1342"/>
      <c r="R386" s="1342"/>
      <c r="S386" s="1342"/>
      <c r="T386" s="1342"/>
      <c r="U386" s="1342"/>
      <c r="V386" s="3" t="s">
        <v>1183</v>
      </c>
      <c r="W386" s="8"/>
      <c r="X386" s="8"/>
      <c r="Y386" s="8"/>
      <c r="Z386" s="8"/>
      <c r="AA386" s="8"/>
      <c r="AB386" s="8"/>
      <c r="AC386" s="1340" t="s">
        <v>592</v>
      </c>
      <c r="AD386" s="1340"/>
      <c r="AE386" s="1340"/>
      <c r="AF386" s="1340"/>
      <c r="AG386" s="1340"/>
      <c r="AH386" s="1340"/>
      <c r="AI386" s="1340"/>
      <c r="AJ386" s="1340"/>
    </row>
    <row r="387" spans="4:36" ht="12.95" customHeight="1">
      <c r="D387" s="3" t="s">
        <v>442</v>
      </c>
      <c r="J387" s="1342" t="s">
        <v>592</v>
      </c>
      <c r="K387" s="1342"/>
      <c r="L387" s="1342"/>
      <c r="M387" s="1342"/>
      <c r="N387" s="1342"/>
      <c r="O387" s="1342"/>
      <c r="P387" s="1342"/>
      <c r="Q387" s="1342"/>
      <c r="R387" s="1342"/>
      <c r="S387" s="1342"/>
      <c r="T387" s="1342"/>
      <c r="U387" s="1342"/>
      <c r="V387" s="3" t="s">
        <v>442</v>
      </c>
      <c r="W387" s="8"/>
      <c r="X387" s="8"/>
      <c r="Y387" s="8"/>
      <c r="Z387" s="8"/>
      <c r="AA387" s="8"/>
      <c r="AB387" s="8"/>
      <c r="AC387" s="1339" t="s">
        <v>2748</v>
      </c>
      <c r="AD387" s="1340"/>
      <c r="AE387" s="1340"/>
      <c r="AF387" s="1340"/>
      <c r="AG387" s="1340"/>
      <c r="AH387" s="1340"/>
      <c r="AI387" s="1340"/>
      <c r="AJ387" s="1340"/>
    </row>
    <row r="388" spans="4:36" ht="12.95" customHeight="1">
      <c r="D388" t="s">
        <v>1179</v>
      </c>
      <c r="J388" s="1504" t="s">
        <v>2749</v>
      </c>
      <c r="K388" s="1437"/>
      <c r="L388" s="1437"/>
      <c r="M388" s="1437"/>
      <c r="N388" s="1437"/>
      <c r="O388" s="1437"/>
      <c r="P388" s="1437"/>
      <c r="Q388" s="1437"/>
      <c r="R388" s="1437"/>
      <c r="S388" s="1437"/>
      <c r="T388" s="1437"/>
      <c r="U388" s="1437"/>
      <c r="V388" s="1340">
        <v>95605</v>
      </c>
      <c r="W388" s="1340"/>
      <c r="X388" s="1340"/>
      <c r="Y388" s="1340"/>
      <c r="Z388" s="1340"/>
      <c r="AA388" s="1340"/>
      <c r="AB388" s="1340"/>
      <c r="AC388" s="1340"/>
      <c r="AD388" s="1340"/>
      <c r="AE388" s="1340"/>
      <c r="AF388" s="1340"/>
      <c r="AG388" s="1340"/>
      <c r="AH388" s="1340"/>
      <c r="AI388" s="1340"/>
      <c r="AJ388" s="1340"/>
    </row>
    <row r="389" spans="4:36" ht="12.95" customHeight="1">
      <c r="D389" t="s">
        <v>4</v>
      </c>
      <c r="Q389" s="1605">
        <v>44705</v>
      </c>
      <c r="R389" s="1605"/>
      <c r="S389" s="1605"/>
      <c r="T389" s="1605"/>
      <c r="U389" s="1605"/>
      <c r="V389" t="s">
        <v>309</v>
      </c>
      <c r="AI389" s="1420" t="s">
        <v>670</v>
      </c>
      <c r="AJ389" s="1420"/>
    </row>
    <row r="390" spans="4:36" ht="12.95" customHeight="1">
      <c r="D390" t="s">
        <v>5</v>
      </c>
      <c r="Q390" s="1539">
        <v>46165</v>
      </c>
      <c r="R390" s="1540"/>
      <c r="S390" s="1540"/>
      <c r="T390" s="1540"/>
      <c r="U390" s="1540"/>
      <c r="W390" s="21" t="s">
        <v>74</v>
      </c>
      <c r="AG390" s="1459"/>
      <c r="AH390" s="1459"/>
      <c r="AI390" s="1459"/>
      <c r="AJ390" s="1459"/>
    </row>
    <row r="391" spans="4:36" ht="12.95" customHeight="1">
      <c r="D391" t="s">
        <v>427</v>
      </c>
      <c r="Q391" s="1460" t="s">
        <v>592</v>
      </c>
      <c r="R391" s="1461"/>
      <c r="S391" s="1461"/>
      <c r="T391" s="1461"/>
      <c r="U391" s="1461"/>
      <c r="V391" s="3" t="s">
        <v>1182</v>
      </c>
      <c r="AG391" s="1536">
        <v>46157</v>
      </c>
      <c r="AH391" s="1537"/>
      <c r="AI391" s="1537"/>
      <c r="AJ391" s="1537"/>
    </row>
    <row r="392" spans="4:36" ht="12.95" customHeight="1">
      <c r="D392" t="s">
        <v>88</v>
      </c>
      <c r="I392" s="1562"/>
      <c r="J392" s="1562"/>
      <c r="K392" s="1562"/>
      <c r="L392" s="1562"/>
      <c r="M392" s="1562"/>
      <c r="N392" s="1562"/>
      <c r="Q392" s="4" t="s">
        <v>206</v>
      </c>
      <c r="S392" s="1458"/>
      <c r="T392" s="1458"/>
      <c r="U392" s="1458"/>
      <c r="V392" t="s">
        <v>73</v>
      </c>
      <c r="AI392" s="1420" t="s">
        <v>670</v>
      </c>
      <c r="AJ392" s="1420"/>
    </row>
    <row r="393" spans="4:36" ht="12.95" customHeight="1">
      <c r="D393" t="s">
        <v>310</v>
      </c>
      <c r="Q393" s="1542"/>
      <c r="R393" s="1542"/>
      <c r="S393" s="1542"/>
      <c r="T393" s="1542"/>
      <c r="U393" s="1542"/>
      <c r="V393" t="s">
        <v>311</v>
      </c>
      <c r="AG393" s="1459"/>
      <c r="AH393" s="1459"/>
      <c r="AI393" s="1459"/>
      <c r="AJ393" s="1459"/>
    </row>
    <row r="394" spans="4:36" ht="12.95" customHeight="1">
      <c r="D394" t="s">
        <v>312</v>
      </c>
      <c r="Q394" s="1598"/>
      <c r="R394" s="1598"/>
      <c r="S394" s="1598"/>
      <c r="T394" s="1598"/>
      <c r="U394" s="1598"/>
      <c r="V394" t="s">
        <v>1164</v>
      </c>
      <c r="AG394" s="1459"/>
      <c r="AH394" s="1459"/>
      <c r="AI394" s="1459"/>
      <c r="AJ394" s="1459"/>
    </row>
    <row r="395" spans="4:36" ht="12.95" customHeight="1">
      <c r="D395" t="s">
        <v>1163</v>
      </c>
      <c r="AG395" s="1459"/>
      <c r="AH395" s="1459"/>
      <c r="AI395" s="1459"/>
      <c r="AJ395" s="1459"/>
    </row>
    <row r="396" spans="4:36" ht="12.95" customHeight="1">
      <c r="AG396" s="456"/>
      <c r="AH396" s="456"/>
      <c r="AI396" s="456"/>
      <c r="AJ396" s="456"/>
    </row>
    <row r="397" spans="4:36" ht="12.95" customHeight="1">
      <c r="D397" s="3" t="s">
        <v>2143</v>
      </c>
      <c r="AG397" s="456"/>
      <c r="AH397" s="456"/>
      <c r="AI397" s="1420" t="s">
        <v>670</v>
      </c>
      <c r="AJ397" s="1420"/>
    </row>
    <row r="398" spans="4:36" ht="12.95" customHeight="1">
      <c r="D398" s="3" t="s">
        <v>1668</v>
      </c>
      <c r="T398" s="1477"/>
      <c r="U398" s="1477"/>
      <c r="V398" s="1477"/>
      <c r="W398" s="1477"/>
      <c r="X398" s="1477"/>
      <c r="Y398" s="1477"/>
      <c r="Z398" s="1477"/>
      <c r="AA398" s="1477"/>
      <c r="AB398" s="1477"/>
      <c r="AC398" s="1477"/>
      <c r="AD398" s="1477"/>
      <c r="AE398" s="1477"/>
      <c r="AF398" s="1477"/>
      <c r="AG398" s="1477"/>
      <c r="AH398" s="1477"/>
      <c r="AI398" s="1477"/>
      <c r="AJ398" s="1477"/>
    </row>
    <row r="399" spans="4:36" ht="12.95" customHeight="1">
      <c r="D399" s="3" t="s">
        <v>1667</v>
      </c>
      <c r="T399" s="1477"/>
      <c r="U399" s="1477"/>
      <c r="V399" s="1477"/>
      <c r="W399" s="1477"/>
      <c r="X399" s="1477"/>
      <c r="Y399" s="1477"/>
      <c r="Z399" s="1477"/>
      <c r="AA399" s="1477"/>
      <c r="AB399" s="1477"/>
      <c r="AC399" s="1477"/>
      <c r="AD399" s="1477"/>
      <c r="AE399" s="1477"/>
      <c r="AF399" s="1477"/>
      <c r="AG399" s="1477"/>
      <c r="AH399" s="1477"/>
      <c r="AI399" s="1477"/>
      <c r="AJ399" s="1477"/>
    </row>
    <row r="400" spans="4:36" ht="12.95" customHeight="1">
      <c r="AG400" s="456"/>
      <c r="AH400" s="456"/>
      <c r="AI400" s="456"/>
      <c r="AJ400" s="456"/>
    </row>
    <row r="401" spans="1:36" ht="12.95" customHeight="1">
      <c r="D401" s="3" t="s">
        <v>1661</v>
      </c>
      <c r="S401" s="1477" t="s">
        <v>546</v>
      </c>
      <c r="T401" s="1477"/>
      <c r="U401" s="1477"/>
      <c r="V401" t="s">
        <v>1662</v>
      </c>
      <c r="AG401" s="1541">
        <v>99</v>
      </c>
      <c r="AH401" s="1541"/>
      <c r="AI401" s="1541"/>
      <c r="AJ401" s="1541"/>
    </row>
    <row r="402" spans="1:36" ht="12.95" customHeight="1">
      <c r="D402" s="3" t="s">
        <v>1659</v>
      </c>
      <c r="S402" s="1477" t="s">
        <v>546</v>
      </c>
      <c r="T402" s="1477"/>
      <c r="U402" s="1477"/>
      <c r="V402" t="s">
        <v>1664</v>
      </c>
      <c r="AE402" s="1548">
        <v>1</v>
      </c>
      <c r="AF402" s="1548"/>
      <c r="AG402" s="1548"/>
      <c r="AH402" s="1548"/>
      <c r="AI402" s="1548"/>
      <c r="AJ402" s="1548"/>
    </row>
    <row r="403" spans="1:36" ht="12.95" customHeight="1">
      <c r="D403" s="3" t="s">
        <v>1660</v>
      </c>
      <c r="K403" s="1538"/>
      <c r="L403" s="1538"/>
      <c r="M403" s="1538"/>
      <c r="N403" s="1538"/>
      <c r="O403" s="1538"/>
      <c r="P403" s="1538"/>
      <c r="Q403" s="1538"/>
      <c r="R403" s="1538"/>
      <c r="S403" s="1538"/>
      <c r="T403" s="1538"/>
      <c r="U403" s="1538"/>
      <c r="V403" s="1538"/>
      <c r="W403" s="1538"/>
      <c r="X403" s="1538"/>
      <c r="Y403" s="1538"/>
      <c r="Z403" s="1538"/>
      <c r="AA403" s="1538"/>
      <c r="AB403" s="1538"/>
      <c r="AC403" s="1538"/>
      <c r="AD403" s="1538"/>
      <c r="AE403" s="1538"/>
      <c r="AF403" s="1538"/>
      <c r="AG403" s="1538"/>
      <c r="AH403" s="1538"/>
      <c r="AI403" s="1538"/>
      <c r="AJ403" s="1538"/>
    </row>
    <row r="404" spans="1:36" ht="12.95" customHeight="1">
      <c r="D404" s="3" t="s">
        <v>1663</v>
      </c>
      <c r="K404" s="1538" t="s">
        <v>2629</v>
      </c>
      <c r="L404" s="1538"/>
      <c r="M404" s="1538"/>
      <c r="N404" s="1538"/>
      <c r="O404" s="1538"/>
      <c r="P404" s="1538"/>
      <c r="Q404" s="1538"/>
      <c r="R404" s="1538"/>
      <c r="S404" s="1538"/>
      <c r="T404" s="1538"/>
      <c r="U404" s="1538"/>
      <c r="V404" s="1538"/>
      <c r="W404" s="1538"/>
      <c r="X404" s="1538"/>
      <c r="Y404" s="1538"/>
      <c r="Z404" s="1538"/>
      <c r="AA404" s="1538"/>
      <c r="AB404" s="1538"/>
      <c r="AC404" s="1538"/>
      <c r="AD404" s="1538"/>
      <c r="AE404" s="1538"/>
      <c r="AF404" s="1538"/>
      <c r="AG404" s="1538"/>
      <c r="AH404" s="1538"/>
      <c r="AI404" s="1538"/>
      <c r="AJ404" s="1538"/>
    </row>
    <row r="405" spans="1:36" ht="12.95" customHeight="1">
      <c r="D405" s="3" t="s">
        <v>1666</v>
      </c>
      <c r="E405" s="477"/>
      <c r="F405" s="477"/>
      <c r="G405" s="477"/>
      <c r="H405" s="477"/>
      <c r="I405" s="477"/>
      <c r="J405" s="477"/>
      <c r="K405" s="477"/>
      <c r="L405" s="477"/>
      <c r="M405" s="477"/>
      <c r="N405" s="477"/>
      <c r="O405" s="477"/>
      <c r="P405" s="477"/>
      <c r="Q405" s="477"/>
      <c r="R405" s="477"/>
      <c r="S405" s="1524" t="s">
        <v>2630</v>
      </c>
      <c r="T405" s="1524"/>
      <c r="U405" s="1524"/>
      <c r="V405" s="1524"/>
      <c r="W405" s="1524"/>
      <c r="X405" s="1524"/>
      <c r="Y405" s="1524"/>
      <c r="Z405" s="1524"/>
      <c r="AA405" s="1524"/>
      <c r="AB405" s="1524"/>
      <c r="AC405" s="1524"/>
      <c r="AD405" s="1524"/>
      <c r="AE405" s="1524"/>
      <c r="AF405" s="1524"/>
      <c r="AG405" s="1524"/>
      <c r="AH405" s="1524"/>
      <c r="AI405" s="1524"/>
      <c r="AJ405" s="1524"/>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39" t="s">
        <v>2631</v>
      </c>
      <c r="J410" s="1339"/>
      <c r="K410" s="1339"/>
      <c r="L410" s="1339"/>
      <c r="M410" s="1339"/>
      <c r="N410" s="1339"/>
      <c r="O410" s="1339"/>
      <c r="P410" s="1339"/>
      <c r="Q410" s="1339"/>
      <c r="R410" s="1339"/>
      <c r="S410" s="1339"/>
      <c r="T410" s="1339"/>
      <c r="U410" s="1339"/>
      <c r="V410" s="1339"/>
      <c r="W410" s="1339"/>
      <c r="X410" s="1339"/>
      <c r="Y410" s="1339"/>
      <c r="Z410" s="1339"/>
      <c r="AA410" s="1339"/>
      <c r="AB410" s="1339"/>
      <c r="AC410" s="1339"/>
      <c r="AD410" s="1339"/>
      <c r="AE410" s="1339"/>
    </row>
    <row r="411" spans="1:36" ht="12.95" customHeight="1">
      <c r="E411" t="s">
        <v>106</v>
      </c>
      <c r="R411" s="1420" t="s">
        <v>546</v>
      </c>
      <c r="S411" s="1420"/>
      <c r="AC411" s="27" t="s">
        <v>571</v>
      </c>
      <c r="AD411" s="1396">
        <v>6</v>
      </c>
      <c r="AE411" s="1396"/>
    </row>
    <row r="412" spans="1:36" ht="12.95" customHeight="1">
      <c r="E412" t="s">
        <v>107</v>
      </c>
      <c r="R412" s="1420" t="s">
        <v>592</v>
      </c>
      <c r="S412" s="1420"/>
      <c r="AC412" s="27" t="s">
        <v>571</v>
      </c>
      <c r="AD412" s="1396"/>
      <c r="AE412" s="1396"/>
    </row>
    <row r="413" spans="1:36" ht="12.95" customHeight="1">
      <c r="E413" t="s">
        <v>108</v>
      </c>
      <c r="S413" s="1420" t="s">
        <v>592</v>
      </c>
      <c r="T413" s="1420"/>
    </row>
    <row r="414" spans="1:36" ht="12.95" customHeight="1">
      <c r="E414" t="s">
        <v>170</v>
      </c>
      <c r="H414" s="1520" t="s">
        <v>2632</v>
      </c>
      <c r="I414" s="1520"/>
      <c r="J414" s="1520"/>
      <c r="K414" s="1520"/>
      <c r="L414" s="1520"/>
      <c r="M414" s="1520"/>
      <c r="N414" s="1520"/>
      <c r="O414" s="1520"/>
      <c r="P414" s="1520"/>
      <c r="Q414" s="1520"/>
      <c r="R414" s="1520"/>
      <c r="S414" s="1520"/>
      <c r="T414" s="1520"/>
      <c r="U414" s="1520"/>
      <c r="V414" s="1520"/>
      <c r="W414" s="1520"/>
      <c r="X414" s="1520"/>
      <c r="Y414" s="1520"/>
      <c r="Z414" s="1520"/>
      <c r="AA414" s="1520"/>
      <c r="AB414" s="1520"/>
      <c r="AC414" s="1520"/>
      <c r="AD414" s="1520"/>
      <c r="AE414" s="1520"/>
    </row>
    <row r="415" spans="1:36" ht="12.95" customHeight="1">
      <c r="H415" s="1521"/>
      <c r="I415" s="1521"/>
      <c r="J415" s="1521"/>
      <c r="K415" s="1521"/>
      <c r="L415" s="1521"/>
      <c r="M415" s="1521"/>
      <c r="N415" s="1521"/>
      <c r="O415" s="1521"/>
      <c r="P415" s="1521"/>
      <c r="Q415" s="1521"/>
      <c r="R415" s="1521"/>
      <c r="S415" s="1521"/>
      <c r="T415" s="1521"/>
      <c r="U415" s="1521"/>
      <c r="V415" s="1521"/>
      <c r="W415" s="1521"/>
      <c r="X415" s="1521"/>
      <c r="Y415" s="1521"/>
      <c r="Z415" s="1521"/>
      <c r="AA415" s="1521"/>
      <c r="AB415" s="1521"/>
      <c r="AC415" s="1521"/>
      <c r="AD415" s="1521"/>
      <c r="AE415" s="1521"/>
    </row>
    <row r="416" spans="1:36" ht="12.95" customHeight="1"/>
    <row r="417" spans="1:39" ht="12.95" customHeight="1">
      <c r="A417" s="2" t="s">
        <v>591</v>
      </c>
      <c r="B417" s="2"/>
      <c r="C417" s="2"/>
      <c r="D417" s="2" t="s">
        <v>114</v>
      </c>
      <c r="AF417" s="2" t="s">
        <v>958</v>
      </c>
    </row>
    <row r="418" spans="1:39" ht="12.95" customHeight="1">
      <c r="E418" s="1502"/>
      <c r="F418" s="1502"/>
      <c r="G418" s="1502"/>
      <c r="H418" s="13" t="s">
        <v>115</v>
      </c>
      <c r="I418" s="1502"/>
      <c r="J418" s="1502"/>
      <c r="K418" s="1502"/>
      <c r="L418" t="s">
        <v>116</v>
      </c>
      <c r="N418" s="27" t="s">
        <v>576</v>
      </c>
      <c r="P418" s="1600">
        <v>4.0999999999999996</v>
      </c>
      <c r="Q418" s="1600"/>
      <c r="R418" s="1600"/>
      <c r="S418" t="s">
        <v>117</v>
      </c>
      <c r="W418" s="1523">
        <f>IF(E418&gt;0,(E418*I418),(P418*43560))</f>
        <v>178595.99999999997</v>
      </c>
      <c r="X418" s="1523"/>
      <c r="Y418" s="1523"/>
      <c r="Z418" t="s">
        <v>118</v>
      </c>
      <c r="AF418" s="1535">
        <f>IFERROR(IF(P418&gt;0,(AG437/P418),(AG437/(W418/43560))),0)</f>
        <v>28.04878048780488</v>
      </c>
      <c r="AG418" s="1535"/>
      <c r="AH418" s="1535"/>
      <c r="AM418" s="3"/>
    </row>
    <row r="419" spans="1:39" ht="12.95" customHeight="1">
      <c r="E419" t="s">
        <v>51</v>
      </c>
    </row>
    <row r="420" spans="1:39" ht="12.95" customHeight="1">
      <c r="E420" s="1519"/>
      <c r="F420" s="1519"/>
      <c r="G420" s="1519"/>
      <c r="H420" s="1519"/>
      <c r="I420" s="1519"/>
      <c r="J420" s="1519"/>
      <c r="K420" s="1519"/>
      <c r="L420" s="1519"/>
      <c r="M420" s="1519"/>
      <c r="N420" s="1519"/>
      <c r="O420" s="1519"/>
      <c r="P420" s="1519"/>
      <c r="Q420" s="1519"/>
      <c r="R420" s="1519"/>
      <c r="S420" s="1519"/>
      <c r="T420" s="1519"/>
      <c r="U420" s="1519"/>
      <c r="V420" s="1519"/>
      <c r="W420" s="1519"/>
      <c r="X420" s="1519"/>
      <c r="Y420" s="1519"/>
      <c r="Z420" s="1519"/>
      <c r="AA420" s="1519"/>
      <c r="AB420" s="1519"/>
      <c r="AC420" s="1519"/>
      <c r="AD420" s="1519"/>
      <c r="AE420" s="1519"/>
      <c r="AF420" s="1519"/>
      <c r="AG420" s="1519"/>
      <c r="AH420" s="1519"/>
      <c r="AI420" s="1519"/>
      <c r="AJ420" s="1519"/>
    </row>
    <row r="421" spans="1:39" ht="12.95" customHeight="1">
      <c r="E421" s="118" t="s">
        <v>1737</v>
      </c>
      <c r="F421" s="1013"/>
      <c r="G421" s="1013"/>
      <c r="H421" s="1013"/>
      <c r="I421" s="1599">
        <v>0</v>
      </c>
      <c r="J421" s="1599"/>
      <c r="K421" s="1599"/>
      <c r="L421" s="1013"/>
      <c r="M421" s="118"/>
      <c r="N421" s="1013"/>
      <c r="O421" s="1013"/>
      <c r="P421" s="1839" t="e">
        <f>(DU755+DU778+DU800)/I421</f>
        <v>#DIV/0!</v>
      </c>
      <c r="Q421" s="1839"/>
      <c r="R421" s="1839"/>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20">
        <v>1</v>
      </c>
      <c r="Q424" s="1420"/>
      <c r="S424" t="s">
        <v>189</v>
      </c>
      <c r="AE424" s="1420">
        <v>1</v>
      </c>
      <c r="AF424" s="1420"/>
    </row>
    <row r="425" spans="1:39" ht="12.95" customHeight="1">
      <c r="E425" t="s">
        <v>190</v>
      </c>
      <c r="P425" s="1420">
        <v>0</v>
      </c>
      <c r="Q425" s="1420"/>
      <c r="S425" t="s">
        <v>131</v>
      </c>
      <c r="AE425" s="1420" t="s">
        <v>592</v>
      </c>
      <c r="AF425" s="1420"/>
    </row>
    <row r="426" spans="1:39" ht="12.95" customHeight="1">
      <c r="F426" s="28" t="s">
        <v>132</v>
      </c>
    </row>
    <row r="427" spans="1:39" ht="12.95" customHeight="1">
      <c r="F427" s="1546"/>
      <c r="G427" s="1546"/>
      <c r="H427" s="1546"/>
      <c r="I427" s="1546"/>
      <c r="J427" s="1546"/>
      <c r="K427" s="1546"/>
      <c r="L427" s="1546"/>
      <c r="M427" s="1546"/>
      <c r="N427" s="1546"/>
      <c r="O427" s="1546"/>
      <c r="P427" s="1546"/>
      <c r="Q427" s="1546"/>
      <c r="R427" s="1546"/>
      <c r="S427" s="1546"/>
      <c r="T427" s="1546"/>
      <c r="U427" s="1546"/>
      <c r="V427" s="1546"/>
      <c r="W427" s="1546"/>
      <c r="X427" s="1546"/>
      <c r="Y427" s="1546"/>
      <c r="Z427" s="1546"/>
      <c r="AA427" s="1546"/>
      <c r="AB427" s="1546"/>
      <c r="AC427" s="1546"/>
      <c r="AD427" s="1546"/>
      <c r="AE427" s="1546"/>
      <c r="AF427" s="1546"/>
      <c r="AG427" s="1546"/>
      <c r="AH427" s="1546"/>
    </row>
    <row r="428" spans="1:39" ht="12.95" customHeight="1">
      <c r="F428" s="1547"/>
      <c r="G428" s="1547"/>
      <c r="H428" s="1547"/>
      <c r="I428" s="1547"/>
      <c r="J428" s="1547"/>
      <c r="K428" s="1547"/>
      <c r="L428" s="1547"/>
      <c r="M428" s="1547"/>
      <c r="N428" s="1547"/>
      <c r="O428" s="1547"/>
      <c r="P428" s="1547"/>
      <c r="Q428" s="1547"/>
      <c r="R428" s="1547"/>
      <c r="S428" s="1547"/>
      <c r="T428" s="1547"/>
      <c r="U428" s="1547"/>
      <c r="V428" s="1547"/>
      <c r="W428" s="1547"/>
      <c r="X428" s="1547"/>
      <c r="Y428" s="1547"/>
      <c r="Z428" s="1547"/>
      <c r="AA428" s="1547"/>
      <c r="AB428" s="1547"/>
      <c r="AC428" s="1547"/>
      <c r="AD428" s="1547"/>
      <c r="AE428" s="1547"/>
      <c r="AF428" s="1547"/>
      <c r="AG428" s="1547"/>
      <c r="AH428" s="1547"/>
    </row>
    <row r="429" spans="1:39" ht="12.95" customHeight="1">
      <c r="E429" t="s">
        <v>609</v>
      </c>
      <c r="P429" s="1"/>
      <c r="Q429" s="1420" t="s">
        <v>546</v>
      </c>
      <c r="R429" s="1420"/>
    </row>
    <row r="430" spans="1:39" ht="12.95" customHeight="1">
      <c r="F430" t="s">
        <v>610</v>
      </c>
      <c r="P430" s="1"/>
      <c r="Q430" s="1"/>
      <c r="AF430" s="1420" t="s">
        <v>592</v>
      </c>
      <c r="AG430" s="1503"/>
    </row>
    <row r="431" spans="1:39" ht="12.95" customHeight="1"/>
    <row r="432" spans="1:39" ht="12.95" customHeight="1">
      <c r="A432" s="2"/>
      <c r="B432" s="2"/>
      <c r="C432" s="2"/>
      <c r="E432" s="4" t="s">
        <v>308</v>
      </c>
      <c r="Z432" s="1420" t="s">
        <v>670</v>
      </c>
      <c r="AA432" s="1420"/>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20" t="s">
        <v>592</v>
      </c>
      <c r="AA434" s="1420"/>
    </row>
    <row r="435" spans="1:55" ht="12.95" customHeight="1"/>
    <row r="436" spans="1:55" ht="12.95" customHeight="1">
      <c r="A436" s="2" t="s">
        <v>468</v>
      </c>
      <c r="B436" s="2"/>
      <c r="C436" s="2"/>
      <c r="D436" s="2" t="s">
        <v>765</v>
      </c>
      <c r="AF436" s="48"/>
    </row>
    <row r="437" spans="1:55" ht="12.95" customHeight="1">
      <c r="D437" s="1368" t="s">
        <v>43</v>
      </c>
      <c r="E437" s="1369"/>
      <c r="F437" s="1369"/>
      <c r="G437" s="1369"/>
      <c r="H437" s="1369"/>
      <c r="I437" s="1369"/>
      <c r="J437" s="1369"/>
      <c r="K437" s="1369"/>
      <c r="L437" s="1369"/>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466"/>
      <c r="AG437" s="1457">
        <v>115</v>
      </c>
      <c r="AH437" s="1457"/>
      <c r="AI437" s="1457"/>
      <c r="AJ437" s="1457"/>
    </row>
    <row r="438" spans="1:55" ht="12.95" customHeight="1">
      <c r="D438" s="1465" t="s">
        <v>1223</v>
      </c>
      <c r="E438" s="1479"/>
      <c r="F438" s="1479"/>
      <c r="G438" s="1479"/>
      <c r="H438" s="1479"/>
      <c r="I438" s="1479"/>
      <c r="J438" s="1479"/>
      <c r="K438" s="1479"/>
      <c r="L438" s="1479"/>
      <c r="M438" s="1479"/>
      <c r="N438" s="1479"/>
      <c r="O438" s="1479"/>
      <c r="P438" s="1479"/>
      <c r="Q438" s="1479"/>
      <c r="R438" s="1479"/>
      <c r="S438" s="1479"/>
      <c r="T438" s="1479"/>
      <c r="U438" s="1479"/>
      <c r="V438" s="1479"/>
      <c r="W438" s="1479"/>
      <c r="X438" s="1479"/>
      <c r="Y438" s="1479"/>
      <c r="Z438" s="1479"/>
      <c r="AA438" s="1479"/>
      <c r="AB438" s="1479"/>
      <c r="AC438" s="1479"/>
      <c r="AD438" s="1479"/>
      <c r="AE438" s="1479"/>
      <c r="AF438" s="1480"/>
      <c r="AG438" s="1464">
        <v>0</v>
      </c>
      <c r="AH438" s="1367"/>
      <c r="AI438" s="1367"/>
      <c r="AJ438" s="1367"/>
    </row>
    <row r="439" spans="1:55" ht="12.95" customHeight="1">
      <c r="D439" s="1465" t="s">
        <v>1032</v>
      </c>
      <c r="E439" s="1479"/>
      <c r="F439" s="1479"/>
      <c r="G439" s="1479"/>
      <c r="H439" s="1479"/>
      <c r="I439" s="1479"/>
      <c r="J439" s="1479"/>
      <c r="K439" s="1479"/>
      <c r="L439" s="1479"/>
      <c r="M439" s="1479"/>
      <c r="N439" s="1479"/>
      <c r="O439" s="1479"/>
      <c r="P439" s="1479"/>
      <c r="Q439" s="1479"/>
      <c r="R439" s="1479"/>
      <c r="S439" s="1479"/>
      <c r="T439" s="1479"/>
      <c r="U439" s="1479"/>
      <c r="V439" s="1479"/>
      <c r="W439" s="1479"/>
      <c r="X439" s="1479"/>
      <c r="Y439" s="1479"/>
      <c r="Z439" s="1479"/>
      <c r="AA439" s="1479"/>
      <c r="AB439" s="1479"/>
      <c r="AC439" s="1479"/>
      <c r="AD439" s="1479"/>
      <c r="AE439" s="1479"/>
      <c r="AF439" s="1480"/>
      <c r="AG439" s="1457">
        <v>113</v>
      </c>
      <c r="AH439" s="1457"/>
      <c r="AI439" s="1457"/>
      <c r="AJ439" s="1457"/>
    </row>
    <row r="440" spans="1:55" ht="12.95" customHeight="1">
      <c r="D440" s="1465" t="s">
        <v>1033</v>
      </c>
      <c r="E440" s="1479"/>
      <c r="F440" s="1479"/>
      <c r="G440" s="1479"/>
      <c r="H440" s="1479"/>
      <c r="I440" s="1479"/>
      <c r="J440" s="1479"/>
      <c r="K440" s="1479"/>
      <c r="L440" s="1479"/>
      <c r="M440" s="1479"/>
      <c r="N440" s="1479"/>
      <c r="O440" s="1479"/>
      <c r="P440" s="1479"/>
      <c r="Q440" s="1479"/>
      <c r="R440" s="1479"/>
      <c r="S440" s="1479"/>
      <c r="T440" s="1479"/>
      <c r="U440" s="1479"/>
      <c r="V440" s="1479"/>
      <c r="W440" s="1479"/>
      <c r="X440" s="1479"/>
      <c r="Y440" s="1479"/>
      <c r="Z440" s="1479"/>
      <c r="AA440" s="1479"/>
      <c r="AB440" s="1479"/>
      <c r="AC440" s="1479"/>
      <c r="AD440" s="1479"/>
      <c r="AE440" s="1479"/>
      <c r="AF440" s="1480"/>
      <c r="AG440" s="1457">
        <v>113</v>
      </c>
      <c r="AH440" s="1457"/>
      <c r="AI440" s="1457"/>
      <c r="AJ440" s="1457"/>
    </row>
    <row r="441" spans="1:55" ht="12.95" customHeight="1">
      <c r="D441" s="1465" t="s">
        <v>1035</v>
      </c>
      <c r="E441" s="1479"/>
      <c r="F441" s="1479"/>
      <c r="G441" s="1479"/>
      <c r="H441" s="1479"/>
      <c r="I441" s="1479"/>
      <c r="J441" s="1479"/>
      <c r="K441" s="1479"/>
      <c r="L441" s="1479"/>
      <c r="M441" s="1479"/>
      <c r="N441" s="1479"/>
      <c r="O441" s="1479"/>
      <c r="P441" s="1479"/>
      <c r="Q441" s="1479"/>
      <c r="R441" s="1479"/>
      <c r="S441" s="1479"/>
      <c r="T441" s="1479"/>
      <c r="U441" s="1479"/>
      <c r="V441" s="1479"/>
      <c r="W441" s="1479"/>
      <c r="X441" s="1479"/>
      <c r="Y441" s="1479"/>
      <c r="Z441" s="1479"/>
      <c r="AA441" s="1479"/>
      <c r="AB441" s="1479"/>
      <c r="AC441" s="1479"/>
      <c r="AD441" s="1479"/>
      <c r="AE441" s="1479"/>
      <c r="AF441" s="1480"/>
      <c r="AG441" s="1463">
        <f>IF(ISERROR(AG440/AG439),0,AG440/AG439)</f>
        <v>1</v>
      </c>
      <c r="AH441" s="1463"/>
      <c r="AI441" s="1463"/>
      <c r="AJ441" s="1463"/>
    </row>
    <row r="442" spans="1:55" ht="12.95" customHeight="1">
      <c r="D442" s="1465" t="s">
        <v>1034</v>
      </c>
      <c r="E442" s="1479"/>
      <c r="F442" s="1479"/>
      <c r="G442" s="1479"/>
      <c r="H442" s="1479"/>
      <c r="I442" s="1479"/>
      <c r="J442" s="1479"/>
      <c r="K442" s="1479"/>
      <c r="L442" s="1479"/>
      <c r="M442" s="1479"/>
      <c r="N442" s="1479"/>
      <c r="O442" s="1479"/>
      <c r="P442" s="1479"/>
      <c r="Q442" s="1479"/>
      <c r="R442" s="1479"/>
      <c r="S442" s="1479"/>
      <c r="T442" s="1479"/>
      <c r="U442" s="1479"/>
      <c r="V442" s="1479"/>
      <c r="W442" s="1479"/>
      <c r="X442" s="1479"/>
      <c r="Y442" s="1479"/>
      <c r="Z442" s="1479"/>
      <c r="AA442" s="1479"/>
      <c r="AB442" s="1479"/>
      <c r="AC442" s="1479"/>
      <c r="AD442" s="1479"/>
      <c r="AE442" s="1479"/>
      <c r="AF442" s="1480"/>
      <c r="AG442" s="1475">
        <v>89970</v>
      </c>
      <c r="AH442" s="1475"/>
      <c r="AI442" s="1475"/>
      <c r="AJ442" s="1475"/>
    </row>
    <row r="443" spans="1:55" ht="12.95" customHeight="1">
      <c r="D443" s="1465" t="s">
        <v>1036</v>
      </c>
      <c r="E443" s="1479"/>
      <c r="F443" s="1479"/>
      <c r="G443" s="1479"/>
      <c r="H443" s="1479"/>
      <c r="I443" s="1479"/>
      <c r="J443" s="1479"/>
      <c r="K443" s="1479"/>
      <c r="L443" s="1479"/>
      <c r="M443" s="1479"/>
      <c r="N443" s="1479"/>
      <c r="O443" s="1479"/>
      <c r="P443" s="1479"/>
      <c r="Q443" s="1479"/>
      <c r="R443" s="1479"/>
      <c r="S443" s="1479"/>
      <c r="T443" s="1479"/>
      <c r="U443" s="1479"/>
      <c r="V443" s="1479"/>
      <c r="W443" s="1479"/>
      <c r="X443" s="1479"/>
      <c r="Y443" s="1479"/>
      <c r="Z443" s="1479"/>
      <c r="AA443" s="1479"/>
      <c r="AB443" s="1479"/>
      <c r="AC443" s="1479"/>
      <c r="AD443" s="1479"/>
      <c r="AE443" s="1479"/>
      <c r="AF443" s="1480"/>
      <c r="AG443" s="1475">
        <v>89970</v>
      </c>
      <c r="AH443" s="1475"/>
      <c r="AI443" s="1475"/>
      <c r="AJ443" s="1475"/>
    </row>
    <row r="444" spans="1:55" ht="12.95" customHeight="1">
      <c r="D444" s="1465" t="s">
        <v>1037</v>
      </c>
      <c r="E444" s="1479"/>
      <c r="F444" s="1479"/>
      <c r="G444" s="1479"/>
      <c r="H444" s="1479"/>
      <c r="I444" s="1479"/>
      <c r="J444" s="1479"/>
      <c r="K444" s="1479"/>
      <c r="L444" s="1479"/>
      <c r="M444" s="1479"/>
      <c r="N444" s="1479"/>
      <c r="O444" s="1479"/>
      <c r="P444" s="1479"/>
      <c r="Q444" s="1479"/>
      <c r="R444" s="1479"/>
      <c r="S444" s="1479"/>
      <c r="T444" s="1479"/>
      <c r="U444" s="1479"/>
      <c r="V444" s="1479"/>
      <c r="W444" s="1479"/>
      <c r="X444" s="1479"/>
      <c r="Y444" s="1479"/>
      <c r="Z444" s="1479"/>
      <c r="AA444" s="1479"/>
      <c r="AB444" s="1479"/>
      <c r="AC444" s="1479"/>
      <c r="AD444" s="1479"/>
      <c r="AE444" s="1479"/>
      <c r="AF444" s="1480"/>
      <c r="AG444" s="1463">
        <f>IF(ISERROR(AG443/AG442),0,AG443/AG442)</f>
        <v>1</v>
      </c>
      <c r="AH444" s="1463"/>
      <c r="AI444" s="1463"/>
      <c r="AJ444" s="1463"/>
    </row>
    <row r="445" spans="1:55" ht="12.95" customHeight="1">
      <c r="D445" s="1465" t="s">
        <v>1038</v>
      </c>
      <c r="E445" s="1479"/>
      <c r="F445" s="1479"/>
      <c r="G445" s="1479"/>
      <c r="H445" s="1479"/>
      <c r="I445" s="1479"/>
      <c r="J445" s="1479"/>
      <c r="K445" s="1479"/>
      <c r="L445" s="1479"/>
      <c r="M445" s="1479"/>
      <c r="N445" s="1479"/>
      <c r="O445" s="1479"/>
      <c r="P445" s="1479"/>
      <c r="Q445" s="1479"/>
      <c r="R445" s="1479"/>
      <c r="S445" s="1479"/>
      <c r="T445" s="1479"/>
      <c r="U445" s="1479"/>
      <c r="V445" s="1479"/>
      <c r="W445" s="1479"/>
      <c r="X445" s="1479"/>
      <c r="Y445" s="1479"/>
      <c r="Z445" s="1479"/>
      <c r="AA445" s="1479"/>
      <c r="AB445" s="1479"/>
      <c r="AC445" s="1479"/>
      <c r="AD445" s="1479"/>
      <c r="AE445" s="1479"/>
      <c r="AF445" s="1480"/>
      <c r="AG445" s="1463">
        <f>MIN(IF(AG441&gt;AG444,AG444,AG441),1)</f>
        <v>1</v>
      </c>
      <c r="AH445" s="1463"/>
      <c r="AI445" s="1463"/>
      <c r="AJ445" s="1463"/>
    </row>
    <row r="446" spans="1:55" ht="12.95" customHeight="1">
      <c r="D446" s="1465" t="s">
        <v>2088</v>
      </c>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466"/>
      <c r="AG446" s="1475">
        <f>3100+310+4500</f>
        <v>7910</v>
      </c>
      <c r="AH446" s="1475"/>
      <c r="AI446" s="1475"/>
      <c r="AJ446" s="1475"/>
      <c r="AZ446" s="34"/>
      <c r="BA446" s="34"/>
      <c r="BB446" s="34"/>
      <c r="BC446" s="34"/>
    </row>
    <row r="447" spans="1:55" ht="12.95" customHeight="1">
      <c r="D447" s="1368" t="s">
        <v>570</v>
      </c>
      <c r="E447" s="1369"/>
      <c r="F447" s="1369"/>
      <c r="G447" s="1369"/>
      <c r="H447" s="1369"/>
      <c r="I447" s="1369"/>
      <c r="J447" s="1369"/>
      <c r="K447" s="1369"/>
      <c r="L447" s="1369"/>
      <c r="M447" s="1369"/>
      <c r="N447" s="1369"/>
      <c r="O447" s="1369"/>
      <c r="P447" s="1369"/>
      <c r="Q447" s="1369"/>
      <c r="R447" s="1369"/>
      <c r="S447" s="1369"/>
      <c r="T447" s="1369"/>
      <c r="U447" s="1369"/>
      <c r="V447" s="1369"/>
      <c r="W447" s="1369"/>
      <c r="X447" s="1369"/>
      <c r="Y447" s="1369"/>
      <c r="Z447" s="1369"/>
      <c r="AA447" s="1369"/>
      <c r="AB447" s="1369"/>
      <c r="AC447" s="1369"/>
      <c r="AD447" s="1369"/>
      <c r="AE447" s="1369"/>
      <c r="AF447" s="1466"/>
      <c r="AG447" s="1475">
        <v>0</v>
      </c>
      <c r="AH447" s="1475"/>
      <c r="AI447" s="1475"/>
      <c r="AJ447" s="1475"/>
      <c r="AZ447" s="3"/>
      <c r="BA447" s="3"/>
      <c r="BB447" s="3"/>
      <c r="BC447" s="3"/>
    </row>
    <row r="448" spans="1:55" ht="12.95" customHeight="1">
      <c r="D448" s="1465" t="s">
        <v>1206</v>
      </c>
      <c r="E448" s="1369"/>
      <c r="F448" s="1369"/>
      <c r="G448" s="1369"/>
      <c r="H448" s="1369"/>
      <c r="I448" s="1369"/>
      <c r="J448" s="1369"/>
      <c r="K448" s="1369"/>
      <c r="L448" s="1369"/>
      <c r="M448" s="1369"/>
      <c r="N448" s="1369"/>
      <c r="O448" s="1369"/>
      <c r="P448" s="1369"/>
      <c r="Q448" s="1369"/>
      <c r="R448" s="1369"/>
      <c r="S448" s="1369"/>
      <c r="T448" s="1369"/>
      <c r="U448" s="1369"/>
      <c r="V448" s="1369"/>
      <c r="W448" s="1369"/>
      <c r="X448" s="1369"/>
      <c r="Y448" s="1369"/>
      <c r="Z448" s="1369"/>
      <c r="AA448" s="1369"/>
      <c r="AB448" s="1369"/>
      <c r="AC448" s="1369"/>
      <c r="AD448" s="1369"/>
      <c r="AE448" s="1369"/>
      <c r="AF448" s="1466"/>
      <c r="AG448" s="1475">
        <f>26121+450+600</f>
        <v>27171</v>
      </c>
      <c r="AH448" s="1475"/>
      <c r="AI448" s="1475"/>
      <c r="AJ448" s="1475"/>
      <c r="AZ448" s="3"/>
      <c r="BA448" s="3"/>
      <c r="BB448" s="3"/>
      <c r="BC448" s="3"/>
    </row>
    <row r="449" spans="1:55" ht="12.95" customHeight="1">
      <c r="D449" s="1465" t="s">
        <v>1039</v>
      </c>
      <c r="E449" s="1369"/>
      <c r="F449" s="1369"/>
      <c r="G449" s="1369"/>
      <c r="H449" s="1369"/>
      <c r="I449" s="1369"/>
      <c r="J449" s="1369"/>
      <c r="K449" s="1369"/>
      <c r="L449" s="1369"/>
      <c r="M449" s="1369"/>
      <c r="N449" s="1369"/>
      <c r="O449" s="1369"/>
      <c r="P449" s="1369"/>
      <c r="Q449" s="1369"/>
      <c r="R449" s="1369"/>
      <c r="S449" s="1369"/>
      <c r="T449" s="1369"/>
      <c r="U449" s="1369"/>
      <c r="V449" s="1369"/>
      <c r="W449" s="1369"/>
      <c r="X449" s="1369"/>
      <c r="Y449" s="1369"/>
      <c r="Z449" s="1369"/>
      <c r="AA449" s="1369"/>
      <c r="AB449" s="1369"/>
      <c r="AC449" s="1369"/>
      <c r="AD449" s="1369"/>
      <c r="AE449" s="1369"/>
      <c r="AF449" s="1466"/>
      <c r="AG449" s="1475">
        <v>63457</v>
      </c>
      <c r="AH449" s="1475"/>
      <c r="AI449" s="1475"/>
      <c r="AJ449" s="1475"/>
      <c r="BB449" s="3"/>
      <c r="BC449" s="3"/>
    </row>
    <row r="450" spans="1:55" ht="12.95" customHeight="1">
      <c r="D450" s="1595" t="s">
        <v>1040</v>
      </c>
      <c r="E450" s="1596"/>
      <c r="F450" s="1596"/>
      <c r="G450" s="1596"/>
      <c r="H450" s="1596"/>
      <c r="I450" s="1596"/>
      <c r="J450" s="1596"/>
      <c r="K450" s="1596"/>
      <c r="L450" s="1596"/>
      <c r="M450" s="1596"/>
      <c r="N450" s="1596"/>
      <c r="O450" s="1596"/>
      <c r="P450" s="1596"/>
      <c r="Q450" s="1596"/>
      <c r="R450" s="1596"/>
      <c r="S450" s="1596"/>
      <c r="T450" s="1596"/>
      <c r="U450" s="1596"/>
      <c r="V450" s="1596"/>
      <c r="W450" s="1596"/>
      <c r="X450" s="1596"/>
      <c r="Y450" s="1596"/>
      <c r="Z450" s="1596"/>
      <c r="AA450" s="1596"/>
      <c r="AB450" s="1596"/>
      <c r="AC450" s="1596"/>
      <c r="AD450" s="1596"/>
      <c r="AE450" s="1596"/>
      <c r="AF450" s="1597"/>
      <c r="AG450" s="1445">
        <f>AG442+AG446+AG448+AG449</f>
        <v>188508</v>
      </c>
      <c r="AH450" s="1445"/>
      <c r="AI450" s="1445"/>
      <c r="AJ450" s="1445"/>
      <c r="AZ450" s="3"/>
      <c r="BA450" s="3"/>
      <c r="BB450" s="3"/>
      <c r="BC450" s="3"/>
    </row>
    <row r="451" spans="1:55" ht="12.95" customHeight="1">
      <c r="D451" s="1601" t="s">
        <v>1207</v>
      </c>
      <c r="E451" s="1601"/>
      <c r="F451" s="1601"/>
      <c r="G451" s="1601"/>
      <c r="H451" s="1601"/>
      <c r="I451" s="1601"/>
      <c r="J451" s="1601"/>
      <c r="K451" s="1601"/>
      <c r="L451" s="1601"/>
      <c r="M451" s="1601"/>
      <c r="N451" s="1601"/>
      <c r="O451" s="1601"/>
      <c r="P451" s="1601"/>
      <c r="Q451" s="1601"/>
      <c r="R451" s="1601"/>
      <c r="S451" s="1601"/>
      <c r="T451" s="1601"/>
      <c r="U451" s="1601"/>
      <c r="V451" s="1601"/>
      <c r="W451" s="1601"/>
      <c r="X451" s="1601"/>
      <c r="Y451" s="1601"/>
      <c r="Z451" s="1601"/>
      <c r="AA451" s="1601"/>
      <c r="AB451" s="1601"/>
      <c r="AC451" s="1601"/>
      <c r="AD451" s="1601"/>
      <c r="AE451" s="1601"/>
      <c r="AF451" s="1601"/>
      <c r="AG451" s="1601"/>
      <c r="AH451" s="1601"/>
      <c r="AI451" s="1601"/>
      <c r="AJ451" s="1601"/>
      <c r="AZ451" s="3"/>
      <c r="BA451" s="3"/>
      <c r="BB451" s="3"/>
      <c r="BC451" s="3"/>
    </row>
    <row r="452" spans="1:55" ht="12.95" customHeight="1">
      <c r="D452" s="1602"/>
      <c r="E452" s="1602"/>
      <c r="F452" s="1602"/>
      <c r="G452" s="1602"/>
      <c r="H452" s="1602"/>
      <c r="I452" s="1602"/>
      <c r="J452" s="1602"/>
      <c r="K452" s="1602"/>
      <c r="L452" s="1602"/>
      <c r="M452" s="1602"/>
      <c r="N452" s="1602"/>
      <c r="O452" s="1602"/>
      <c r="P452" s="1602"/>
      <c r="Q452" s="1602"/>
      <c r="R452" s="1602"/>
      <c r="S452" s="1602"/>
      <c r="T452" s="1602"/>
      <c r="U452" s="1602"/>
      <c r="V452" s="1602"/>
      <c r="W452" s="1602"/>
      <c r="X452" s="1602"/>
      <c r="Y452" s="1602"/>
      <c r="Z452" s="1602"/>
      <c r="AA452" s="1602"/>
      <c r="AB452" s="1602"/>
      <c r="AC452" s="1602"/>
      <c r="AD452" s="1602"/>
      <c r="AE452" s="1602"/>
      <c r="AF452" s="1602"/>
      <c r="AG452" s="1602"/>
      <c r="AH452" s="1602"/>
      <c r="AI452" s="1602"/>
      <c r="AJ452" s="160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48">
        <f>IF(AG437=0,"",'Sources and Uses Budget'!B105/Application!AG437)</f>
        <v>958286.48695652175</v>
      </c>
      <c r="AD454" s="1448"/>
      <c r="AE454" s="1448"/>
      <c r="AF454" s="1448"/>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48">
        <f>IF(AG437=0,"",'Sources and Uses Budget'!C105/Application!AG437)</f>
        <v>958286.48695652175</v>
      </c>
      <c r="AD455" s="1448"/>
      <c r="AE455" s="1448"/>
      <c r="AF455" s="1448"/>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48">
        <f>IF(AG437=0,"",('Sources and Uses Budget'!$S$107+'Sources and Uses Budget'!$T$107)/Application!AG437)</f>
        <v>862528</v>
      </c>
      <c r="AD456" s="1448"/>
      <c r="AE456" s="1448"/>
      <c r="AF456" s="1448"/>
      <c r="AG456" s="177"/>
      <c r="AH456" s="177"/>
      <c r="AI456" s="177"/>
      <c r="AJ456" s="183"/>
      <c r="AZ456" s="3"/>
      <c r="BA456" s="3"/>
      <c r="BB456" s="3"/>
      <c r="BC456" s="3"/>
    </row>
    <row r="457" spans="1:55" ht="12.95" customHeight="1">
      <c r="D457" s="177"/>
      <c r="E457" s="177"/>
      <c r="F457" s="139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2"/>
      <c r="H457" s="139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515"/>
      <c r="AD457" s="177"/>
      <c r="AE457" s="177"/>
      <c r="AF457" s="177"/>
      <c r="AG457" s="177"/>
      <c r="AH457" s="177"/>
      <c r="AI457" s="177"/>
      <c r="AJ457" s="183"/>
      <c r="AZ457" s="3"/>
      <c r="BA457" s="3"/>
      <c r="BB457" s="3"/>
      <c r="BC457" s="3"/>
    </row>
    <row r="458" spans="1:55" ht="12.95" customHeight="1">
      <c r="A458" s="2"/>
      <c r="D458" s="2"/>
      <c r="E458" s="177"/>
      <c r="F458" s="1392"/>
      <c r="G458" s="1392"/>
      <c r="H458" s="139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99" t="s">
        <v>2100</v>
      </c>
      <c r="E465" s="1455"/>
      <c r="F465" s="1455"/>
      <c r="G465" s="1455"/>
      <c r="H465" s="1455"/>
      <c r="I465" s="1455"/>
      <c r="J465" s="1455"/>
      <c r="K465" s="1455"/>
      <c r="L465" s="1455"/>
      <c r="M465" s="1455"/>
      <c r="N465" s="1455"/>
      <c r="O465" s="1455"/>
      <c r="P465" s="1455"/>
      <c r="Q465" s="1455"/>
      <c r="R465" s="1455"/>
      <c r="S465" s="1455"/>
      <c r="T465" s="1455"/>
      <c r="U465" s="1455"/>
      <c r="V465" s="1456"/>
      <c r="W465" s="1402"/>
      <c r="X465" s="1403"/>
      <c r="Y465" s="140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62" t="s">
        <v>694</v>
      </c>
      <c r="E466" s="1455"/>
      <c r="F466" s="1455"/>
      <c r="G466" s="1455"/>
      <c r="H466" s="1455"/>
      <c r="I466" s="1455"/>
      <c r="J466" s="1455"/>
      <c r="K466" s="1455"/>
      <c r="L466" s="1455"/>
      <c r="M466" s="1455"/>
      <c r="N466" s="1455"/>
      <c r="O466" s="1455"/>
      <c r="P466" s="1455"/>
      <c r="Q466" s="1455"/>
      <c r="R466" s="1455"/>
      <c r="S466" s="1455"/>
      <c r="T466" s="1455"/>
      <c r="U466" s="1455"/>
      <c r="V466" s="1456"/>
      <c r="W466" s="1402">
        <v>0</v>
      </c>
      <c r="X466" s="1403"/>
      <c r="Y466" s="140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62" t="s">
        <v>695</v>
      </c>
      <c r="E467" s="1455"/>
      <c r="F467" s="1455"/>
      <c r="G467" s="1455"/>
      <c r="H467" s="1455"/>
      <c r="I467" s="1455"/>
      <c r="J467" s="1455"/>
      <c r="K467" s="1455"/>
      <c r="L467" s="1455"/>
      <c r="M467" s="1455"/>
      <c r="N467" s="1455"/>
      <c r="O467" s="1455"/>
      <c r="P467" s="1455"/>
      <c r="Q467" s="1455"/>
      <c r="R467" s="1455"/>
      <c r="S467" s="1455"/>
      <c r="T467" s="1455"/>
      <c r="U467" s="1455"/>
      <c r="V467" s="1456"/>
      <c r="W467" s="1402">
        <v>0</v>
      </c>
      <c r="X467" s="1403"/>
      <c r="Y467" s="140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62" t="s">
        <v>696</v>
      </c>
      <c r="E468" s="1455"/>
      <c r="F468" s="1455"/>
      <c r="G468" s="1455"/>
      <c r="H468" s="1455"/>
      <c r="I468" s="1455"/>
      <c r="J468" s="1455"/>
      <c r="K468" s="1455"/>
      <c r="L468" s="1455"/>
      <c r="M468" s="1455"/>
      <c r="N468" s="1455"/>
      <c r="O468" s="1455"/>
      <c r="P468" s="1455"/>
      <c r="Q468" s="1455"/>
      <c r="R468" s="1455"/>
      <c r="S468" s="1455"/>
      <c r="T468" s="1455"/>
      <c r="U468" s="1455"/>
      <c r="V468" s="1456"/>
      <c r="W468" s="1402">
        <v>0</v>
      </c>
      <c r="X468" s="1403"/>
      <c r="Y468" s="140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62" t="s">
        <v>882</v>
      </c>
      <c r="E469" s="1455"/>
      <c r="F469" s="1455"/>
      <c r="G469" s="1455"/>
      <c r="H469" s="1455"/>
      <c r="I469" s="1455"/>
      <c r="J469" s="1455"/>
      <c r="K469" s="1455"/>
      <c r="L469" s="1455"/>
      <c r="M469" s="1455"/>
      <c r="N469" s="1455"/>
      <c r="O469" s="1455"/>
      <c r="P469" s="1455"/>
      <c r="Q469" s="1455"/>
      <c r="R469" s="1455"/>
      <c r="S469" s="1455"/>
      <c r="T469" s="1455"/>
      <c r="U469" s="1455"/>
      <c r="V469" s="1456"/>
      <c r="W469" s="1402">
        <v>0</v>
      </c>
      <c r="X469" s="1403"/>
      <c r="Y469" s="140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462" t="s">
        <v>697</v>
      </c>
      <c r="E470" s="1455"/>
      <c r="F470" s="1455"/>
      <c r="G470" s="1455"/>
      <c r="H470" s="1455"/>
      <c r="I470" s="1455"/>
      <c r="J470" s="1455"/>
      <c r="K470" s="1455"/>
      <c r="L470" s="1455"/>
      <c r="M470" s="1455"/>
      <c r="N470" s="1455"/>
      <c r="O470" s="1455"/>
      <c r="P470" s="1455"/>
      <c r="Q470" s="1455"/>
      <c r="R470" s="1455"/>
      <c r="S470" s="1455"/>
      <c r="T470" s="1455"/>
      <c r="U470" s="1455"/>
      <c r="V470" s="1456"/>
      <c r="W470" s="1402">
        <v>0</v>
      </c>
      <c r="X470" s="1403"/>
      <c r="Y470" s="140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462" t="s">
        <v>1013</v>
      </c>
      <c r="E471" s="1455"/>
      <c r="F471" s="1455"/>
      <c r="G471" s="1455"/>
      <c r="H471" s="1455"/>
      <c r="I471" s="1455"/>
      <c r="J471" s="1455"/>
      <c r="K471" s="1455"/>
      <c r="L471" s="1455"/>
      <c r="M471" s="1455"/>
      <c r="N471" s="1455"/>
      <c r="O471" s="1455"/>
      <c r="P471" s="1455"/>
      <c r="Q471" s="1455"/>
      <c r="R471" s="1455"/>
      <c r="S471" s="1455"/>
      <c r="T471" s="1455"/>
      <c r="U471" s="1455"/>
      <c r="V471" s="1456"/>
      <c r="W471" s="1402">
        <v>0</v>
      </c>
      <c r="X471" s="1403"/>
      <c r="Y471" s="140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99" t="s">
        <v>2191</v>
      </c>
      <c r="E472" s="1400"/>
      <c r="F472" s="1400"/>
      <c r="G472" s="1400"/>
      <c r="H472" s="1400"/>
      <c r="I472" s="1400"/>
      <c r="J472" s="1400"/>
      <c r="K472" s="1400"/>
      <c r="L472" s="1400"/>
      <c r="M472" s="1400"/>
      <c r="N472" s="1400"/>
      <c r="O472" s="1400"/>
      <c r="P472" s="1400"/>
      <c r="Q472" s="1400"/>
      <c r="R472" s="1400"/>
      <c r="S472" s="1400"/>
      <c r="T472" s="1400"/>
      <c r="U472" s="1400"/>
      <c r="V472" s="1401"/>
      <c r="W472" s="1402">
        <v>0</v>
      </c>
      <c r="X472" s="1403"/>
      <c r="Y472" s="140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99" t="s">
        <v>1655</v>
      </c>
      <c r="E473" s="1455"/>
      <c r="F473" s="1455"/>
      <c r="G473" s="1455"/>
      <c r="H473" s="1455"/>
      <c r="I473" s="1455"/>
      <c r="J473" s="1455"/>
      <c r="K473" s="1455"/>
      <c r="L473" s="1455"/>
      <c r="M473" s="1455"/>
      <c r="N473" s="1455"/>
      <c r="O473" s="1455"/>
      <c r="P473" s="1455"/>
      <c r="Q473" s="1455"/>
      <c r="R473" s="1455"/>
      <c r="S473" s="1455"/>
      <c r="T473" s="1455"/>
      <c r="U473" s="1455"/>
      <c r="V473" s="1456"/>
      <c r="W473" s="1402">
        <v>28</v>
      </c>
      <c r="X473" s="1403"/>
      <c r="Y473" s="140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505" t="s">
        <v>2633</v>
      </c>
      <c r="H474" s="1506"/>
      <c r="I474" s="1506"/>
      <c r="J474" s="1506"/>
      <c r="K474" s="1506"/>
      <c r="L474" s="1506"/>
      <c r="M474" s="1506"/>
      <c r="N474" s="1506"/>
      <c r="O474" s="1506"/>
      <c r="P474" s="1506"/>
      <c r="Q474" s="1506"/>
      <c r="R474" s="1506"/>
      <c r="S474" s="1506"/>
      <c r="T474" s="1506"/>
      <c r="U474" s="1506"/>
      <c r="V474" s="1507"/>
      <c r="W474" s="1402">
        <v>29</v>
      </c>
      <c r="X474" s="1403"/>
      <c r="Y474" s="140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Yes</v>
      </c>
      <c r="BB479" s="3"/>
      <c r="BC479" s="3"/>
    </row>
    <row r="480" spans="1:55" ht="12.95" customHeight="1">
      <c r="A480" s="1554" t="s">
        <v>811</v>
      </c>
      <c r="B480" s="1554"/>
      <c r="C480" s="1554"/>
      <c r="D480" s="1554"/>
      <c r="E480" s="1554"/>
      <c r="F480" s="1554"/>
      <c r="G480" s="1554"/>
      <c r="H480" s="1554"/>
      <c r="I480" s="1554"/>
      <c r="J480" s="1554"/>
      <c r="K480" s="1554"/>
      <c r="L480" s="1554"/>
      <c r="M480" s="1554"/>
      <c r="N480" s="1554"/>
      <c r="O480" s="1554"/>
      <c r="P480" s="1554"/>
      <c r="Q480" s="1554"/>
      <c r="R480" s="1554"/>
      <c r="S480" s="1554"/>
      <c r="T480" s="1554"/>
      <c r="U480" s="1554"/>
      <c r="V480" s="1554"/>
      <c r="W480" s="1554"/>
      <c r="X480" s="1554"/>
      <c r="Y480" s="1554"/>
      <c r="Z480" s="1554"/>
      <c r="AA480" s="1554"/>
      <c r="AB480" s="1554"/>
      <c r="AC480" s="1554"/>
      <c r="AD480" s="1554"/>
      <c r="AE480" s="1554"/>
      <c r="AF480" s="1554"/>
      <c r="AG480" s="1554"/>
      <c r="AH480" s="1554"/>
      <c r="AI480" s="1554"/>
      <c r="AJ480" s="1554"/>
      <c r="AK480" s="1554"/>
      <c r="AL480" s="1554"/>
      <c r="AM480" s="1554"/>
      <c r="AN480" s="1554"/>
      <c r="AO480" s="1554"/>
      <c r="AP480" s="1554"/>
      <c r="AQ480" s="1554"/>
      <c r="AR480" s="1554"/>
      <c r="AS480" s="1554"/>
      <c r="AT480" s="1554"/>
      <c r="AU480" s="95"/>
      <c r="AV480" s="95"/>
      <c r="AW480" s="95"/>
      <c r="AX480" s="95"/>
      <c r="AY480" s="95"/>
      <c r="AZ480" s="3"/>
      <c r="BB480" s="3"/>
      <c r="BC480" s="3"/>
    </row>
    <row r="481" spans="1:55" ht="12.95" customHeight="1">
      <c r="A481" s="1554"/>
      <c r="B481" s="1554"/>
      <c r="C481" s="1554"/>
      <c r="D481" s="1554"/>
      <c r="E481" s="1554"/>
      <c r="F481" s="1554"/>
      <c r="G481" s="1554"/>
      <c r="H481" s="1554"/>
      <c r="I481" s="1554"/>
      <c r="J481" s="1554"/>
      <c r="K481" s="1554"/>
      <c r="L481" s="1554"/>
      <c r="M481" s="1554"/>
      <c r="N481" s="1554"/>
      <c r="O481" s="1554"/>
      <c r="P481" s="1554"/>
      <c r="Q481" s="1554"/>
      <c r="R481" s="1554"/>
      <c r="S481" s="1554"/>
      <c r="T481" s="1554"/>
      <c r="U481" s="1554"/>
      <c r="V481" s="1554"/>
      <c r="W481" s="1554"/>
      <c r="X481" s="1554"/>
      <c r="Y481" s="1554"/>
      <c r="Z481" s="1554"/>
      <c r="AA481" s="1554"/>
      <c r="AB481" s="1554"/>
      <c r="AC481" s="1554"/>
      <c r="AD481" s="1554"/>
      <c r="AE481" s="1554"/>
      <c r="AF481" s="1554"/>
      <c r="AG481" s="1554"/>
      <c r="AH481" s="1554"/>
      <c r="AI481" s="1554"/>
      <c r="AJ481" s="1554"/>
      <c r="AK481" s="1554"/>
      <c r="AL481" s="1554"/>
      <c r="AM481" s="1554"/>
      <c r="AN481" s="1554"/>
      <c r="AO481" s="1554"/>
      <c r="AP481" s="1554"/>
      <c r="AQ481" s="1554"/>
      <c r="AR481" s="1554"/>
      <c r="AS481" s="1554"/>
      <c r="AT481" s="155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70" t="s">
        <v>393</v>
      </c>
      <c r="R485" s="1471"/>
      <c r="S485" s="1471"/>
      <c r="T485" s="1471"/>
      <c r="U485" s="1471"/>
      <c r="V485" s="1471"/>
      <c r="W485" s="1471"/>
      <c r="X485" s="1471"/>
      <c r="Y485" s="1471"/>
      <c r="Z485" s="1471"/>
      <c r="AA485" s="1471"/>
      <c r="AB485" s="1471"/>
      <c r="AC485" s="1471"/>
      <c r="AD485" s="1471"/>
      <c r="AE485" s="1471"/>
      <c r="AF485" s="1471"/>
      <c r="AG485" s="1471"/>
      <c r="AH485" s="1471"/>
      <c r="AI485" s="1471"/>
      <c r="AJ485" s="1471"/>
      <c r="AK485" s="1472"/>
      <c r="AZ485" s="3"/>
      <c r="BB485" s="3"/>
      <c r="BC485" s="3"/>
    </row>
    <row r="486" spans="1:55" ht="12.95" customHeight="1">
      <c r="B486" s="45" t="s">
        <v>394</v>
      </c>
      <c r="C486" s="5"/>
      <c r="D486" s="5"/>
      <c r="E486" s="5"/>
      <c r="F486" s="5"/>
      <c r="G486" s="5"/>
      <c r="H486" s="5"/>
      <c r="I486" s="5"/>
      <c r="J486" s="5"/>
      <c r="K486" s="5"/>
      <c r="L486" s="5"/>
      <c r="M486" s="5"/>
      <c r="N486" s="5"/>
      <c r="O486" s="5"/>
      <c r="P486" s="5"/>
      <c r="Q486" s="1446" t="s">
        <v>2634</v>
      </c>
      <c r="R486" s="1342"/>
      <c r="S486" s="1342"/>
      <c r="T486" s="1342"/>
      <c r="U486" s="1342"/>
      <c r="V486" s="1342"/>
      <c r="W486" s="1342"/>
      <c r="X486" s="1342"/>
      <c r="Y486" s="1342"/>
      <c r="Z486" s="1342"/>
      <c r="AA486" s="1342"/>
      <c r="AB486" s="1342"/>
      <c r="AC486" s="1342"/>
      <c r="AD486" s="1342"/>
      <c r="AE486" s="1342"/>
      <c r="AF486" s="1342"/>
      <c r="AG486" s="1342"/>
      <c r="AH486" s="1342"/>
      <c r="AI486" s="1342"/>
      <c r="AJ486" s="1342"/>
      <c r="AK486" s="1447"/>
      <c r="AZ486" s="3"/>
      <c r="BB486" s="3"/>
      <c r="BC486" s="3"/>
    </row>
    <row r="487" spans="1:55" ht="12.95" customHeight="1">
      <c r="B487" s="45" t="s">
        <v>395</v>
      </c>
      <c r="C487" s="5"/>
      <c r="D487" s="5"/>
      <c r="E487" s="5"/>
      <c r="F487" s="5"/>
      <c r="G487" s="5"/>
      <c r="H487" s="5"/>
      <c r="I487" s="5"/>
      <c r="J487" s="5"/>
      <c r="K487" s="5"/>
      <c r="L487" s="5"/>
      <c r="M487" s="5"/>
      <c r="N487" s="5"/>
      <c r="O487" s="5"/>
      <c r="P487" s="5"/>
      <c r="Q487" s="1446" t="s">
        <v>2634</v>
      </c>
      <c r="R487" s="1342"/>
      <c r="S487" s="1342"/>
      <c r="T487" s="1342"/>
      <c r="U487" s="1342"/>
      <c r="V487" s="1342"/>
      <c r="W487" s="1342"/>
      <c r="X487" s="1342"/>
      <c r="Y487" s="1342"/>
      <c r="Z487" s="1342"/>
      <c r="AA487" s="1342"/>
      <c r="AB487" s="1342"/>
      <c r="AC487" s="1342"/>
      <c r="AD487" s="1342"/>
      <c r="AE487" s="1342"/>
      <c r="AF487" s="1342"/>
      <c r="AG487" s="1342"/>
      <c r="AH487" s="1342"/>
      <c r="AI487" s="1342"/>
      <c r="AJ487" s="1342"/>
      <c r="AK487" s="1447"/>
      <c r="AZ487" s="3"/>
      <c r="BB487" s="3"/>
      <c r="BC487" s="3"/>
    </row>
    <row r="488" spans="1:55" ht="12.95" customHeight="1">
      <c r="B488" s="45" t="s">
        <v>396</v>
      </c>
      <c r="C488" s="5"/>
      <c r="D488" s="5"/>
      <c r="E488" s="5"/>
      <c r="F488" s="5"/>
      <c r="G488" s="5"/>
      <c r="H488" s="5"/>
      <c r="I488" s="5"/>
      <c r="J488" s="5"/>
      <c r="K488" s="5"/>
      <c r="L488" s="5"/>
      <c r="M488" s="5"/>
      <c r="N488" s="5"/>
      <c r="O488" s="5"/>
      <c r="P488" s="5"/>
      <c r="Q488" s="1446" t="s">
        <v>2634</v>
      </c>
      <c r="R488" s="1342"/>
      <c r="S488" s="1342"/>
      <c r="T488" s="1342"/>
      <c r="U488" s="1342"/>
      <c r="V488" s="1342"/>
      <c r="W488" s="1342"/>
      <c r="X488" s="1342"/>
      <c r="Y488" s="1342"/>
      <c r="Z488" s="1342"/>
      <c r="AA488" s="1342"/>
      <c r="AB488" s="1342"/>
      <c r="AC488" s="1342"/>
      <c r="AD488" s="1342"/>
      <c r="AE488" s="1342"/>
      <c r="AF488" s="1342"/>
      <c r="AG488" s="1342"/>
      <c r="AH488" s="1342"/>
      <c r="AI488" s="1342"/>
      <c r="AJ488" s="1342"/>
      <c r="AK488" s="1447"/>
      <c r="AZ488" s="3"/>
      <c r="BA488" s="3"/>
      <c r="BB488" s="3"/>
      <c r="BC488" s="3"/>
    </row>
    <row r="489" spans="1:55" ht="12.95" customHeight="1">
      <c r="B489" s="1508" t="s">
        <v>397</v>
      </c>
      <c r="C489" s="1509"/>
      <c r="D489" s="1509"/>
      <c r="E489" s="1509"/>
      <c r="F489" s="1509"/>
      <c r="G489" s="1509"/>
      <c r="H489" s="1509"/>
      <c r="I489" s="1509"/>
      <c r="J489" s="1509"/>
      <c r="K489" s="1509"/>
      <c r="L489" s="1509"/>
      <c r="M489" s="1509"/>
      <c r="N489" s="1509"/>
      <c r="O489" s="1509"/>
      <c r="P489" s="1510"/>
      <c r="Q489" s="1514" t="s">
        <v>670</v>
      </c>
      <c r="R489" s="1515"/>
      <c r="S489" s="1589" t="s">
        <v>166</v>
      </c>
      <c r="T489" s="1590"/>
      <c r="U489" s="1590"/>
      <c r="V489" s="1590"/>
      <c r="W489" s="1590"/>
      <c r="X489" s="1590"/>
      <c r="Y489" s="1590"/>
      <c r="Z489" s="1590"/>
      <c r="AA489" s="1590"/>
      <c r="AB489" s="1590"/>
      <c r="AC489" s="1590"/>
      <c r="AD489" s="1590"/>
      <c r="AE489" s="1590"/>
      <c r="AF489" s="1590"/>
      <c r="AG489" s="1590"/>
      <c r="AH489" s="1590"/>
      <c r="AI489" s="1590"/>
      <c r="AJ489" s="1590"/>
      <c r="AK489" s="1591"/>
      <c r="AZ489" s="3"/>
      <c r="BA489" s="3"/>
      <c r="BB489" s="3"/>
      <c r="BC489" s="3"/>
    </row>
    <row r="490" spans="1:55" ht="12.95" customHeight="1">
      <c r="B490" s="1511"/>
      <c r="C490" s="1512"/>
      <c r="D490" s="1512"/>
      <c r="E490" s="1512"/>
      <c r="F490" s="1512"/>
      <c r="G490" s="1512"/>
      <c r="H490" s="1512"/>
      <c r="I490" s="1512"/>
      <c r="J490" s="1512"/>
      <c r="K490" s="1512"/>
      <c r="L490" s="1512"/>
      <c r="M490" s="1512"/>
      <c r="N490" s="1512"/>
      <c r="O490" s="1512"/>
      <c r="P490" s="1513"/>
      <c r="Q490" s="1516"/>
      <c r="R490" s="1517"/>
      <c r="S490" s="1592"/>
      <c r="T490" s="1547"/>
      <c r="U490" s="1547"/>
      <c r="V490" s="1547"/>
      <c r="W490" s="1547"/>
      <c r="X490" s="1547"/>
      <c r="Y490" s="1547"/>
      <c r="Z490" s="1547"/>
      <c r="AA490" s="1547"/>
      <c r="AB490" s="1547"/>
      <c r="AC490" s="1547"/>
      <c r="AD490" s="1547"/>
      <c r="AE490" s="1547"/>
      <c r="AF490" s="1547"/>
      <c r="AG490" s="1547"/>
      <c r="AH490" s="1547"/>
      <c r="AI490" s="1547"/>
      <c r="AJ490" s="1547"/>
      <c r="AK490" s="159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449" t="s">
        <v>670</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46" t="s">
        <v>2634</v>
      </c>
      <c r="R492" s="1342"/>
      <c r="S492" s="1342"/>
      <c r="T492" s="1342"/>
      <c r="U492" s="1342"/>
      <c r="V492" s="1342"/>
      <c r="W492" s="1342"/>
      <c r="X492" s="1342"/>
      <c r="Y492" s="1342"/>
      <c r="Z492" s="1342"/>
      <c r="AA492" s="1342"/>
      <c r="AB492" s="1342"/>
      <c r="AC492" s="1342"/>
      <c r="AD492" s="1342"/>
      <c r="AE492" s="1342"/>
      <c r="AF492" s="1342"/>
      <c r="AG492" s="1342"/>
      <c r="AH492" s="1342"/>
      <c r="AI492" s="1342"/>
      <c r="AJ492" s="1342"/>
      <c r="AK492" s="144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46" t="s">
        <v>2634</v>
      </c>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44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446">
        <v>142</v>
      </c>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447"/>
      <c r="AZ494" s="3"/>
      <c r="BA494" s="3"/>
      <c r="BB494" s="3"/>
      <c r="BC494" s="3"/>
    </row>
    <row r="495" spans="1:55" ht="12.95" customHeight="1">
      <c r="B495" s="121" t="s">
        <v>1670</v>
      </c>
      <c r="C495" s="5"/>
      <c r="D495" s="5"/>
      <c r="E495" s="5"/>
      <c r="F495" s="5"/>
      <c r="G495" s="5"/>
      <c r="H495" s="5"/>
      <c r="I495" s="5"/>
      <c r="J495" s="5"/>
      <c r="K495" s="5"/>
      <c r="L495" s="5"/>
      <c r="M495" s="1452">
        <v>142</v>
      </c>
      <c r="N495" s="1453"/>
      <c r="O495" s="1453"/>
      <c r="P495" s="1454"/>
      <c r="Q495" s="121" t="s">
        <v>1671</v>
      </c>
      <c r="R495" s="5"/>
      <c r="S495" s="5"/>
      <c r="T495" s="5"/>
      <c r="U495" s="5"/>
      <c r="V495" s="5"/>
      <c r="W495" s="5"/>
      <c r="X495" s="5"/>
      <c r="Y495" s="5"/>
      <c r="Z495" s="5"/>
      <c r="AA495" s="5"/>
      <c r="AB495" s="5"/>
      <c r="AC495" s="5"/>
      <c r="AD495" s="5"/>
      <c r="AE495" s="5"/>
      <c r="AF495" s="5"/>
      <c r="AG495" s="5"/>
      <c r="AH495" s="1452"/>
      <c r="AI495" s="1453"/>
      <c r="AJ495" s="1453"/>
      <c r="AK495" s="145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70" t="s">
        <v>401</v>
      </c>
      <c r="AD499" s="1471"/>
      <c r="AE499" s="1471"/>
      <c r="AF499" s="1471"/>
      <c r="AG499" s="1471"/>
      <c r="AH499" s="1471"/>
      <c r="AI499" s="1471"/>
      <c r="AJ499" s="1471"/>
      <c r="AK499" s="147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70" t="s">
        <v>402</v>
      </c>
      <c r="AD500" s="1471"/>
      <c r="AE500" s="1471"/>
      <c r="AF500" s="1471"/>
      <c r="AG500" s="50" t="s">
        <v>403</v>
      </c>
      <c r="AH500" s="1471" t="s">
        <v>404</v>
      </c>
      <c r="AI500" s="1471"/>
      <c r="AJ500" s="1471"/>
      <c r="AK500" s="1472"/>
      <c r="AZ500" s="3"/>
      <c r="BA500" s="3"/>
      <c r="BB500" s="3"/>
      <c r="BC500" s="3"/>
      <c r="BD500" s="3"/>
      <c r="BE500" s="3"/>
      <c r="BF500" s="3"/>
      <c r="BG500" s="3"/>
      <c r="BH500" s="3"/>
      <c r="BI500" s="3"/>
      <c r="BJ500" s="3"/>
      <c r="BK500" s="3"/>
      <c r="BL500" s="3"/>
      <c r="BM500" s="3"/>
      <c r="BN500" s="3"/>
    </row>
    <row r="501" spans="1:66" ht="12.95" customHeight="1">
      <c r="B501" s="1405" t="s">
        <v>405</v>
      </c>
      <c r="C501" s="1406"/>
      <c r="D501" s="1406"/>
      <c r="E501" s="1406"/>
      <c r="F501" s="1406"/>
      <c r="G501" s="1406"/>
      <c r="H501" s="1407"/>
      <c r="I501" s="42" t="s">
        <v>406</v>
      </c>
      <c r="J501" s="42"/>
      <c r="K501" s="42"/>
      <c r="L501" s="42"/>
      <c r="M501" s="42"/>
      <c r="N501" s="42"/>
      <c r="O501" s="42"/>
      <c r="P501" s="42"/>
      <c r="Q501" s="42"/>
      <c r="R501" s="42"/>
      <c r="S501" s="42"/>
      <c r="T501" s="42"/>
      <c r="U501" s="42"/>
      <c r="V501" s="42"/>
      <c r="W501" s="42"/>
      <c r="AC501" s="1436">
        <v>7</v>
      </c>
      <c r="AD501" s="1396"/>
      <c r="AE501" s="1396"/>
      <c r="AF501" s="1396"/>
      <c r="AG501" s="13" t="s">
        <v>403</v>
      </c>
      <c r="AH501" s="1437">
        <v>2023</v>
      </c>
      <c r="AI501" s="1437"/>
      <c r="AJ501" s="1437"/>
      <c r="AK501" s="1438"/>
      <c r="AZ501" s="3"/>
      <c r="BA501" s="3"/>
      <c r="BB501" s="3"/>
      <c r="BC501" s="3"/>
      <c r="BD501" s="3"/>
      <c r="BE501" s="3"/>
      <c r="BF501" s="3"/>
      <c r="BG501" s="3"/>
      <c r="BH501" s="3"/>
      <c r="BI501" s="3"/>
      <c r="BJ501" s="3"/>
      <c r="BK501" s="3"/>
      <c r="BL501" s="3"/>
      <c r="BM501" s="3"/>
      <c r="BN501" s="3"/>
    </row>
    <row r="502" spans="1:66" ht="12.95" customHeight="1">
      <c r="B502" s="1408"/>
      <c r="C502" s="1409"/>
      <c r="D502" s="1409"/>
      <c r="E502" s="1409"/>
      <c r="F502" s="1409"/>
      <c r="G502" s="1409"/>
      <c r="H502" s="1410"/>
      <c r="I502" s="48" t="s">
        <v>407</v>
      </c>
      <c r="J502" s="48"/>
      <c r="K502" s="48"/>
      <c r="L502" s="48"/>
      <c r="M502" s="48"/>
      <c r="N502" s="48"/>
      <c r="O502" s="48"/>
      <c r="P502" s="48"/>
      <c r="Q502" s="48"/>
      <c r="R502" s="48"/>
      <c r="S502" s="48"/>
      <c r="T502" s="48"/>
      <c r="U502" s="48"/>
      <c r="V502" s="48"/>
      <c r="W502" s="48"/>
      <c r="X502" s="48"/>
      <c r="Y502" s="48"/>
      <c r="Z502" s="48"/>
      <c r="AA502" s="48"/>
      <c r="AB502" s="48"/>
      <c r="AC502" s="1436">
        <v>5</v>
      </c>
      <c r="AD502" s="1396"/>
      <c r="AE502" s="1396"/>
      <c r="AF502" s="1396"/>
      <c r="AG502" s="38" t="s">
        <v>403</v>
      </c>
      <c r="AH502" s="1437">
        <v>2022</v>
      </c>
      <c r="AI502" s="1437"/>
      <c r="AJ502" s="1437"/>
      <c r="AK502" s="1438"/>
      <c r="AZ502" s="3"/>
      <c r="BA502" s="3"/>
      <c r="BB502" s="3"/>
      <c r="BC502" s="3"/>
      <c r="BD502" s="3"/>
      <c r="BE502" s="3"/>
      <c r="BF502" s="3"/>
      <c r="BG502" s="3"/>
      <c r="BH502" s="3"/>
      <c r="BI502" s="3"/>
      <c r="BJ502" s="3"/>
      <c r="BK502" s="3"/>
      <c r="BL502" s="3"/>
      <c r="BM502" s="3"/>
      <c r="BN502" s="3"/>
    </row>
    <row r="503" spans="1:66" ht="12.95" customHeight="1">
      <c r="B503" s="1405" t="s">
        <v>408</v>
      </c>
      <c r="C503" s="1406"/>
      <c r="D503" s="1406"/>
      <c r="E503" s="1406"/>
      <c r="F503" s="1406"/>
      <c r="G503" s="1406"/>
      <c r="H503" s="1407"/>
      <c r="I503" s="42" t="s">
        <v>409</v>
      </c>
      <c r="J503" s="42"/>
      <c r="K503" s="42"/>
      <c r="L503" s="42"/>
      <c r="M503" s="42"/>
      <c r="N503" s="42"/>
      <c r="O503" s="42"/>
      <c r="P503" s="42"/>
      <c r="Q503" s="42"/>
      <c r="R503" s="42"/>
      <c r="S503" s="42"/>
      <c r="T503" s="42"/>
      <c r="U503" s="42"/>
      <c r="V503" s="42"/>
      <c r="W503" s="42"/>
      <c r="AC503" s="1436">
        <v>11</v>
      </c>
      <c r="AD503" s="1396"/>
      <c r="AE503" s="1396"/>
      <c r="AF503" s="1396"/>
      <c r="AG503" s="13" t="s">
        <v>403</v>
      </c>
      <c r="AH503" s="1437">
        <v>2025</v>
      </c>
      <c r="AI503" s="1437"/>
      <c r="AJ503" s="1437"/>
      <c r="AK503" s="1438"/>
      <c r="AZ503" s="3"/>
      <c r="BA503" s="3"/>
      <c r="BB503" s="3"/>
      <c r="BC503" s="3"/>
      <c r="BD503" s="3"/>
      <c r="BE503" s="3"/>
      <c r="BF503" s="3"/>
      <c r="BG503" s="3"/>
      <c r="BH503" s="3"/>
      <c r="BI503" s="3"/>
      <c r="BJ503" s="3"/>
      <c r="BK503" s="3"/>
      <c r="BL503" s="3"/>
      <c r="BM503" s="3"/>
      <c r="BN503" s="3"/>
    </row>
    <row r="504" spans="1:66" ht="12.95" customHeight="1">
      <c r="B504" s="1408"/>
      <c r="C504" s="1409"/>
      <c r="D504" s="1409"/>
      <c r="E504" s="1409"/>
      <c r="F504" s="1409"/>
      <c r="G504" s="1409"/>
      <c r="H504" s="1410"/>
      <c r="I504" t="s">
        <v>410</v>
      </c>
      <c r="AC504" s="1436" t="s">
        <v>592</v>
      </c>
      <c r="AD504" s="1396"/>
      <c r="AE504" s="1396"/>
      <c r="AF504" s="1396"/>
      <c r="AG504" s="13" t="s">
        <v>403</v>
      </c>
      <c r="AH504" s="1437"/>
      <c r="AI504" s="1437"/>
      <c r="AJ504" s="1437"/>
      <c r="AK504" s="1438"/>
      <c r="AZ504" s="3"/>
      <c r="BA504" s="3"/>
      <c r="BB504" s="3"/>
      <c r="BC504" s="3"/>
      <c r="BD504" s="3"/>
      <c r="BE504" s="3"/>
      <c r="BF504" s="3"/>
      <c r="BG504" s="3"/>
      <c r="BH504" s="3"/>
      <c r="BI504" s="3"/>
      <c r="BJ504" s="3"/>
      <c r="BK504" s="3"/>
      <c r="BL504" s="3"/>
      <c r="BM504" s="3"/>
      <c r="BN504" s="3"/>
    </row>
    <row r="505" spans="1:66" ht="12.95" customHeight="1">
      <c r="B505" s="1408"/>
      <c r="C505" s="1409"/>
      <c r="D505" s="1409"/>
      <c r="E505" s="1409"/>
      <c r="F505" s="1409"/>
      <c r="G505" s="1409"/>
      <c r="H505" s="1410"/>
      <c r="I505" t="s">
        <v>411</v>
      </c>
      <c r="AC505" s="1436" t="s">
        <v>592</v>
      </c>
      <c r="AD505" s="1396"/>
      <c r="AE505" s="1396"/>
      <c r="AF505" s="1396"/>
      <c r="AG505" s="13" t="s">
        <v>403</v>
      </c>
      <c r="AH505" s="1437"/>
      <c r="AI505" s="1437"/>
      <c r="AJ505" s="1437"/>
      <c r="AK505" s="1438"/>
      <c r="AZ505" s="3"/>
      <c r="BA505" s="3"/>
      <c r="BB505" s="3"/>
      <c r="BC505" s="3"/>
      <c r="BD505" s="3"/>
      <c r="BE505" s="3"/>
      <c r="BF505" s="3"/>
      <c r="BG505" s="3"/>
      <c r="BH505" s="3"/>
      <c r="BI505" s="3"/>
      <c r="BJ505" s="3"/>
      <c r="BK505" s="3"/>
      <c r="BL505" s="3"/>
      <c r="BM505" s="3"/>
      <c r="BN505" s="3"/>
    </row>
    <row r="506" spans="1:66" ht="12.95" customHeight="1">
      <c r="B506" s="1408"/>
      <c r="C506" s="1409"/>
      <c r="D506" s="1409"/>
      <c r="E506" s="1409"/>
      <c r="F506" s="1409"/>
      <c r="G506" s="1409"/>
      <c r="H506" s="1410"/>
      <c r="I506" t="s">
        <v>412</v>
      </c>
      <c r="AC506" s="1436" t="s">
        <v>592</v>
      </c>
      <c r="AD506" s="1396"/>
      <c r="AE506" s="1396"/>
      <c r="AF506" s="1396"/>
      <c r="AG506" s="13" t="s">
        <v>403</v>
      </c>
      <c r="AH506" s="1437"/>
      <c r="AI506" s="1437"/>
      <c r="AJ506" s="1437"/>
      <c r="AK506" s="1438"/>
      <c r="AZ506" s="3"/>
      <c r="BA506" s="3"/>
      <c r="BB506" s="3"/>
      <c r="BC506" s="3"/>
      <c r="BD506" s="3"/>
      <c r="BE506" s="3"/>
      <c r="BF506" s="3"/>
      <c r="BG506" s="3"/>
      <c r="BH506" s="3"/>
      <c r="BI506" s="3"/>
      <c r="BJ506" s="3"/>
      <c r="BK506" s="3"/>
      <c r="BL506" s="3"/>
      <c r="BM506" s="3"/>
      <c r="BN506" s="3"/>
    </row>
    <row r="507" spans="1:66" ht="12.95" customHeight="1">
      <c r="B507" s="1408"/>
      <c r="C507" s="1409"/>
      <c r="D507" s="1409"/>
      <c r="E507" s="1409"/>
      <c r="F507" s="1409"/>
      <c r="G507" s="1409"/>
      <c r="H507" s="1410"/>
      <c r="I507" s="3" t="s">
        <v>413</v>
      </c>
      <c r="AC507" s="1360">
        <v>11</v>
      </c>
      <c r="AD507" s="1361"/>
      <c r="AE507" s="1361"/>
      <c r="AF507" s="1361"/>
      <c r="AG507" s="13" t="s">
        <v>403</v>
      </c>
      <c r="AH507" s="1437">
        <v>2025</v>
      </c>
      <c r="AI507" s="1437"/>
      <c r="AJ507" s="1437"/>
      <c r="AK507" s="1438"/>
      <c r="AZ507" s="3"/>
      <c r="BA507" s="3"/>
      <c r="BB507" s="3"/>
      <c r="BC507" s="3"/>
      <c r="BD507" s="3"/>
      <c r="BE507" s="3"/>
      <c r="BF507" s="3"/>
      <c r="BG507" s="3"/>
      <c r="BH507" s="3"/>
      <c r="BI507" s="3"/>
      <c r="BJ507" s="3"/>
      <c r="BK507" s="3"/>
      <c r="BL507" s="3"/>
      <c r="BM507" s="3"/>
      <c r="BN507" s="3"/>
    </row>
    <row r="508" spans="1:66" ht="12.95" customHeight="1">
      <c r="B508" s="1408"/>
      <c r="C508" s="1409"/>
      <c r="D508" s="1409"/>
      <c r="E508" s="1409"/>
      <c r="F508" s="1409"/>
      <c r="G508" s="1409"/>
      <c r="H508" s="1410"/>
      <c r="I508" s="896" t="s">
        <v>170</v>
      </c>
      <c r="J508" s="48"/>
      <c r="K508" s="48"/>
      <c r="L508" s="1476" t="s">
        <v>334</v>
      </c>
      <c r="M508" s="1477"/>
      <c r="N508" s="1477"/>
      <c r="O508" s="1477"/>
      <c r="P508" s="1477"/>
      <c r="Q508" s="1477"/>
      <c r="R508" s="1477"/>
      <c r="S508" s="1477"/>
      <c r="T508" s="1477"/>
      <c r="U508" s="1477"/>
      <c r="V508" s="1477"/>
      <c r="W508" s="1477"/>
      <c r="X508" s="1477"/>
      <c r="Y508" s="1477"/>
      <c r="Z508" s="1477"/>
      <c r="AA508" s="1477"/>
      <c r="AB508" s="1478"/>
      <c r="AC508" s="1436" t="s">
        <v>592</v>
      </c>
      <c r="AD508" s="1396"/>
      <c r="AE508" s="1396"/>
      <c r="AF508" s="1396"/>
      <c r="AG508" s="38" t="s">
        <v>403</v>
      </c>
      <c r="AH508" s="1437"/>
      <c r="AI508" s="1437"/>
      <c r="AJ508" s="1437"/>
      <c r="AK508" s="143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457" t="s">
        <v>546</v>
      </c>
      <c r="AD509" s="1457"/>
      <c r="AE509" s="1457"/>
      <c r="AF509" s="1457"/>
      <c r="AG509" s="13"/>
      <c r="AH509" s="1414"/>
      <c r="AI509" s="1414"/>
      <c r="AJ509" s="1414"/>
      <c r="AK509" s="1415"/>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60">
        <v>3</v>
      </c>
      <c r="AD510" s="1361"/>
      <c r="AE510" s="1361"/>
      <c r="AF510" s="1362"/>
      <c r="AG510" s="13"/>
      <c r="AH510" s="1414"/>
      <c r="AI510" s="1414"/>
      <c r="AJ510" s="1414"/>
      <c r="AK510" s="1415"/>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67">
        <v>1</v>
      </c>
      <c r="AD512" s="1468"/>
      <c r="AE512" s="1468"/>
      <c r="AF512" s="1469"/>
      <c r="AG512" s="38"/>
      <c r="AH512" s="1603"/>
      <c r="AI512" s="1603"/>
      <c r="AJ512" s="1603"/>
      <c r="AK512" s="160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522" t="s">
        <v>402</v>
      </c>
      <c r="AD513" s="1473"/>
      <c r="AE513" s="1473"/>
      <c r="AF513" s="1473"/>
      <c r="AG513" s="38" t="s">
        <v>403</v>
      </c>
      <c r="AH513" s="1473" t="s">
        <v>404</v>
      </c>
      <c r="AI513" s="1473"/>
      <c r="AJ513" s="1473"/>
      <c r="AK513" s="1474"/>
      <c r="AZ513" s="3"/>
      <c r="BA513" s="3"/>
      <c r="BB513" s="3"/>
      <c r="BC513" s="3"/>
      <c r="BD513" s="3"/>
      <c r="BE513" s="3"/>
      <c r="BF513" s="3"/>
      <c r="BG513" s="3"/>
      <c r="BH513" s="3"/>
      <c r="BI513" s="3"/>
      <c r="BJ513" s="3"/>
      <c r="BK513" s="3"/>
      <c r="BL513" s="3"/>
      <c r="BM513" s="3"/>
      <c r="BN513" s="3" t="s">
        <v>2105</v>
      </c>
    </row>
    <row r="514" spans="2:66" ht="12.95" customHeight="1">
      <c r="B514" s="1405" t="s">
        <v>414</v>
      </c>
      <c r="C514" s="1406"/>
      <c r="D514" s="1406"/>
      <c r="E514" s="1406"/>
      <c r="F514" s="1406"/>
      <c r="G514" s="1406"/>
      <c r="H514" s="1407"/>
      <c r="I514" s="42" t="s">
        <v>415</v>
      </c>
      <c r="J514" s="42"/>
      <c r="K514" s="42"/>
      <c r="L514" s="42"/>
      <c r="M514" s="42"/>
      <c r="N514" s="42"/>
      <c r="O514" s="42"/>
      <c r="P514" s="42"/>
      <c r="Q514" s="42"/>
      <c r="R514" s="42"/>
      <c r="S514" s="42"/>
      <c r="T514" s="42"/>
      <c r="U514" s="42"/>
      <c r="V514" s="42"/>
      <c r="W514" s="42"/>
      <c r="AC514" s="1436">
        <v>4</v>
      </c>
      <c r="AD514" s="1396"/>
      <c r="AE514" s="1396"/>
      <c r="AF514" s="1396"/>
      <c r="AG514" s="13" t="s">
        <v>403</v>
      </c>
      <c r="AH514" s="1437">
        <v>2025</v>
      </c>
      <c r="AI514" s="1437"/>
      <c r="AJ514" s="1437"/>
      <c r="AK514" s="1438"/>
      <c r="AZ514" s="3"/>
      <c r="BA514" s="3"/>
      <c r="BB514" s="3"/>
      <c r="BC514" s="3"/>
      <c r="BD514" s="3"/>
      <c r="BE514" s="3"/>
      <c r="BF514" s="3"/>
      <c r="BG514" s="3"/>
      <c r="BH514" s="3"/>
      <c r="BI514" s="3"/>
      <c r="BJ514" s="3"/>
      <c r="BK514" s="3"/>
      <c r="BL514" s="3"/>
      <c r="BM514" s="3"/>
      <c r="BN514" s="3" t="s">
        <v>2106</v>
      </c>
    </row>
    <row r="515" spans="2:66" ht="12.95" customHeight="1">
      <c r="B515" s="1408"/>
      <c r="C515" s="1409"/>
      <c r="D515" s="1409"/>
      <c r="E515" s="1409"/>
      <c r="F515" s="1409"/>
      <c r="G515" s="1409"/>
      <c r="H515" s="1410"/>
      <c r="I515" t="s">
        <v>416</v>
      </c>
      <c r="AC515" s="1436">
        <v>8</v>
      </c>
      <c r="AD515" s="1396"/>
      <c r="AE515" s="1396"/>
      <c r="AF515" s="1396"/>
      <c r="AG515" s="13" t="s">
        <v>403</v>
      </c>
      <c r="AH515" s="1437">
        <v>2025</v>
      </c>
      <c r="AI515" s="1437"/>
      <c r="AJ515" s="1437"/>
      <c r="AK515" s="1438"/>
      <c r="AZ515" s="3"/>
      <c r="BA515" s="3"/>
      <c r="BB515" s="3"/>
      <c r="BC515" s="3"/>
      <c r="BD515" s="3"/>
      <c r="BE515" s="3"/>
      <c r="BF515" s="3"/>
      <c r="BG515" s="3"/>
      <c r="BH515" s="3"/>
      <c r="BI515" s="3"/>
      <c r="BJ515" s="3"/>
      <c r="BK515" s="3"/>
      <c r="BL515" s="3"/>
      <c r="BM515" s="3"/>
      <c r="BN515" s="3" t="s">
        <v>2107</v>
      </c>
    </row>
    <row r="516" spans="2:66" ht="12.95" customHeight="1">
      <c r="B516" s="1408"/>
      <c r="C516" s="1409"/>
      <c r="D516" s="1409"/>
      <c r="E516" s="1409"/>
      <c r="F516" s="1409"/>
      <c r="G516" s="1409"/>
      <c r="H516" s="1410"/>
      <c r="I516" s="48" t="s">
        <v>417</v>
      </c>
      <c r="J516" s="48"/>
      <c r="K516" s="48"/>
      <c r="L516" s="48"/>
      <c r="M516" s="48"/>
      <c r="N516" s="48"/>
      <c r="O516" s="48"/>
      <c r="P516" s="48"/>
      <c r="Q516" s="48"/>
      <c r="R516" s="48"/>
      <c r="S516" s="48"/>
      <c r="T516" s="48"/>
      <c r="U516" s="48"/>
      <c r="V516" s="48"/>
      <c r="W516" s="48"/>
      <c r="X516" s="48"/>
      <c r="Y516" s="48"/>
      <c r="Z516" s="48"/>
      <c r="AA516" s="48"/>
      <c r="AB516" s="48"/>
      <c r="AC516" s="1436">
        <v>5</v>
      </c>
      <c r="AD516" s="1396"/>
      <c r="AE516" s="1396"/>
      <c r="AF516" s="1396"/>
      <c r="AG516" s="38" t="s">
        <v>403</v>
      </c>
      <c r="AH516" s="1437">
        <v>2026</v>
      </c>
      <c r="AI516" s="1437"/>
      <c r="AJ516" s="1437"/>
      <c r="AK516" s="1438"/>
      <c r="AZ516" s="3"/>
      <c r="BA516" s="3"/>
      <c r="BB516" s="3"/>
      <c r="BC516" s="3"/>
      <c r="BD516" s="3"/>
      <c r="BE516" s="3"/>
      <c r="BF516" s="3"/>
      <c r="BG516" s="3"/>
      <c r="BH516" s="3"/>
      <c r="BI516" s="3"/>
      <c r="BJ516" s="3"/>
      <c r="BK516" s="3"/>
      <c r="BL516" s="3"/>
      <c r="BM516" s="3"/>
      <c r="BN516" s="3" t="s">
        <v>2108</v>
      </c>
    </row>
    <row r="517" spans="2:66" ht="12.95" customHeight="1">
      <c r="B517" s="1405" t="s">
        <v>418</v>
      </c>
      <c r="C517" s="1406"/>
      <c r="D517" s="1406"/>
      <c r="E517" s="1406"/>
      <c r="F517" s="1406"/>
      <c r="G517" s="1406"/>
      <c r="H517" s="1407"/>
      <c r="I517" s="42" t="s">
        <v>415</v>
      </c>
      <c r="J517" s="42"/>
      <c r="K517" s="42"/>
      <c r="L517" s="42"/>
      <c r="M517" s="42"/>
      <c r="N517" s="42"/>
      <c r="O517" s="42"/>
      <c r="P517" s="42"/>
      <c r="Q517" s="42"/>
      <c r="R517" s="42"/>
      <c r="S517" s="42"/>
      <c r="T517" s="42"/>
      <c r="U517" s="42"/>
      <c r="V517" s="42"/>
      <c r="W517" s="42"/>
      <c r="X517" s="42"/>
      <c r="Y517" s="42"/>
      <c r="Z517" s="42"/>
      <c r="AA517" s="42"/>
      <c r="AB517" s="42"/>
      <c r="AC517" s="1360">
        <v>4</v>
      </c>
      <c r="AD517" s="1361"/>
      <c r="AE517" s="1361"/>
      <c r="AF517" s="1361"/>
      <c r="AG517" s="129" t="s">
        <v>403</v>
      </c>
      <c r="AH517" s="1437">
        <v>2025</v>
      </c>
      <c r="AI517" s="1437"/>
      <c r="AJ517" s="1437"/>
      <c r="AK517" s="1438"/>
      <c r="AZ517" s="3"/>
      <c r="BB517" s="3"/>
      <c r="BC517" s="3"/>
      <c r="BD517" s="3"/>
      <c r="BE517" s="3"/>
      <c r="BF517" s="3"/>
      <c r="BG517" s="3"/>
      <c r="BH517" s="3"/>
      <c r="BI517" s="3"/>
      <c r="BJ517" s="3"/>
      <c r="BK517" s="3"/>
      <c r="BL517" s="3"/>
      <c r="BM517" s="3"/>
      <c r="BN517" s="3" t="s">
        <v>2109</v>
      </c>
    </row>
    <row r="518" spans="2:66" ht="12.95" customHeight="1">
      <c r="B518" s="1408"/>
      <c r="C518" s="1409"/>
      <c r="D518" s="1409"/>
      <c r="E518" s="1409"/>
      <c r="F518" s="1409"/>
      <c r="G518" s="1409"/>
      <c r="H518" s="1410"/>
      <c r="I518" t="s">
        <v>416</v>
      </c>
      <c r="AC518" s="1436">
        <v>8</v>
      </c>
      <c r="AD518" s="1396"/>
      <c r="AE518" s="1396"/>
      <c r="AF518" s="1396"/>
      <c r="AG518" s="13" t="s">
        <v>403</v>
      </c>
      <c r="AH518" s="1437">
        <v>2025</v>
      </c>
      <c r="AI518" s="1437"/>
      <c r="AJ518" s="1437"/>
      <c r="AK518" s="1438"/>
      <c r="BB518" s="3"/>
      <c r="BC518" s="3"/>
      <c r="BD518" s="3"/>
      <c r="BE518" s="3"/>
      <c r="BF518" s="3"/>
      <c r="BG518" s="3"/>
      <c r="BH518" s="3"/>
      <c r="BI518" s="3"/>
      <c r="BJ518" s="3"/>
      <c r="BK518" s="3"/>
      <c r="BL518" s="3"/>
      <c r="BM518" s="3"/>
      <c r="BN518" s="3" t="s">
        <v>2110</v>
      </c>
    </row>
    <row r="519" spans="2:66" ht="12.95" customHeight="1">
      <c r="B519" s="1411"/>
      <c r="C519" s="1412"/>
      <c r="D519" s="1412"/>
      <c r="E519" s="1412"/>
      <c r="F519" s="1412"/>
      <c r="G519" s="1412"/>
      <c r="H519" s="1413"/>
      <c r="I519" s="48" t="s">
        <v>417</v>
      </c>
      <c r="J519" s="48"/>
      <c r="K519" s="48"/>
      <c r="L519" s="48"/>
      <c r="M519" s="48"/>
      <c r="N519" s="48"/>
      <c r="O519" s="48"/>
      <c r="P519" s="48"/>
      <c r="Q519" s="48"/>
      <c r="R519" s="48"/>
      <c r="S519" s="48"/>
      <c r="T519" s="48"/>
      <c r="U519" s="48"/>
      <c r="V519" s="48"/>
      <c r="W519" s="48"/>
      <c r="X519" s="48"/>
      <c r="Y519" s="48"/>
      <c r="Z519" s="48"/>
      <c r="AA519" s="48"/>
      <c r="AB519" s="48"/>
      <c r="AC519" s="1436">
        <v>5</v>
      </c>
      <c r="AD519" s="1396"/>
      <c r="AE519" s="1396"/>
      <c r="AF519" s="1396"/>
      <c r="AG519" s="38" t="s">
        <v>403</v>
      </c>
      <c r="AH519" s="1437">
        <v>2026</v>
      </c>
      <c r="AI519" s="1437"/>
      <c r="AJ519" s="1437"/>
      <c r="AK519" s="1438"/>
      <c r="BB519" s="3"/>
      <c r="BC519" s="3"/>
      <c r="BD519" s="3"/>
      <c r="BE519" s="3"/>
      <c r="BF519" s="3"/>
      <c r="BG519" s="3"/>
      <c r="BH519" s="3"/>
      <c r="BI519" s="3"/>
      <c r="BJ519" s="3"/>
      <c r="BK519" s="3"/>
      <c r="BL519" s="3"/>
      <c r="BM519" s="3"/>
      <c r="BN519" s="3" t="s">
        <v>2111</v>
      </c>
    </row>
    <row r="520" spans="2:66" ht="12.95" customHeight="1">
      <c r="B520" s="1405" t="s">
        <v>419</v>
      </c>
      <c r="C520" s="1406"/>
      <c r="D520" s="1406"/>
      <c r="E520" s="1406"/>
      <c r="F520" s="1406"/>
      <c r="G520" s="1406"/>
      <c r="H520" s="1407"/>
      <c r="I520" s="41" t="s">
        <v>420</v>
      </c>
      <c r="J520" s="42"/>
      <c r="K520" s="42"/>
      <c r="L520" s="42"/>
      <c r="M520" s="42"/>
      <c r="N520" s="42"/>
      <c r="O520" s="1476" t="s">
        <v>2698</v>
      </c>
      <c r="P520" s="1477"/>
      <c r="Q520" s="1477"/>
      <c r="R520" s="1477"/>
      <c r="S520" s="1477"/>
      <c r="T520" s="1477"/>
      <c r="U520" s="1477"/>
      <c r="V520" s="1477"/>
      <c r="W520" s="1477"/>
      <c r="X520" s="1477"/>
      <c r="Y520" s="1477"/>
      <c r="Z520" s="1477"/>
      <c r="AA520" s="1477"/>
      <c r="AB520" s="58"/>
      <c r="AC520" s="1360" t="s">
        <v>592</v>
      </c>
      <c r="AD520" s="1361"/>
      <c r="AE520" s="1361"/>
      <c r="AF520" s="1361"/>
      <c r="AG520" s="129" t="s">
        <v>403</v>
      </c>
      <c r="AH520" s="1437"/>
      <c r="AI520" s="1437"/>
      <c r="AJ520" s="1437"/>
      <c r="AK520" s="1438"/>
      <c r="AZ520" s="3"/>
      <c r="BB520" s="3"/>
      <c r="BC520" s="3"/>
      <c r="BD520" s="3"/>
      <c r="BE520" s="3"/>
      <c r="BF520" s="3"/>
      <c r="BG520" s="3"/>
      <c r="BH520" s="3"/>
      <c r="BI520" s="3"/>
      <c r="BJ520" s="3"/>
      <c r="BK520" s="3"/>
      <c r="BL520" s="3"/>
      <c r="BM520" s="3"/>
      <c r="BN520" s="3" t="s">
        <v>2112</v>
      </c>
    </row>
    <row r="521" spans="2:66" ht="12.95" customHeight="1">
      <c r="B521" s="1408"/>
      <c r="C521" s="1409"/>
      <c r="D521" s="1409"/>
      <c r="E521" s="1409"/>
      <c r="F521" s="1409"/>
      <c r="G521" s="1409"/>
      <c r="H521" s="1410"/>
      <c r="I521" s="114" t="s">
        <v>421</v>
      </c>
      <c r="AB521" s="65"/>
      <c r="AC521" s="1436">
        <v>12</v>
      </c>
      <c r="AD521" s="1396"/>
      <c r="AE521" s="1396"/>
      <c r="AF521" s="1396"/>
      <c r="AG521" s="13" t="s">
        <v>403</v>
      </c>
      <c r="AH521" s="1437">
        <v>2024</v>
      </c>
      <c r="AI521" s="1437"/>
      <c r="AJ521" s="1437"/>
      <c r="AK521" s="1438"/>
      <c r="AZ521" s="3"/>
      <c r="BB521" s="3"/>
      <c r="BC521" s="3"/>
      <c r="BD521" s="3"/>
      <c r="BE521" s="3"/>
      <c r="BF521" s="3"/>
      <c r="BG521" s="3"/>
      <c r="BH521" s="3"/>
      <c r="BI521" s="3"/>
      <c r="BJ521" s="3"/>
      <c r="BK521" s="3"/>
      <c r="BL521" s="3"/>
      <c r="BM521" s="3"/>
      <c r="BN521" s="3" t="s">
        <v>2113</v>
      </c>
    </row>
    <row r="522" spans="2:66" ht="12.95" customHeight="1">
      <c r="B522" s="1408"/>
      <c r="C522" s="1409"/>
      <c r="D522" s="1409"/>
      <c r="E522" s="1409"/>
      <c r="F522" s="1409"/>
      <c r="G522" s="1409"/>
      <c r="H522" s="1410"/>
      <c r="I522" s="47" t="s">
        <v>422</v>
      </c>
      <c r="J522" s="48"/>
      <c r="K522" s="48"/>
      <c r="L522" s="48"/>
      <c r="M522" s="48"/>
      <c r="N522" s="48"/>
      <c r="O522" s="48"/>
      <c r="P522" s="48"/>
      <c r="Q522" s="48"/>
      <c r="R522" s="48"/>
      <c r="S522" s="48"/>
      <c r="T522" s="48"/>
      <c r="U522" s="48"/>
      <c r="V522" s="48"/>
      <c r="W522" s="48"/>
      <c r="X522" s="48"/>
      <c r="Y522" s="48"/>
      <c r="Z522" s="48"/>
      <c r="AA522" s="48"/>
      <c r="AB522" s="49"/>
      <c r="AC522" s="1436">
        <v>6</v>
      </c>
      <c r="AD522" s="1396"/>
      <c r="AE522" s="1396"/>
      <c r="AF522" s="1396"/>
      <c r="AG522" s="38" t="s">
        <v>403</v>
      </c>
      <c r="AH522" s="1437">
        <v>2025</v>
      </c>
      <c r="AI522" s="1437"/>
      <c r="AJ522" s="1437"/>
      <c r="AK522" s="1438"/>
      <c r="AZ522" s="3"/>
      <c r="BA522" s="3"/>
      <c r="BB522" s="3"/>
      <c r="BC522" s="3"/>
      <c r="BD522" s="3"/>
      <c r="BE522" s="3"/>
      <c r="BF522" s="3"/>
      <c r="BG522" s="3"/>
      <c r="BH522" s="3"/>
      <c r="BI522" s="3"/>
      <c r="BJ522" s="3"/>
      <c r="BK522" s="3"/>
      <c r="BL522" s="3"/>
      <c r="BM522" s="3"/>
      <c r="BN522" s="3" t="s">
        <v>2114</v>
      </c>
    </row>
    <row r="523" spans="2:66" ht="12.95" customHeight="1">
      <c r="B523" s="1408"/>
      <c r="C523" s="1409"/>
      <c r="D523" s="1409"/>
      <c r="E523" s="1409"/>
      <c r="F523" s="1409"/>
      <c r="G523" s="1409"/>
      <c r="H523" s="1410"/>
      <c r="I523" s="42" t="s">
        <v>423</v>
      </c>
      <c r="J523" s="42"/>
      <c r="K523" s="42"/>
      <c r="L523" s="42"/>
      <c r="M523" s="42"/>
      <c r="N523" s="42"/>
      <c r="O523" s="1476" t="s">
        <v>2699</v>
      </c>
      <c r="P523" s="1477"/>
      <c r="Q523" s="1477"/>
      <c r="R523" s="1477"/>
      <c r="S523" s="1477"/>
      <c r="T523" s="1477"/>
      <c r="U523" s="1477"/>
      <c r="V523" s="1477"/>
      <c r="W523" s="1477"/>
      <c r="X523" s="1477"/>
      <c r="Y523" s="1477"/>
      <c r="Z523" s="1477"/>
      <c r="AA523" s="1477"/>
      <c r="AC523" s="1436" t="s">
        <v>592</v>
      </c>
      <c r="AD523" s="1396"/>
      <c r="AE523" s="1396"/>
      <c r="AF523" s="1396"/>
      <c r="AG523" s="13" t="s">
        <v>403</v>
      </c>
      <c r="AH523" s="1437"/>
      <c r="AI523" s="1437"/>
      <c r="AJ523" s="1437"/>
      <c r="AK523" s="1438"/>
      <c r="AZ523" s="3"/>
      <c r="BA523" s="3"/>
      <c r="BB523" s="3"/>
      <c r="BC523" s="3"/>
      <c r="BD523" s="3"/>
      <c r="BE523" s="3"/>
      <c r="BF523" s="3"/>
      <c r="BG523" s="3"/>
      <c r="BH523" s="3"/>
      <c r="BI523" s="3"/>
      <c r="BJ523" s="3"/>
      <c r="BK523" s="3"/>
      <c r="BL523" s="3"/>
      <c r="BM523" s="3"/>
      <c r="BN523" s="3" t="s">
        <v>2115</v>
      </c>
    </row>
    <row r="524" spans="2:66" ht="12.95" customHeight="1">
      <c r="B524" s="1408"/>
      <c r="C524" s="1409"/>
      <c r="D524" s="1409"/>
      <c r="E524" s="1409"/>
      <c r="F524" s="1409"/>
      <c r="G524" s="1409"/>
      <c r="H524" s="1410"/>
      <c r="I524" t="s">
        <v>421</v>
      </c>
      <c r="AC524" s="1436">
        <v>6</v>
      </c>
      <c r="AD524" s="1396"/>
      <c r="AE524" s="1396"/>
      <c r="AF524" s="1396"/>
      <c r="AG524" s="13" t="s">
        <v>403</v>
      </c>
      <c r="AH524" s="1437">
        <v>2022</v>
      </c>
      <c r="AI524" s="1437"/>
      <c r="AJ524" s="1437"/>
      <c r="AK524" s="1438"/>
      <c r="AZ524" s="3"/>
      <c r="BA524" s="3"/>
      <c r="BB524" s="3"/>
      <c r="BC524" s="3"/>
      <c r="BD524" s="3"/>
      <c r="BE524" s="3"/>
      <c r="BF524" s="3"/>
      <c r="BG524" s="3"/>
      <c r="BH524" s="3"/>
      <c r="BI524" s="3"/>
      <c r="BJ524" s="3"/>
      <c r="BK524" s="3"/>
      <c r="BL524" s="3"/>
      <c r="BM524" s="3"/>
      <c r="BN524" s="3" t="s">
        <v>2116</v>
      </c>
    </row>
    <row r="525" spans="2:66" ht="12.95" customHeight="1">
      <c r="B525" s="1408"/>
      <c r="C525" s="1409"/>
      <c r="D525" s="1409"/>
      <c r="E525" s="1409"/>
      <c r="F525" s="1409"/>
      <c r="G525" s="1409"/>
      <c r="H525" s="1410"/>
      <c r="I525" s="48" t="s">
        <v>422</v>
      </c>
      <c r="J525" s="48"/>
      <c r="K525" s="48"/>
      <c r="L525" s="48"/>
      <c r="M525" s="48"/>
      <c r="N525" s="48"/>
      <c r="O525" s="48"/>
      <c r="P525" s="48"/>
      <c r="Q525" s="48"/>
      <c r="R525" s="48"/>
      <c r="S525" s="48"/>
      <c r="T525" s="48"/>
      <c r="U525" s="48"/>
      <c r="V525" s="48"/>
      <c r="W525" s="48"/>
      <c r="X525" s="48"/>
      <c r="Y525" s="48"/>
      <c r="Z525" s="48"/>
      <c r="AA525" s="48"/>
      <c r="AB525" s="48"/>
      <c r="AC525" s="1436">
        <v>9</v>
      </c>
      <c r="AD525" s="1396"/>
      <c r="AE525" s="1396"/>
      <c r="AF525" s="1396"/>
      <c r="AG525" s="38" t="s">
        <v>403</v>
      </c>
      <c r="AH525" s="1437">
        <v>2022</v>
      </c>
      <c r="AI525" s="1437"/>
      <c r="AJ525" s="1437"/>
      <c r="AK525" s="1438"/>
      <c r="AZ525" s="3"/>
      <c r="BA525" s="3"/>
      <c r="BB525" s="3"/>
      <c r="BC525" s="3"/>
      <c r="BD525" s="3"/>
      <c r="BE525" s="3"/>
      <c r="BF525" s="3"/>
      <c r="BG525" s="3"/>
      <c r="BH525" s="3"/>
      <c r="BI525" s="3"/>
      <c r="BJ525" s="3"/>
      <c r="BK525" s="3"/>
      <c r="BL525" s="3"/>
      <c r="BM525" s="3"/>
      <c r="BN525" s="3" t="s">
        <v>2117</v>
      </c>
    </row>
    <row r="526" spans="2:66" ht="12.95" customHeight="1">
      <c r="B526" s="1408"/>
      <c r="C526" s="1409"/>
      <c r="D526" s="1409"/>
      <c r="E526" s="1409"/>
      <c r="F526" s="1409"/>
      <c r="G526" s="1409"/>
      <c r="H526" s="1410"/>
      <c r="I526" s="42" t="s">
        <v>423</v>
      </c>
      <c r="J526" s="42"/>
      <c r="K526" s="42"/>
      <c r="L526" s="42"/>
      <c r="M526" s="42"/>
      <c r="N526" s="42"/>
      <c r="O526" s="1476" t="s">
        <v>2700</v>
      </c>
      <c r="P526" s="1477"/>
      <c r="Q526" s="1477"/>
      <c r="R526" s="1477"/>
      <c r="S526" s="1477"/>
      <c r="T526" s="1477"/>
      <c r="U526" s="1477"/>
      <c r="V526" s="1477"/>
      <c r="W526" s="1477"/>
      <c r="X526" s="1477"/>
      <c r="Y526" s="1477"/>
      <c r="Z526" s="1477"/>
      <c r="AA526" s="1477"/>
      <c r="AC526" s="1436" t="s">
        <v>592</v>
      </c>
      <c r="AD526" s="1396"/>
      <c r="AE526" s="1396"/>
      <c r="AF526" s="1396"/>
      <c r="AG526" s="13" t="s">
        <v>403</v>
      </c>
      <c r="AH526" s="1437"/>
      <c r="AI526" s="1437"/>
      <c r="AJ526" s="1437"/>
      <c r="AK526" s="1438"/>
      <c r="AZ526" s="3"/>
      <c r="BA526" s="3"/>
      <c r="BB526" s="3"/>
      <c r="BC526" s="3"/>
      <c r="BD526" s="3"/>
      <c r="BE526" s="3"/>
      <c r="BF526" s="3"/>
      <c r="BG526" s="3"/>
      <c r="BH526" s="3"/>
      <c r="BI526" s="3"/>
      <c r="BJ526" s="3"/>
      <c r="BK526" s="3"/>
      <c r="BL526" s="3"/>
      <c r="BM526" s="3"/>
      <c r="BN526" s="3" t="s">
        <v>2118</v>
      </c>
    </row>
    <row r="527" spans="2:66" ht="12.95" customHeight="1">
      <c r="B527" s="1408"/>
      <c r="C527" s="1409"/>
      <c r="D527" s="1409"/>
      <c r="E527" s="1409"/>
      <c r="F527" s="1409"/>
      <c r="G527" s="1409"/>
      <c r="H527" s="1410"/>
      <c r="I527" t="s">
        <v>421</v>
      </c>
      <c r="AC527" s="1436">
        <v>8</v>
      </c>
      <c r="AD527" s="1396"/>
      <c r="AE527" s="1396"/>
      <c r="AF527" s="1396"/>
      <c r="AG527" s="13" t="s">
        <v>403</v>
      </c>
      <c r="AH527" s="1437">
        <v>2023</v>
      </c>
      <c r="AI527" s="1437"/>
      <c r="AJ527" s="1437"/>
      <c r="AK527" s="1438"/>
      <c r="AZ527" s="3"/>
      <c r="BA527" s="3"/>
      <c r="BB527" s="3"/>
      <c r="BC527" s="3"/>
      <c r="BD527" s="3"/>
      <c r="BE527" s="3"/>
      <c r="BF527" s="3"/>
      <c r="BG527" s="3"/>
      <c r="BH527" s="3"/>
      <c r="BI527" s="3"/>
      <c r="BJ527" s="3"/>
      <c r="BK527" s="3"/>
      <c r="BL527" s="3"/>
      <c r="BM527" s="3"/>
      <c r="BN527" s="3" t="s">
        <v>2119</v>
      </c>
    </row>
    <row r="528" spans="2:66" ht="12.95" customHeight="1">
      <c r="B528" s="1408"/>
      <c r="C528" s="1409"/>
      <c r="D528" s="1409"/>
      <c r="E528" s="1409"/>
      <c r="F528" s="1409"/>
      <c r="G528" s="1409"/>
      <c r="H528" s="1410"/>
      <c r="I528" s="48" t="s">
        <v>422</v>
      </c>
      <c r="J528" s="48"/>
      <c r="K528" s="48"/>
      <c r="L528" s="48"/>
      <c r="M528" s="48"/>
      <c r="N528" s="48"/>
      <c r="O528" s="48"/>
      <c r="P528" s="48"/>
      <c r="Q528" s="48"/>
      <c r="R528" s="48"/>
      <c r="S528" s="48"/>
      <c r="T528" s="48"/>
      <c r="U528" s="48"/>
      <c r="V528" s="48"/>
      <c r="W528" s="48"/>
      <c r="X528" s="48"/>
      <c r="Y528" s="48"/>
      <c r="Z528" s="48"/>
      <c r="AA528" s="48"/>
      <c r="AB528" s="48"/>
      <c r="AC528" s="1436">
        <v>9</v>
      </c>
      <c r="AD528" s="1396"/>
      <c r="AE528" s="1396"/>
      <c r="AF528" s="1396"/>
      <c r="AG528" s="38" t="s">
        <v>403</v>
      </c>
      <c r="AH528" s="1437">
        <v>2023</v>
      </c>
      <c r="AI528" s="1437"/>
      <c r="AJ528" s="1437"/>
      <c r="AK528" s="1438"/>
      <c r="AZ528" s="3"/>
      <c r="BA528" s="3"/>
      <c r="BB528" s="3"/>
      <c r="BC528" s="3"/>
      <c r="BD528" s="3"/>
      <c r="BE528" s="3"/>
      <c r="BF528" s="3"/>
      <c r="BG528" s="3"/>
      <c r="BH528" s="3"/>
      <c r="BI528" s="3"/>
      <c r="BJ528" s="3"/>
      <c r="BK528" s="3"/>
      <c r="BL528" s="3"/>
      <c r="BM528" s="3"/>
      <c r="BN528" s="3" t="s">
        <v>2120</v>
      </c>
    </row>
    <row r="529" spans="1:66" ht="12.95" customHeight="1">
      <c r="B529" s="1408"/>
      <c r="C529" s="1409"/>
      <c r="D529" s="1409"/>
      <c r="E529" s="1409"/>
      <c r="F529" s="1409"/>
      <c r="G529" s="1409"/>
      <c r="H529" s="1410"/>
      <c r="I529" s="42" t="s">
        <v>423</v>
      </c>
      <c r="J529" s="42"/>
      <c r="K529" s="42"/>
      <c r="L529" s="42"/>
      <c r="M529" s="42"/>
      <c r="N529" s="42"/>
      <c r="O529" s="1476" t="s">
        <v>2701</v>
      </c>
      <c r="P529" s="1477"/>
      <c r="Q529" s="1477"/>
      <c r="R529" s="1477"/>
      <c r="S529" s="1477"/>
      <c r="T529" s="1477"/>
      <c r="U529" s="1477"/>
      <c r="V529" s="1477"/>
      <c r="W529" s="1477"/>
      <c r="X529" s="1477"/>
      <c r="Y529" s="1477"/>
      <c r="Z529" s="1477"/>
      <c r="AA529" s="1477"/>
      <c r="AC529" s="1436" t="s">
        <v>592</v>
      </c>
      <c r="AD529" s="1396"/>
      <c r="AE529" s="1396"/>
      <c r="AF529" s="1396"/>
      <c r="AG529" s="13" t="s">
        <v>403</v>
      </c>
      <c r="AH529" s="1437"/>
      <c r="AI529" s="1437"/>
      <c r="AJ529" s="1437"/>
      <c r="AK529" s="1438"/>
      <c r="AZ529" s="3"/>
      <c r="BA529" s="3"/>
      <c r="BB529" s="3"/>
      <c r="BC529" s="3"/>
      <c r="BD529" s="3"/>
      <c r="BE529" s="3"/>
      <c r="BF529" s="3"/>
      <c r="BG529" s="3"/>
      <c r="BH529" s="3"/>
      <c r="BI529" s="3"/>
      <c r="BJ529" s="3"/>
      <c r="BK529" s="3"/>
      <c r="BL529" s="3"/>
      <c r="BM529" s="3"/>
      <c r="BN529" s="3" t="s">
        <v>2121</v>
      </c>
    </row>
    <row r="530" spans="1:66" ht="12.95" customHeight="1">
      <c r="B530" s="1408"/>
      <c r="C530" s="1409"/>
      <c r="D530" s="1409"/>
      <c r="E530" s="1409"/>
      <c r="F530" s="1409"/>
      <c r="G530" s="1409"/>
      <c r="H530" s="1410"/>
      <c r="I530" t="s">
        <v>421</v>
      </c>
      <c r="AC530" s="1436">
        <v>4</v>
      </c>
      <c r="AD530" s="1396"/>
      <c r="AE530" s="1396"/>
      <c r="AF530" s="1396"/>
      <c r="AG530" s="13" t="s">
        <v>403</v>
      </c>
      <c r="AH530" s="1437">
        <v>2025</v>
      </c>
      <c r="AI530" s="1437"/>
      <c r="AJ530" s="1437"/>
      <c r="AK530" s="1438"/>
      <c r="AZ530" s="3"/>
      <c r="BA530" s="3"/>
      <c r="BB530" s="3"/>
      <c r="BC530" s="3"/>
      <c r="BD530" s="3"/>
      <c r="BE530" s="3"/>
      <c r="BF530" s="3"/>
      <c r="BG530" s="3"/>
      <c r="BH530" s="3"/>
      <c r="BI530" s="3"/>
      <c r="BJ530" s="3"/>
      <c r="BK530" s="3"/>
      <c r="BL530" s="3"/>
      <c r="BM530" s="3"/>
      <c r="BN530" s="3" t="s">
        <v>2122</v>
      </c>
    </row>
    <row r="531" spans="1:66" ht="12.95" customHeight="1">
      <c r="B531" s="1408"/>
      <c r="C531" s="1409"/>
      <c r="D531" s="1409"/>
      <c r="E531" s="1409"/>
      <c r="F531" s="1409"/>
      <c r="G531" s="1409"/>
      <c r="H531" s="1410"/>
      <c r="I531" s="48" t="s">
        <v>422</v>
      </c>
      <c r="J531" s="48"/>
      <c r="K531" s="48"/>
      <c r="L531" s="48"/>
      <c r="M531" s="48"/>
      <c r="N531" s="48"/>
      <c r="O531" s="48"/>
      <c r="P531" s="48"/>
      <c r="Q531" s="48"/>
      <c r="R531" s="48"/>
      <c r="S531" s="48"/>
      <c r="T531" s="48"/>
      <c r="U531" s="48"/>
      <c r="V531" s="48"/>
      <c r="W531" s="48"/>
      <c r="X531" s="48"/>
      <c r="Y531" s="48"/>
      <c r="Z531" s="48"/>
      <c r="AA531" s="48"/>
      <c r="AB531" s="48"/>
      <c r="AC531" s="1436">
        <v>9</v>
      </c>
      <c r="AD531" s="1396"/>
      <c r="AE531" s="1396"/>
      <c r="AF531" s="1396"/>
      <c r="AG531" s="38" t="s">
        <v>403</v>
      </c>
      <c r="AH531" s="1437">
        <v>2025</v>
      </c>
      <c r="AI531" s="1437"/>
      <c r="AJ531" s="1437"/>
      <c r="AK531" s="1438"/>
      <c r="AZ531" s="3"/>
      <c r="BA531" s="3"/>
      <c r="BB531" s="3"/>
      <c r="BC531" s="3"/>
      <c r="BD531" s="3"/>
      <c r="BE531" s="3"/>
      <c r="BF531" s="3"/>
      <c r="BG531" s="3"/>
      <c r="BH531" s="3"/>
      <c r="BI531" s="3"/>
      <c r="BJ531" s="3"/>
      <c r="BK531" s="3"/>
      <c r="BL531" s="3"/>
      <c r="BM531" s="3"/>
      <c r="BN531" s="3" t="s">
        <v>2123</v>
      </c>
    </row>
    <row r="532" spans="1:66" ht="12.95" customHeight="1">
      <c r="B532" s="1408"/>
      <c r="C532" s="1409"/>
      <c r="D532" s="1409"/>
      <c r="E532" s="1409"/>
      <c r="F532" s="1409"/>
      <c r="G532" s="1409"/>
      <c r="H532" s="1410"/>
      <c r="I532" s="42" t="s">
        <v>423</v>
      </c>
      <c r="J532" s="42"/>
      <c r="K532" s="42"/>
      <c r="L532" s="42"/>
      <c r="M532" s="42"/>
      <c r="N532" s="42"/>
      <c r="O532" s="1476" t="s">
        <v>334</v>
      </c>
      <c r="P532" s="1477"/>
      <c r="Q532" s="1477"/>
      <c r="R532" s="1477"/>
      <c r="S532" s="1477"/>
      <c r="T532" s="1477"/>
      <c r="U532" s="1477"/>
      <c r="V532" s="1477"/>
      <c r="W532" s="1477"/>
      <c r="X532" s="1477"/>
      <c r="Y532" s="1477"/>
      <c r="Z532" s="1477"/>
      <c r="AA532" s="1477"/>
      <c r="AC532" s="1436" t="s">
        <v>592</v>
      </c>
      <c r="AD532" s="1396"/>
      <c r="AE532" s="1396"/>
      <c r="AF532" s="1396"/>
      <c r="AG532" s="13" t="s">
        <v>403</v>
      </c>
      <c r="AH532" s="1437"/>
      <c r="AI532" s="1437"/>
      <c r="AJ532" s="1437"/>
      <c r="AK532" s="1438"/>
      <c r="AZ532" s="3"/>
      <c r="BA532" s="3"/>
      <c r="BB532" s="3"/>
      <c r="BC532" s="3"/>
      <c r="BD532" s="3"/>
      <c r="BE532" s="3"/>
      <c r="BF532" s="3"/>
      <c r="BG532" s="3"/>
      <c r="BH532" s="3"/>
      <c r="BI532" s="3"/>
      <c r="BJ532" s="3"/>
      <c r="BK532" s="3"/>
      <c r="BL532" s="3"/>
      <c r="BM532" s="3"/>
      <c r="BN532" s="3" t="s">
        <v>2124</v>
      </c>
    </row>
    <row r="533" spans="1:66" ht="12.95" customHeight="1">
      <c r="B533" s="1408"/>
      <c r="C533" s="1409"/>
      <c r="D533" s="1409"/>
      <c r="E533" s="1409"/>
      <c r="F533" s="1409"/>
      <c r="G533" s="1409"/>
      <c r="H533" s="1410"/>
      <c r="I533" t="s">
        <v>421</v>
      </c>
      <c r="AC533" s="1436" t="s">
        <v>592</v>
      </c>
      <c r="AD533" s="1396"/>
      <c r="AE533" s="1396"/>
      <c r="AF533" s="1396"/>
      <c r="AG533" s="38" t="s">
        <v>403</v>
      </c>
      <c r="AH533" s="1437"/>
      <c r="AI533" s="1437"/>
      <c r="AJ533" s="1437"/>
      <c r="AK533" s="1438"/>
      <c r="AZ533" s="3"/>
      <c r="BA533" s="3"/>
      <c r="BB533" s="3"/>
      <c r="BC533" s="3"/>
      <c r="BD533" s="3"/>
      <c r="BE533" s="3"/>
      <c r="BF533" s="3"/>
      <c r="BG533" s="3"/>
      <c r="BH533" s="3"/>
      <c r="BI533" s="3"/>
      <c r="BJ533" s="3"/>
      <c r="BK533" s="3"/>
      <c r="BL533" s="3"/>
      <c r="BM533" s="3"/>
      <c r="BN533" s="3" t="s">
        <v>2125</v>
      </c>
    </row>
    <row r="534" spans="1:66" ht="12.95" customHeight="1">
      <c r="B534" s="1408"/>
      <c r="C534" s="1409"/>
      <c r="D534" s="1409"/>
      <c r="E534" s="1409"/>
      <c r="F534" s="1409"/>
      <c r="G534" s="1409"/>
      <c r="H534" s="1410"/>
      <c r="I534" s="48" t="s">
        <v>422</v>
      </c>
      <c r="J534" s="48"/>
      <c r="K534" s="48"/>
      <c r="L534" s="48"/>
      <c r="M534" s="48"/>
      <c r="N534" s="48"/>
      <c r="O534" s="48"/>
      <c r="P534" s="48"/>
      <c r="Q534" s="48"/>
      <c r="R534" s="48"/>
      <c r="S534" s="48"/>
      <c r="T534" s="48"/>
      <c r="U534" s="48"/>
      <c r="V534" s="48"/>
      <c r="W534" s="48"/>
      <c r="X534" s="48"/>
      <c r="Y534" s="48"/>
      <c r="Z534" s="48"/>
      <c r="AA534" s="48"/>
      <c r="AB534" s="48"/>
      <c r="AC534" s="1436" t="s">
        <v>592</v>
      </c>
      <c r="AD534" s="1396"/>
      <c r="AE534" s="1396"/>
      <c r="AF534" s="1396"/>
      <c r="AG534" s="13" t="s">
        <v>403</v>
      </c>
      <c r="AH534" s="1437"/>
      <c r="AI534" s="1437"/>
      <c r="AJ534" s="1437"/>
      <c r="AK534" s="1438"/>
      <c r="AZ534" s="3"/>
      <c r="BA534" s="3"/>
      <c r="BB534" s="3"/>
      <c r="BC534" s="3"/>
      <c r="BD534" s="3"/>
      <c r="BE534" s="3"/>
      <c r="BF534" s="3"/>
      <c r="BG534" s="3"/>
      <c r="BH534" s="3"/>
      <c r="BI534" s="3"/>
      <c r="BJ534" s="3"/>
      <c r="BK534" s="3"/>
      <c r="BL534" s="3"/>
      <c r="BM534" s="3"/>
      <c r="BN534" s="3" t="s">
        <v>2126</v>
      </c>
    </row>
    <row r="535" spans="1:66" ht="12.95" customHeight="1">
      <c r="B535" s="1408"/>
      <c r="C535" s="1409"/>
      <c r="D535" s="1409"/>
      <c r="E535" s="1409"/>
      <c r="F535" s="1409"/>
      <c r="G535" s="1409"/>
      <c r="H535" s="1410"/>
      <c r="I535" s="42" t="s">
        <v>423</v>
      </c>
      <c r="J535" s="42"/>
      <c r="K535" s="42"/>
      <c r="L535" s="42"/>
      <c r="M535" s="42"/>
      <c r="N535" s="42"/>
      <c r="O535" s="1476" t="s">
        <v>334</v>
      </c>
      <c r="P535" s="1477"/>
      <c r="Q535" s="1477"/>
      <c r="R535" s="1477"/>
      <c r="S535" s="1477"/>
      <c r="T535" s="1477"/>
      <c r="U535" s="1477"/>
      <c r="V535" s="1477"/>
      <c r="W535" s="1477"/>
      <c r="X535" s="1477"/>
      <c r="Y535" s="1477"/>
      <c r="Z535" s="1477"/>
      <c r="AA535" s="1477"/>
      <c r="AC535" s="1436" t="s">
        <v>592</v>
      </c>
      <c r="AD535" s="1396"/>
      <c r="AE535" s="1396"/>
      <c r="AF535" s="1396"/>
      <c r="AG535" s="38" t="s">
        <v>403</v>
      </c>
      <c r="AH535" s="1437"/>
      <c r="AI535" s="1437"/>
      <c r="AJ535" s="1437"/>
      <c r="AK535" s="1438"/>
      <c r="AZ535" s="3"/>
      <c r="BA535" s="3"/>
      <c r="BB535" s="3"/>
      <c r="BC535" s="3"/>
      <c r="BD535" s="3"/>
      <c r="BE535" s="3"/>
      <c r="BF535" s="3"/>
      <c r="BG535" s="3"/>
      <c r="BH535" s="3"/>
      <c r="BI535" s="3"/>
      <c r="BJ535" s="3"/>
      <c r="BK535" s="3"/>
      <c r="BL535" s="3"/>
      <c r="BM535" s="3"/>
      <c r="BN535" s="3" t="s">
        <v>2127</v>
      </c>
    </row>
    <row r="536" spans="1:66" ht="12.95" customHeight="1">
      <c r="B536" s="1408"/>
      <c r="C536" s="1409"/>
      <c r="D536" s="1409"/>
      <c r="E536" s="1409"/>
      <c r="F536" s="1409"/>
      <c r="G536" s="1409"/>
      <c r="H536" s="1410"/>
      <c r="I536" t="s">
        <v>421</v>
      </c>
      <c r="AC536" s="1436" t="s">
        <v>592</v>
      </c>
      <c r="AD536" s="1396"/>
      <c r="AE536" s="1396"/>
      <c r="AF536" s="1396"/>
      <c r="AG536" s="13" t="s">
        <v>403</v>
      </c>
      <c r="AH536" s="1437"/>
      <c r="AI536" s="1437"/>
      <c r="AJ536" s="1437"/>
      <c r="AK536" s="1438"/>
      <c r="AZ536" s="3"/>
      <c r="BA536" s="3"/>
      <c r="BB536" s="3"/>
      <c r="BC536" s="3"/>
      <c r="BD536" s="3"/>
      <c r="BE536" s="3"/>
      <c r="BF536" s="3"/>
      <c r="BG536" s="3"/>
      <c r="BH536" s="3"/>
      <c r="BI536" s="3"/>
      <c r="BJ536" s="3"/>
      <c r="BK536" s="3"/>
      <c r="BL536" s="3"/>
      <c r="BM536" s="3"/>
      <c r="BN536" s="3" t="s">
        <v>2128</v>
      </c>
    </row>
    <row r="537" spans="1:66" ht="12.95" customHeight="1">
      <c r="B537" s="1408"/>
      <c r="C537" s="1409"/>
      <c r="D537" s="1409"/>
      <c r="E537" s="1409"/>
      <c r="F537" s="1409"/>
      <c r="G537" s="1409"/>
      <c r="H537" s="1410"/>
      <c r="I537" s="48" t="s">
        <v>422</v>
      </c>
      <c r="J537" s="48"/>
      <c r="K537" s="48"/>
      <c r="L537" s="48"/>
      <c r="M537" s="48"/>
      <c r="N537" s="48"/>
      <c r="O537" s="48"/>
      <c r="P537" s="48"/>
      <c r="Q537" s="48"/>
      <c r="R537" s="48"/>
      <c r="S537" s="48"/>
      <c r="T537" s="48"/>
      <c r="U537" s="48"/>
      <c r="V537" s="48"/>
      <c r="W537" s="48"/>
      <c r="X537" s="48"/>
      <c r="Y537" s="48"/>
      <c r="Z537" s="48"/>
      <c r="AA537" s="48"/>
      <c r="AB537" s="48"/>
      <c r="AC537" s="1436" t="s">
        <v>592</v>
      </c>
      <c r="AD537" s="1396"/>
      <c r="AE537" s="1396"/>
      <c r="AF537" s="1396"/>
      <c r="AG537" s="38" t="s">
        <v>403</v>
      </c>
      <c r="AH537" s="1437"/>
      <c r="AI537" s="1437"/>
      <c r="AJ537" s="1437"/>
      <c r="AK537" s="1438"/>
      <c r="AZ537" s="3"/>
      <c r="BA537" s="3"/>
      <c r="BB537" s="3"/>
      <c r="BC537" s="3"/>
      <c r="BD537" s="3"/>
      <c r="BE537" s="3"/>
      <c r="BF537" s="3"/>
      <c r="BG537" s="3"/>
      <c r="BH537" s="3"/>
      <c r="BI537" s="3"/>
      <c r="BJ537" s="3"/>
      <c r="BK537" s="3"/>
      <c r="BL537" s="3"/>
      <c r="BM537" s="3"/>
      <c r="BN537" s="3" t="s">
        <v>2129</v>
      </c>
    </row>
    <row r="538" spans="1:66" ht="12.95" customHeight="1">
      <c r="B538" s="1408"/>
      <c r="C538" s="1409"/>
      <c r="D538" s="1409"/>
      <c r="E538" s="1409"/>
      <c r="F538" s="1409"/>
      <c r="G538" s="1409"/>
      <c r="H538" s="1410"/>
      <c r="I538" s="42" t="s">
        <v>563</v>
      </c>
      <c r="J538" s="42"/>
      <c r="K538" s="42"/>
      <c r="L538" s="42"/>
      <c r="M538" s="42"/>
      <c r="N538" s="42"/>
      <c r="O538" s="42"/>
      <c r="P538" s="42"/>
      <c r="Q538" s="42"/>
      <c r="R538" s="42"/>
      <c r="S538" s="42"/>
      <c r="T538" s="42"/>
      <c r="U538" s="42"/>
      <c r="V538" s="42"/>
      <c r="W538" s="42"/>
      <c r="AC538" s="1436">
        <v>8</v>
      </c>
      <c r="AD538" s="1396"/>
      <c r="AE538" s="1396"/>
      <c r="AF538" s="1396"/>
      <c r="AG538" s="38" t="s">
        <v>403</v>
      </c>
      <c r="AH538" s="1437">
        <v>2026</v>
      </c>
      <c r="AI538" s="1437"/>
      <c r="AJ538" s="1437"/>
      <c r="AK538" s="1438"/>
      <c r="AZ538" s="3"/>
      <c r="BA538" s="3"/>
      <c r="BB538" s="3"/>
      <c r="BC538" s="3"/>
      <c r="BD538" s="3"/>
      <c r="BE538" s="3"/>
      <c r="BF538" s="3"/>
      <c r="BG538" s="3"/>
      <c r="BH538" s="3"/>
      <c r="BI538" s="3"/>
      <c r="BJ538" s="3"/>
      <c r="BK538" s="3"/>
      <c r="BL538" s="3"/>
      <c r="BM538" s="3"/>
      <c r="BN538" s="3"/>
    </row>
    <row r="539" spans="1:66" ht="12.95" customHeight="1">
      <c r="B539" s="1408"/>
      <c r="C539" s="1409"/>
      <c r="D539" s="1409"/>
      <c r="E539" s="1409"/>
      <c r="F539" s="1409"/>
      <c r="G539" s="1409"/>
      <c r="H539" s="1410"/>
      <c r="I539" t="s">
        <v>564</v>
      </c>
      <c r="AC539" s="1436">
        <v>5</v>
      </c>
      <c r="AD539" s="1396"/>
      <c r="AE539" s="1396"/>
      <c r="AF539" s="1396"/>
      <c r="AG539" s="13" t="s">
        <v>403</v>
      </c>
      <c r="AH539" s="1437">
        <v>2026</v>
      </c>
      <c r="AI539" s="1437"/>
      <c r="AJ539" s="1437"/>
      <c r="AK539" s="1438"/>
      <c r="AZ539" s="3"/>
      <c r="BA539" s="3"/>
      <c r="BB539" s="3"/>
      <c r="BC539" s="3"/>
      <c r="BD539" s="3"/>
      <c r="BE539" s="3"/>
      <c r="BF539" s="3"/>
      <c r="BG539" s="3"/>
      <c r="BH539" s="3"/>
      <c r="BI539" s="3"/>
      <c r="BJ539" s="3"/>
      <c r="BK539" s="3"/>
      <c r="BL539" s="3"/>
      <c r="BM539" s="3"/>
      <c r="BN539" s="3"/>
    </row>
    <row r="540" spans="1:66" ht="12.95" customHeight="1">
      <c r="B540" s="1408"/>
      <c r="C540" s="1409"/>
      <c r="D540" s="1409"/>
      <c r="E540" s="1409"/>
      <c r="F540" s="1409"/>
      <c r="G540" s="1409"/>
      <c r="H540" s="1410"/>
      <c r="I540" t="s">
        <v>565</v>
      </c>
      <c r="AC540" s="1436">
        <v>5</v>
      </c>
      <c r="AD540" s="1396"/>
      <c r="AE540" s="1396"/>
      <c r="AF540" s="1396"/>
      <c r="AG540" s="38" t="s">
        <v>403</v>
      </c>
      <c r="AH540" s="1437">
        <v>2028</v>
      </c>
      <c r="AI540" s="1437"/>
      <c r="AJ540" s="1437"/>
      <c r="AK540" s="1438"/>
      <c r="AZ540" s="3"/>
      <c r="BA540" s="3"/>
      <c r="BB540" s="3"/>
      <c r="BC540" s="3"/>
      <c r="BD540" s="3"/>
      <c r="BE540" s="3"/>
      <c r="BF540" s="3"/>
      <c r="BG540" s="3"/>
      <c r="BH540" s="3"/>
      <c r="BI540" s="3"/>
      <c r="BJ540" s="3"/>
      <c r="BK540" s="3"/>
      <c r="BL540" s="3"/>
      <c r="BM540" s="3"/>
      <c r="BN540" s="3"/>
    </row>
    <row r="541" spans="1:66" ht="12.95" customHeight="1">
      <c r="B541" s="1408"/>
      <c r="C541" s="1409"/>
      <c r="D541" s="1409"/>
      <c r="E541" s="1409"/>
      <c r="F541" s="1409"/>
      <c r="G541" s="1409"/>
      <c r="H541" s="1410"/>
      <c r="I541" t="s">
        <v>566</v>
      </c>
      <c r="AC541" s="1436">
        <v>10</v>
      </c>
      <c r="AD541" s="1396"/>
      <c r="AE541" s="1396"/>
      <c r="AF541" s="1396"/>
      <c r="AG541" s="38" t="s">
        <v>403</v>
      </c>
      <c r="AH541" s="1437">
        <v>2028</v>
      </c>
      <c r="AI541" s="1437"/>
      <c r="AJ541" s="1437"/>
      <c r="AK541" s="1438"/>
      <c r="AZ541" s="3"/>
      <c r="BA541" s="3"/>
      <c r="BB541" s="3"/>
      <c r="BC541" s="3"/>
      <c r="BD541" s="3"/>
      <c r="BE541" s="3"/>
      <c r="BF541" s="3"/>
      <c r="BG541" s="3"/>
      <c r="BH541" s="3"/>
      <c r="BI541" s="3"/>
      <c r="BJ541" s="3"/>
      <c r="BK541" s="3"/>
      <c r="BL541" s="3"/>
      <c r="BM541" s="3"/>
      <c r="BN541" s="3"/>
    </row>
    <row r="542" spans="1:66" ht="12.95" customHeight="1">
      <c r="B542" s="1411"/>
      <c r="C542" s="1412"/>
      <c r="D542" s="1412"/>
      <c r="E542" s="1412"/>
      <c r="F542" s="1412"/>
      <c r="G542" s="1412"/>
      <c r="H542" s="1413"/>
      <c r="I542" s="48" t="s">
        <v>452</v>
      </c>
      <c r="J542" s="48"/>
      <c r="K542" s="48"/>
      <c r="L542" s="48"/>
      <c r="M542" s="48"/>
      <c r="N542" s="48"/>
      <c r="O542" s="48"/>
      <c r="P542" s="48"/>
      <c r="Q542" s="48"/>
      <c r="R542" s="48"/>
      <c r="S542" s="48"/>
      <c r="T542" s="48"/>
      <c r="U542" s="48"/>
      <c r="V542" s="48"/>
      <c r="W542" s="48"/>
      <c r="X542" s="48"/>
      <c r="Y542" s="48"/>
      <c r="Z542" s="48"/>
      <c r="AA542" s="48"/>
      <c r="AB542" s="48"/>
      <c r="AC542" s="1436">
        <v>12</v>
      </c>
      <c r="AD542" s="1396"/>
      <c r="AE542" s="1396"/>
      <c r="AF542" s="1396"/>
      <c r="AG542" s="38" t="s">
        <v>403</v>
      </c>
      <c r="AH542" s="1437">
        <v>2028</v>
      </c>
      <c r="AI542" s="1437"/>
      <c r="AJ542" s="1437"/>
      <c r="AK542" s="143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05" t="s">
        <v>2103</v>
      </c>
      <c r="C551" s="1406"/>
      <c r="D551" s="1406"/>
      <c r="E551" s="1406"/>
      <c r="F551" s="1406"/>
      <c r="G551" s="1406"/>
      <c r="H551" s="1406"/>
      <c r="I551" s="1406"/>
      <c r="J551" s="1406"/>
      <c r="K551" s="1406"/>
      <c r="L551" s="1407"/>
      <c r="M551" s="1405" t="s">
        <v>2104</v>
      </c>
      <c r="N551" s="1406"/>
      <c r="O551" s="1406"/>
      <c r="P551" s="1407"/>
      <c r="Q551" s="1405" t="s">
        <v>2130</v>
      </c>
      <c r="R551" s="1406"/>
      <c r="S551" s="1407"/>
      <c r="T551" s="1405" t="s">
        <v>2131</v>
      </c>
      <c r="U551" s="1406"/>
      <c r="V551" s="1407"/>
      <c r="W551" s="1405" t="s">
        <v>454</v>
      </c>
      <c r="X551" s="1406"/>
      <c r="Y551" s="1407"/>
      <c r="Z551" s="1405" t="s">
        <v>1852</v>
      </c>
      <c r="AA551" s="1406"/>
      <c r="AB551" s="1406"/>
      <c r="AC551" s="1406"/>
      <c r="AD551" s="1407"/>
      <c r="AE551" s="1405" t="s">
        <v>1677</v>
      </c>
      <c r="AF551" s="1406"/>
      <c r="AG551" s="1406"/>
      <c r="AH551" s="1407"/>
      <c r="AI551" s="1405" t="s">
        <v>1678</v>
      </c>
      <c r="AJ551" s="1406"/>
      <c r="AK551" s="1406"/>
      <c r="AL551" s="1407"/>
      <c r="AM551" s="1405" t="s">
        <v>455</v>
      </c>
      <c r="AN551" s="1406"/>
      <c r="AO551" s="1406"/>
      <c r="AP551" s="1406"/>
      <c r="AQ551" s="1406"/>
      <c r="AR551" s="1406"/>
      <c r="AS551" s="1407"/>
      <c r="BB551" s="3"/>
      <c r="BC551" s="3"/>
      <c r="BD551" s="3"/>
      <c r="BE551" s="3"/>
      <c r="BF551" s="3"/>
      <c r="BG551" s="3"/>
      <c r="BH551" s="3" t="s">
        <v>582</v>
      </c>
      <c r="BI551" s="3" t="str">
        <f>AG657</f>
        <v>Yes</v>
      </c>
    </row>
    <row r="552" spans="1:61" ht="12.95" customHeight="1">
      <c r="B552" s="1408"/>
      <c r="C552" s="1409"/>
      <c r="D552" s="1409"/>
      <c r="E552" s="1409"/>
      <c r="F552" s="1409"/>
      <c r="G552" s="1409"/>
      <c r="H552" s="1409"/>
      <c r="I552" s="1409"/>
      <c r="J552" s="1409"/>
      <c r="K552" s="1409"/>
      <c r="L552" s="1410"/>
      <c r="M552" s="1408"/>
      <c r="N552" s="1409"/>
      <c r="O552" s="1409"/>
      <c r="P552" s="1410"/>
      <c r="Q552" s="1408"/>
      <c r="R552" s="1409"/>
      <c r="S552" s="1410"/>
      <c r="T552" s="1408"/>
      <c r="U552" s="1409"/>
      <c r="V552" s="1410"/>
      <c r="W552" s="1408"/>
      <c r="X552" s="1409"/>
      <c r="Y552" s="1410"/>
      <c r="Z552" s="1408"/>
      <c r="AA552" s="1409"/>
      <c r="AB552" s="1409"/>
      <c r="AC552" s="1409"/>
      <c r="AD552" s="1410"/>
      <c r="AE552" s="1408"/>
      <c r="AF552" s="1409"/>
      <c r="AG552" s="1409"/>
      <c r="AH552" s="1410"/>
      <c r="AI552" s="1408"/>
      <c r="AJ552" s="1409"/>
      <c r="AK552" s="1409"/>
      <c r="AL552" s="1410"/>
      <c r="AM552" s="1408"/>
      <c r="AN552" s="1409"/>
      <c r="AO552" s="1409"/>
      <c r="AP552" s="1409"/>
      <c r="AQ552" s="1409"/>
      <c r="AR552" s="1409"/>
      <c r="AS552" s="1410"/>
      <c r="AU552" s="1147"/>
      <c r="BB552" s="3"/>
      <c r="BC552" s="3"/>
      <c r="BD552" s="3"/>
      <c r="BE552" s="3"/>
      <c r="BF552" s="3"/>
      <c r="BG552" s="3"/>
      <c r="BH552" s="3"/>
      <c r="BI552" s="3"/>
    </row>
    <row r="553" spans="1:61" ht="12.95" customHeight="1">
      <c r="B553" s="1411"/>
      <c r="C553" s="1412"/>
      <c r="D553" s="1412"/>
      <c r="E553" s="1412"/>
      <c r="F553" s="1412"/>
      <c r="G553" s="1412"/>
      <c r="H553" s="1412"/>
      <c r="I553" s="1412"/>
      <c r="J553" s="1412"/>
      <c r="K553" s="1412"/>
      <c r="L553" s="1413"/>
      <c r="M553" s="1411"/>
      <c r="N553" s="1412"/>
      <c r="O553" s="1412"/>
      <c r="P553" s="1413"/>
      <c r="Q553" s="1411"/>
      <c r="R553" s="1412"/>
      <c r="S553" s="1413"/>
      <c r="T553" s="1411"/>
      <c r="U553" s="1412"/>
      <c r="V553" s="1413"/>
      <c r="W553" s="1411"/>
      <c r="X553" s="1412"/>
      <c r="Y553" s="1413"/>
      <c r="Z553" s="1411"/>
      <c r="AA553" s="1412"/>
      <c r="AB553" s="1412"/>
      <c r="AC553" s="1412"/>
      <c r="AD553" s="1413"/>
      <c r="AE553" s="1411"/>
      <c r="AF553" s="1412"/>
      <c r="AG553" s="1412"/>
      <c r="AH553" s="1413"/>
      <c r="AI553" s="1411"/>
      <c r="AJ553" s="1412"/>
      <c r="AK553" s="1412"/>
      <c r="AL553" s="1413"/>
      <c r="AM553" s="1411"/>
      <c r="AN553" s="1412"/>
      <c r="AO553" s="1412"/>
      <c r="AP553" s="1412"/>
      <c r="AQ553" s="1412"/>
      <c r="AR553" s="1412"/>
      <c r="AS553" s="1413"/>
      <c r="AU553" s="1147"/>
      <c r="BB553" s="3"/>
      <c r="BC553" s="3"/>
      <c r="BD553" s="3"/>
      <c r="BE553" s="3"/>
      <c r="BF553" s="3"/>
      <c r="BG553" s="3"/>
      <c r="BH553" s="3"/>
      <c r="BI553" s="3"/>
    </row>
    <row r="554" spans="1:61" ht="12.95" customHeight="1">
      <c r="B554" s="51" t="s">
        <v>112</v>
      </c>
      <c r="C554" s="1425" t="s">
        <v>2710</v>
      </c>
      <c r="D554" s="1425"/>
      <c r="E554" s="1425"/>
      <c r="F554" s="1425"/>
      <c r="G554" s="1425"/>
      <c r="H554" s="1425"/>
      <c r="I554" s="1425"/>
      <c r="J554" s="1425"/>
      <c r="K554" s="1425"/>
      <c r="L554" s="1425"/>
      <c r="M554" s="1425" t="s">
        <v>2120</v>
      </c>
      <c r="N554" s="1425"/>
      <c r="O554" s="1425"/>
      <c r="P554" s="1425"/>
      <c r="Q554" s="1423">
        <v>29</v>
      </c>
      <c r="R554" s="1423"/>
      <c r="S554" s="1424"/>
      <c r="T554" s="1422"/>
      <c r="U554" s="1423"/>
      <c r="V554" s="1424"/>
      <c r="W554" s="1442">
        <f>[1]EVERYTHING!$H$21</f>
        <v>6.25E-2</v>
      </c>
      <c r="X554" s="1443"/>
      <c r="Y554" s="1444"/>
      <c r="Z554" s="1481" t="s">
        <v>2713</v>
      </c>
      <c r="AA554" s="1481"/>
      <c r="AB554" s="1481"/>
      <c r="AC554" s="1481"/>
      <c r="AD554" s="1481"/>
      <c r="AE554" s="1417">
        <v>1</v>
      </c>
      <c r="AF554" s="1418"/>
      <c r="AG554" s="1418"/>
      <c r="AH554" s="1419"/>
      <c r="AI554" s="1439"/>
      <c r="AJ554" s="1440"/>
      <c r="AK554" s="1440"/>
      <c r="AL554" s="1441"/>
      <c r="AM554" s="1430">
        <v>30826728.666459981</v>
      </c>
      <c r="AN554" s="1431"/>
      <c r="AO554" s="1431"/>
      <c r="AP554" s="1431"/>
      <c r="AQ554" s="1431"/>
      <c r="AR554" s="1431"/>
      <c r="AS554" s="1432"/>
      <c r="AT554" s="1148"/>
      <c r="AU554" s="1147"/>
      <c r="BB554" s="3"/>
      <c r="BC554" s="3"/>
      <c r="BD554" s="3"/>
      <c r="BE554" s="3"/>
      <c r="BF554" s="3"/>
      <c r="BG554" s="3"/>
      <c r="BH554" s="3"/>
      <c r="BI554" s="3"/>
    </row>
    <row r="555" spans="1:61" ht="12.95" customHeight="1">
      <c r="B555" s="52" t="s">
        <v>113</v>
      </c>
      <c r="C555" s="1421" t="s">
        <v>2711</v>
      </c>
      <c r="D555" s="1421"/>
      <c r="E555" s="1421"/>
      <c r="F555" s="1421"/>
      <c r="G555" s="1421"/>
      <c r="H555" s="1421"/>
      <c r="I555" s="1421"/>
      <c r="J555" s="1421"/>
      <c r="K555" s="1421"/>
      <c r="L555" s="1421"/>
      <c r="M555" s="1425" t="s">
        <v>2119</v>
      </c>
      <c r="N555" s="1425"/>
      <c r="O555" s="1425"/>
      <c r="P555" s="1425"/>
      <c r="Q555" s="1422">
        <v>29</v>
      </c>
      <c r="R555" s="1423"/>
      <c r="S555" s="1424"/>
      <c r="T555" s="1422"/>
      <c r="U555" s="1423"/>
      <c r="V555" s="1424"/>
      <c r="W555" s="1442">
        <f>[1]EVERYTHING!$H$22</f>
        <v>6.7500000000000004E-2</v>
      </c>
      <c r="X555" s="1443"/>
      <c r="Y555" s="1444"/>
      <c r="Z555" s="1481" t="s">
        <v>2713</v>
      </c>
      <c r="AA555" s="1481"/>
      <c r="AB555" s="1481"/>
      <c r="AC555" s="1481"/>
      <c r="AD555" s="1481"/>
      <c r="AE555" s="1417">
        <v>1</v>
      </c>
      <c r="AF555" s="1418"/>
      <c r="AG555" s="1418"/>
      <c r="AH555" s="1419"/>
      <c r="AI555" s="1439"/>
      <c r="AJ555" s="1440"/>
      <c r="AK555" s="1440"/>
      <c r="AL555" s="1441"/>
      <c r="AM555" s="1430">
        <v>54170616.337813169</v>
      </c>
      <c r="AN555" s="1431"/>
      <c r="AO555" s="1431"/>
      <c r="AP555" s="1431"/>
      <c r="AQ555" s="1431"/>
      <c r="AR555" s="1431"/>
      <c r="AS555" s="1432"/>
      <c r="AT555" s="1148" t="str">
        <f>IF(AND(NOT(C554=""),C555="",NOT(C556="")),"!","")</f>
        <v/>
      </c>
      <c r="AU555" s="1147"/>
      <c r="BB555" s="3"/>
      <c r="BC555" s="3"/>
      <c r="BD555" s="3"/>
      <c r="BE555" s="3"/>
      <c r="BF555" s="3"/>
      <c r="BG555" s="3"/>
      <c r="BH555" s="3"/>
      <c r="BI555" s="3"/>
    </row>
    <row r="556" spans="1:61" ht="12.95" customHeight="1">
      <c r="B556" s="52" t="s">
        <v>119</v>
      </c>
      <c r="C556" s="1421" t="s">
        <v>2615</v>
      </c>
      <c r="D556" s="1421"/>
      <c r="E556" s="1421"/>
      <c r="F556" s="1421"/>
      <c r="G556" s="1421"/>
      <c r="H556" s="1421"/>
      <c r="I556" s="1421"/>
      <c r="J556" s="1421"/>
      <c r="K556" s="1421"/>
      <c r="L556" s="1421"/>
      <c r="M556" s="1425" t="s">
        <v>2116</v>
      </c>
      <c r="N556" s="1425"/>
      <c r="O556" s="1425"/>
      <c r="P556" s="1425"/>
      <c r="Q556" s="1422">
        <f>55*12</f>
        <v>660</v>
      </c>
      <c r="R556" s="1423"/>
      <c r="S556" s="1424"/>
      <c r="T556" s="1422"/>
      <c r="U556" s="1423"/>
      <c r="V556" s="1424"/>
      <c r="W556" s="1442">
        <v>0.03</v>
      </c>
      <c r="X556" s="1443"/>
      <c r="Y556" s="1444"/>
      <c r="Z556" s="1481" t="s">
        <v>2712</v>
      </c>
      <c r="AA556" s="1481"/>
      <c r="AB556" s="1481"/>
      <c r="AC556" s="1481"/>
      <c r="AD556" s="1481"/>
      <c r="AE556" s="1417">
        <v>2</v>
      </c>
      <c r="AF556" s="1418"/>
      <c r="AG556" s="1418"/>
      <c r="AH556" s="1419"/>
      <c r="AI556" s="1439"/>
      <c r="AJ556" s="1440"/>
      <c r="AK556" s="1440"/>
      <c r="AL556" s="1441"/>
      <c r="AM556" s="1430">
        <v>6021370</v>
      </c>
      <c r="AN556" s="1431"/>
      <c r="AO556" s="1431"/>
      <c r="AP556" s="1431"/>
      <c r="AQ556" s="1431"/>
      <c r="AR556" s="1431"/>
      <c r="AS556" s="1432"/>
      <c r="AT556" s="1148" t="str">
        <f>IF(AND(NOT(C555=""),C556="",NOT(C557="")),"!","")</f>
        <v/>
      </c>
      <c r="AU556" s="1147"/>
      <c r="BB556" s="3"/>
      <c r="BC556" s="3"/>
      <c r="BD556" s="3"/>
      <c r="BE556" s="3"/>
      <c r="BF556" s="3"/>
      <c r="BG556" s="3"/>
      <c r="BH556" s="3"/>
      <c r="BI556" s="3"/>
    </row>
    <row r="557" spans="1:61" ht="12.95" customHeight="1">
      <c r="B557" s="52" t="s">
        <v>582</v>
      </c>
      <c r="C557" s="1421" t="s">
        <v>2700</v>
      </c>
      <c r="D557" s="1421"/>
      <c r="E557" s="1421"/>
      <c r="F557" s="1421"/>
      <c r="G557" s="1421"/>
      <c r="H557" s="1421"/>
      <c r="I557" s="1421"/>
      <c r="J557" s="1421"/>
      <c r="K557" s="1421"/>
      <c r="L557" s="1421"/>
      <c r="M557" s="1425" t="s">
        <v>2116</v>
      </c>
      <c r="N557" s="1425"/>
      <c r="O557" s="1425"/>
      <c r="P557" s="1425"/>
      <c r="Q557" s="1422">
        <v>660</v>
      </c>
      <c r="R557" s="1423"/>
      <c r="S557" s="1424"/>
      <c r="T557" s="1422"/>
      <c r="U557" s="1423"/>
      <c r="V557" s="1424"/>
      <c r="W557" s="1442">
        <v>0.03</v>
      </c>
      <c r="X557" s="1443"/>
      <c r="Y557" s="1444"/>
      <c r="Z557" s="1481" t="s">
        <v>2712</v>
      </c>
      <c r="AA557" s="1481"/>
      <c r="AB557" s="1481"/>
      <c r="AC557" s="1481"/>
      <c r="AD557" s="1481"/>
      <c r="AE557" s="1417">
        <v>3</v>
      </c>
      <c r="AF557" s="1418"/>
      <c r="AG557" s="1418"/>
      <c r="AH557" s="1419"/>
      <c r="AI557" s="1439"/>
      <c r="AJ557" s="1440"/>
      <c r="AK557" s="1440"/>
      <c r="AL557" s="1441"/>
      <c r="AM557" s="1430">
        <v>1900000</v>
      </c>
      <c r="AN557" s="1431"/>
      <c r="AO557" s="1431"/>
      <c r="AP557" s="1431"/>
      <c r="AQ557" s="1431"/>
      <c r="AR557" s="1431"/>
      <c r="AS557" s="1432"/>
      <c r="AT557" s="1148" t="str">
        <f>IF(AND(NOT(C556=""),C557="",NOT(C558="")),"!","")</f>
        <v/>
      </c>
      <c r="AU557" s="1147"/>
      <c r="BB557" s="3"/>
      <c r="BC557" s="3"/>
      <c r="BD557" s="3"/>
      <c r="BE557" s="3"/>
      <c r="BF557" s="3"/>
      <c r="BG557" s="3"/>
      <c r="BH557" s="3"/>
      <c r="BI557" s="3"/>
    </row>
    <row r="558" spans="1:61" ht="12.95" customHeight="1">
      <c r="B558" s="52" t="s">
        <v>764</v>
      </c>
      <c r="C558" s="1421" t="s">
        <v>2714</v>
      </c>
      <c r="D558" s="1421"/>
      <c r="E558" s="1421"/>
      <c r="F558" s="1421"/>
      <c r="G558" s="1421"/>
      <c r="H558" s="1421"/>
      <c r="I558" s="1421"/>
      <c r="J558" s="1421"/>
      <c r="K558" s="1421"/>
      <c r="L558" s="1421"/>
      <c r="M558" s="1425" t="s">
        <v>2116</v>
      </c>
      <c r="N558" s="1425"/>
      <c r="O558" s="1425"/>
      <c r="P558" s="1425"/>
      <c r="Q558" s="1422">
        <v>660</v>
      </c>
      <c r="R558" s="1423"/>
      <c r="S558" s="1424"/>
      <c r="T558" s="1422"/>
      <c r="U558" s="1423"/>
      <c r="V558" s="1424"/>
      <c r="W558" s="1442">
        <v>0.03</v>
      </c>
      <c r="X558" s="1443"/>
      <c r="Y558" s="1444"/>
      <c r="Z558" s="1481" t="s">
        <v>2712</v>
      </c>
      <c r="AA558" s="1481"/>
      <c r="AB558" s="1481"/>
      <c r="AC558" s="1481"/>
      <c r="AD558" s="1481"/>
      <c r="AE558" s="1417">
        <v>4</v>
      </c>
      <c r="AF558" s="1418"/>
      <c r="AG558" s="1418"/>
      <c r="AH558" s="1419"/>
      <c r="AI558" s="1439"/>
      <c r="AJ558" s="1440"/>
      <c r="AK558" s="1440"/>
      <c r="AL558" s="1441"/>
      <c r="AM558" s="1430">
        <v>600000</v>
      </c>
      <c r="AN558" s="1431"/>
      <c r="AO558" s="1431"/>
      <c r="AP558" s="1431"/>
      <c r="AQ558" s="1431"/>
      <c r="AR558" s="1431"/>
      <c r="AS558" s="1432"/>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21" t="s">
        <v>2715</v>
      </c>
      <c r="D559" s="1421"/>
      <c r="E559" s="1421"/>
      <c r="F559" s="1421"/>
      <c r="G559" s="1421"/>
      <c r="H559" s="1421"/>
      <c r="I559" s="1421"/>
      <c r="J559" s="1421"/>
      <c r="K559" s="1421"/>
      <c r="L559" s="1421"/>
      <c r="M559" s="1425" t="s">
        <v>2110</v>
      </c>
      <c r="N559" s="1425"/>
      <c r="O559" s="1425"/>
      <c r="P559" s="1425"/>
      <c r="Q559" s="1422"/>
      <c r="R559" s="1423"/>
      <c r="S559" s="1424"/>
      <c r="T559" s="1422"/>
      <c r="U559" s="1423"/>
      <c r="V559" s="1424"/>
      <c r="W559" s="1442"/>
      <c r="X559" s="1443"/>
      <c r="Y559" s="1444"/>
      <c r="Z559" s="1481" t="s">
        <v>592</v>
      </c>
      <c r="AA559" s="1481"/>
      <c r="AB559" s="1481"/>
      <c r="AC559" s="1481"/>
      <c r="AD559" s="1481"/>
      <c r="AE559" s="1417"/>
      <c r="AF559" s="1418"/>
      <c r="AG559" s="1418"/>
      <c r="AH559" s="1419"/>
      <c r="AI559" s="1439"/>
      <c r="AJ559" s="1440"/>
      <c r="AK559" s="1440"/>
      <c r="AL559" s="1441"/>
      <c r="AM559" s="1430">
        <v>100</v>
      </c>
      <c r="AN559" s="1431"/>
      <c r="AO559" s="1431"/>
      <c r="AP559" s="1431"/>
      <c r="AQ559" s="1431"/>
      <c r="AR559" s="1431"/>
      <c r="AS559" s="1432"/>
      <c r="AT559" s="1148" t="str">
        <f t="shared" si="0"/>
        <v/>
      </c>
      <c r="AU559" s="1147"/>
      <c r="BB559" s="3"/>
      <c r="BC559" s="3"/>
      <c r="BD559" s="3"/>
      <c r="BE559" s="3"/>
      <c r="BF559" s="3"/>
      <c r="BG559" s="3"/>
      <c r="BH559" s="3" t="s">
        <v>585</v>
      </c>
      <c r="BI559" s="3" t="str">
        <f>AG665</f>
        <v>Yes</v>
      </c>
    </row>
    <row r="560" spans="1:61" ht="12.95" customHeight="1">
      <c r="B560" s="52" t="s">
        <v>456</v>
      </c>
      <c r="C560" s="1421" t="s">
        <v>2716</v>
      </c>
      <c r="D560" s="1421"/>
      <c r="E560" s="1421"/>
      <c r="F560" s="1421"/>
      <c r="G560" s="1421"/>
      <c r="H560" s="1421"/>
      <c r="I560" s="1421"/>
      <c r="J560" s="1421"/>
      <c r="K560" s="1421"/>
      <c r="L560" s="1421"/>
      <c r="M560" s="1425" t="s">
        <v>2111</v>
      </c>
      <c r="N560" s="1425"/>
      <c r="O560" s="1425"/>
      <c r="P560" s="1425"/>
      <c r="Q560" s="1422"/>
      <c r="R560" s="1423"/>
      <c r="S560" s="1424"/>
      <c r="T560" s="1422"/>
      <c r="U560" s="1423"/>
      <c r="V560" s="1424"/>
      <c r="W560" s="1442"/>
      <c r="X560" s="1443"/>
      <c r="Y560" s="1444"/>
      <c r="Z560" s="1481" t="s">
        <v>592</v>
      </c>
      <c r="AA560" s="1481"/>
      <c r="AB560" s="1481"/>
      <c r="AC560" s="1481"/>
      <c r="AD560" s="1481"/>
      <c r="AE560" s="1417"/>
      <c r="AF560" s="1418"/>
      <c r="AG560" s="1418"/>
      <c r="AH560" s="1419"/>
      <c r="AI560" s="1439"/>
      <c r="AJ560" s="1440"/>
      <c r="AK560" s="1440"/>
      <c r="AL560" s="1441"/>
      <c r="AM560" s="1430">
        <v>3190808.1655793111</v>
      </c>
      <c r="AN560" s="1431"/>
      <c r="AO560" s="1431"/>
      <c r="AP560" s="1431"/>
      <c r="AQ560" s="1431"/>
      <c r="AR560" s="1431"/>
      <c r="AS560" s="1432"/>
      <c r="AT560" s="1148" t="str">
        <f t="shared" si="0"/>
        <v/>
      </c>
      <c r="AU560" s="1147"/>
      <c r="BB560" s="3"/>
      <c r="BC560" s="3"/>
      <c r="BD560" s="3"/>
      <c r="BE560" s="3"/>
      <c r="BF560" s="3"/>
      <c r="BG560" s="3"/>
      <c r="BH560" s="3"/>
      <c r="BI560" s="3"/>
    </row>
    <row r="561" spans="1:61" ht="12.95" customHeight="1">
      <c r="B561" s="52" t="s">
        <v>457</v>
      </c>
      <c r="C561" s="1421" t="s">
        <v>2717</v>
      </c>
      <c r="D561" s="1421"/>
      <c r="E561" s="1421"/>
      <c r="F561" s="1421"/>
      <c r="G561" s="1421"/>
      <c r="H561" s="1421"/>
      <c r="I561" s="1421"/>
      <c r="J561" s="1421"/>
      <c r="K561" s="1421"/>
      <c r="L561" s="1421"/>
      <c r="M561" s="1425" t="s">
        <v>2106</v>
      </c>
      <c r="N561" s="1425"/>
      <c r="O561" s="1425"/>
      <c r="P561" s="1425"/>
      <c r="Q561" s="1422"/>
      <c r="R561" s="1423"/>
      <c r="S561" s="1424"/>
      <c r="T561" s="1422"/>
      <c r="U561" s="1423"/>
      <c r="V561" s="1424"/>
      <c r="W561" s="1442"/>
      <c r="X561" s="1443"/>
      <c r="Y561" s="1444"/>
      <c r="Z561" s="1481" t="s">
        <v>592</v>
      </c>
      <c r="AA561" s="1481"/>
      <c r="AB561" s="1481"/>
      <c r="AC561" s="1481"/>
      <c r="AD561" s="1481"/>
      <c r="AE561" s="1417"/>
      <c r="AF561" s="1418"/>
      <c r="AG561" s="1418"/>
      <c r="AH561" s="1419"/>
      <c r="AI561" s="1439"/>
      <c r="AJ561" s="1440"/>
      <c r="AK561" s="1440"/>
      <c r="AL561" s="1441"/>
      <c r="AM561" s="1430">
        <v>12993322.844480485</v>
      </c>
      <c r="AN561" s="1431"/>
      <c r="AO561" s="1431"/>
      <c r="AP561" s="1431"/>
      <c r="AQ561" s="1431"/>
      <c r="AR561" s="1431"/>
      <c r="AS561" s="1432"/>
      <c r="AT561" s="1148" t="str">
        <f t="shared" si="0"/>
        <v/>
      </c>
      <c r="AU561" s="1147"/>
      <c r="BB561" s="3"/>
      <c r="BC561" s="3"/>
      <c r="BD561" s="3"/>
      <c r="BE561" s="3"/>
      <c r="BF561" s="3"/>
      <c r="BG561" s="3"/>
      <c r="BH561" s="3"/>
      <c r="BI561" s="3"/>
    </row>
    <row r="562" spans="1:61" ht="12.95" customHeight="1">
      <c r="B562" s="52" t="s">
        <v>462</v>
      </c>
      <c r="C562" s="1421" t="s">
        <v>2727</v>
      </c>
      <c r="D562" s="1421"/>
      <c r="E562" s="1421"/>
      <c r="F562" s="1421"/>
      <c r="G562" s="1421"/>
      <c r="H562" s="1421"/>
      <c r="I562" s="1421"/>
      <c r="J562" s="1421"/>
      <c r="K562" s="1421"/>
      <c r="L562" s="1421"/>
      <c r="M562" s="1425" t="s">
        <v>2121</v>
      </c>
      <c r="N562" s="1425"/>
      <c r="O562" s="1425"/>
      <c r="P562" s="1425"/>
      <c r="Q562" s="1422">
        <v>29</v>
      </c>
      <c r="R562" s="1423"/>
      <c r="S562" s="1424"/>
      <c r="T562" s="1422"/>
      <c r="U562" s="1423"/>
      <c r="V562" s="1424"/>
      <c r="W562" s="1442">
        <f>W554</f>
        <v>6.25E-2</v>
      </c>
      <c r="X562" s="1443"/>
      <c r="Y562" s="1444"/>
      <c r="Z562" s="1481" t="s">
        <v>2713</v>
      </c>
      <c r="AA562" s="1481"/>
      <c r="AB562" s="1481"/>
      <c r="AC562" s="1481"/>
      <c r="AD562" s="1481"/>
      <c r="AE562" s="1417">
        <v>1</v>
      </c>
      <c r="AF562" s="1418"/>
      <c r="AG562" s="1418"/>
      <c r="AH562" s="1419"/>
      <c r="AI562" s="1439"/>
      <c r="AJ562" s="1440"/>
      <c r="AK562" s="1440"/>
      <c r="AL562" s="1441"/>
      <c r="AM562" s="1430">
        <v>500000</v>
      </c>
      <c r="AN562" s="1431"/>
      <c r="AO562" s="1431"/>
      <c r="AP562" s="1431"/>
      <c r="AQ562" s="1431"/>
      <c r="AR562" s="1431"/>
      <c r="AS562" s="1432"/>
      <c r="AT562" s="1148" t="str">
        <f t="shared" si="0"/>
        <v/>
      </c>
      <c r="AU562" s="1147"/>
      <c r="BB562" s="3"/>
      <c r="BC562" s="3"/>
      <c r="BD562" s="3"/>
      <c r="BE562" s="3"/>
      <c r="BF562" s="3"/>
      <c r="BG562" s="3"/>
      <c r="BH562" s="3"/>
      <c r="BI562" s="3"/>
    </row>
    <row r="563" spans="1:61" ht="12.95" customHeight="1">
      <c r="B563" s="52" t="s">
        <v>647</v>
      </c>
      <c r="C563" s="1421"/>
      <c r="D563" s="1421"/>
      <c r="E563" s="1421"/>
      <c r="F563" s="1421"/>
      <c r="G563" s="1421"/>
      <c r="H563" s="1421"/>
      <c r="I563" s="1421"/>
      <c r="J563" s="1421"/>
      <c r="K563" s="1421"/>
      <c r="L563" s="1421"/>
      <c r="M563" s="1425" t="s">
        <v>1185</v>
      </c>
      <c r="N563" s="1425"/>
      <c r="O563" s="1425"/>
      <c r="P563" s="1425"/>
      <c r="Q563" s="1422"/>
      <c r="R563" s="1423"/>
      <c r="S563" s="1424"/>
      <c r="T563" s="1422"/>
      <c r="U563" s="1423"/>
      <c r="V563" s="1424"/>
      <c r="W563" s="1442"/>
      <c r="X563" s="1443"/>
      <c r="Y563" s="1444"/>
      <c r="Z563" s="1481" t="s">
        <v>1185</v>
      </c>
      <c r="AA563" s="1481"/>
      <c r="AB563" s="1481"/>
      <c r="AC563" s="1481"/>
      <c r="AD563" s="1481"/>
      <c r="AE563" s="1417"/>
      <c r="AF563" s="1418"/>
      <c r="AG563" s="1418"/>
      <c r="AH563" s="1419"/>
      <c r="AI563" s="1439"/>
      <c r="AJ563" s="1440"/>
      <c r="AK563" s="1440"/>
      <c r="AL563" s="1441"/>
      <c r="AM563" s="1430"/>
      <c r="AN563" s="1431"/>
      <c r="AO563" s="1431"/>
      <c r="AP563" s="1431"/>
      <c r="AQ563" s="1431"/>
      <c r="AR563" s="1431"/>
      <c r="AS563" s="1432"/>
      <c r="AT563" s="1148" t="str">
        <f t="shared" si="0"/>
        <v/>
      </c>
      <c r="BB563" s="3"/>
      <c r="BC563" s="3"/>
      <c r="BD563" s="3"/>
      <c r="BE563" s="3"/>
      <c r="BF563" s="3"/>
      <c r="BG563" s="3"/>
      <c r="BH563" s="3"/>
      <c r="BI563" s="3"/>
    </row>
    <row r="564" spans="1:61" ht="12.95" customHeight="1">
      <c r="B564" s="52" t="s">
        <v>362</v>
      </c>
      <c r="C564" s="1421"/>
      <c r="D564" s="1421"/>
      <c r="E564" s="1421"/>
      <c r="F564" s="1421"/>
      <c r="G564" s="1421"/>
      <c r="H564" s="1421"/>
      <c r="I564" s="1421"/>
      <c r="J564" s="1421"/>
      <c r="K564" s="1421"/>
      <c r="L564" s="1421"/>
      <c r="M564" s="1425" t="s">
        <v>1185</v>
      </c>
      <c r="N564" s="1425"/>
      <c r="O564" s="1425"/>
      <c r="P564" s="1425"/>
      <c r="Q564" s="1422"/>
      <c r="R564" s="1423"/>
      <c r="S564" s="1424"/>
      <c r="T564" s="1422"/>
      <c r="U564" s="1423"/>
      <c r="V564" s="1424"/>
      <c r="W564" s="1442"/>
      <c r="X564" s="1443"/>
      <c r="Y564" s="1444"/>
      <c r="Z564" s="1481" t="s">
        <v>1185</v>
      </c>
      <c r="AA564" s="1481"/>
      <c r="AB564" s="1481"/>
      <c r="AC564" s="1481"/>
      <c r="AD564" s="1481"/>
      <c r="AE564" s="1417"/>
      <c r="AF564" s="1418"/>
      <c r="AG564" s="1418"/>
      <c r="AH564" s="1419"/>
      <c r="AI564" s="1439"/>
      <c r="AJ564" s="1440"/>
      <c r="AK564" s="1440"/>
      <c r="AL564" s="1441"/>
      <c r="AM564" s="1430"/>
      <c r="AN564" s="1431"/>
      <c r="AO564" s="1431"/>
      <c r="AP564" s="1431"/>
      <c r="AQ564" s="1431"/>
      <c r="AR564" s="1431"/>
      <c r="AS564" s="1432"/>
      <c r="AT564" s="1148" t="str">
        <f t="shared" si="0"/>
        <v/>
      </c>
      <c r="BB564" s="3"/>
      <c r="BC564" s="3"/>
      <c r="BD564" s="3"/>
      <c r="BE564" s="3"/>
      <c r="BF564" s="3"/>
      <c r="BG564" s="3"/>
      <c r="BH564" s="3"/>
      <c r="BI564" s="3"/>
    </row>
    <row r="565" spans="1:61" ht="12.95" customHeight="1">
      <c r="B565" s="52" t="s">
        <v>363</v>
      </c>
      <c r="C565" s="1421"/>
      <c r="D565" s="1421"/>
      <c r="E565" s="1421"/>
      <c r="F565" s="1421"/>
      <c r="G565" s="1421"/>
      <c r="H565" s="1421"/>
      <c r="I565" s="1421"/>
      <c r="J565" s="1421"/>
      <c r="K565" s="1421"/>
      <c r="L565" s="1421"/>
      <c r="M565" s="1425" t="s">
        <v>1185</v>
      </c>
      <c r="N565" s="1425"/>
      <c r="O565" s="1425"/>
      <c r="P565" s="1425"/>
      <c r="Q565" s="1422"/>
      <c r="R565" s="1423"/>
      <c r="S565" s="1424"/>
      <c r="T565" s="1422"/>
      <c r="U565" s="1423"/>
      <c r="V565" s="1424"/>
      <c r="W565" s="1442"/>
      <c r="X565" s="1443"/>
      <c r="Y565" s="1444"/>
      <c r="Z565" s="1481" t="s">
        <v>1185</v>
      </c>
      <c r="AA565" s="1481"/>
      <c r="AB565" s="1481"/>
      <c r="AC565" s="1481"/>
      <c r="AD565" s="1481"/>
      <c r="AE565" s="1417"/>
      <c r="AF565" s="1418"/>
      <c r="AG565" s="1418"/>
      <c r="AH565" s="1419"/>
      <c r="AI565" s="1439"/>
      <c r="AJ565" s="1440"/>
      <c r="AK565" s="1440"/>
      <c r="AL565" s="1441"/>
      <c r="AM565" s="1430"/>
      <c r="AN565" s="1431"/>
      <c r="AO565" s="1431"/>
      <c r="AP565" s="1431"/>
      <c r="AQ565" s="1431"/>
      <c r="AR565" s="1431"/>
      <c r="AS565" s="1432"/>
      <c r="AT565" s="1148" t="str">
        <f t="shared" si="0"/>
        <v/>
      </c>
      <c r="BB565" s="3"/>
      <c r="BC565" s="3"/>
      <c r="BD565" s="3"/>
      <c r="BE565" s="3"/>
      <c r="BF565" s="3"/>
      <c r="BG565" s="3"/>
      <c r="BH565" s="3"/>
      <c r="BI565" s="3"/>
    </row>
    <row r="566" spans="1:61" ht="12.95" customHeight="1">
      <c r="B566" s="1357" t="s">
        <v>127</v>
      </c>
      <c r="C566" s="1358"/>
      <c r="D566" s="1358"/>
      <c r="E566" s="1358"/>
      <c r="F566" s="1358"/>
      <c r="G566" s="1358"/>
      <c r="H566" s="1358"/>
      <c r="I566" s="1358"/>
      <c r="J566" s="1358"/>
      <c r="K566" s="1358"/>
      <c r="L566" s="1358"/>
      <c r="M566" s="1358"/>
      <c r="N566" s="1358"/>
      <c r="O566" s="1358"/>
      <c r="P566" s="1358"/>
      <c r="Q566" s="1358"/>
      <c r="R566" s="1358"/>
      <c r="S566" s="1358"/>
      <c r="T566" s="1358"/>
      <c r="U566" s="1416"/>
      <c r="V566" s="1358"/>
      <c r="W566" s="1358"/>
      <c r="X566" s="1358"/>
      <c r="Y566" s="1358"/>
      <c r="Z566" s="1358"/>
      <c r="AA566" s="1358"/>
      <c r="AB566" s="1358"/>
      <c r="AC566" s="1358"/>
      <c r="AD566" s="1358"/>
      <c r="AE566" s="1358"/>
      <c r="AF566" s="1358"/>
      <c r="AG566" s="1358"/>
      <c r="AH566" s="1358"/>
      <c r="AI566" s="1358"/>
      <c r="AJ566" s="1358"/>
      <c r="AK566" s="1358"/>
      <c r="AL566" s="1359"/>
      <c r="AM566" s="1433">
        <f>SUM(AM554:AS565)</f>
        <v>110202946.01433294</v>
      </c>
      <c r="AN566" s="1434"/>
      <c r="AO566" s="1434"/>
      <c r="AP566" s="1434"/>
      <c r="AQ566" s="1434"/>
      <c r="AR566" s="1434"/>
      <c r="AS566" s="143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91" t="str">
        <f>C554</f>
        <v>Construction Loan - Tax-exempt</v>
      </c>
      <c r="H568" s="1491"/>
      <c r="I568" s="1491"/>
      <c r="J568" s="1491"/>
      <c r="K568" s="1491"/>
      <c r="L568" s="1491"/>
      <c r="M568" s="1491"/>
      <c r="N568" s="1491"/>
      <c r="O568" s="1491"/>
      <c r="P568" s="1491"/>
      <c r="Q568" s="1491"/>
      <c r="R568" s="1491"/>
      <c r="S568" s="8"/>
      <c r="T568" s="55" t="s">
        <v>113</v>
      </c>
      <c r="U568" t="s">
        <v>464</v>
      </c>
      <c r="Z568" s="1491" t="str">
        <f>C555</f>
        <v>Construction Loan - Taxable</v>
      </c>
      <c r="AA568" s="1491"/>
      <c r="AB568" s="1491"/>
      <c r="AC568" s="1491"/>
      <c r="AD568" s="1491"/>
      <c r="AE568" s="1491"/>
      <c r="AF568" s="1491"/>
      <c r="AG568" s="1491"/>
      <c r="AH568" s="1491"/>
      <c r="AI568" s="1491"/>
      <c r="AJ568" s="1491"/>
      <c r="AK568" s="1491"/>
      <c r="BB568" s="3"/>
      <c r="BC568" s="3"/>
      <c r="BD568" s="3"/>
      <c r="BE568" s="3"/>
      <c r="BF568" s="3"/>
      <c r="BG568" s="3"/>
      <c r="BH568" s="3"/>
      <c r="BI568" s="3"/>
    </row>
    <row r="569" spans="1:61" ht="12.95" customHeight="1">
      <c r="A569" s="22"/>
      <c r="B569" t="s">
        <v>85</v>
      </c>
      <c r="G569" s="1339" t="s">
        <v>2743</v>
      </c>
      <c r="H569" s="1340"/>
      <c r="I569" s="1340"/>
      <c r="J569" s="1340"/>
      <c r="K569" s="1340"/>
      <c r="L569" s="1340"/>
      <c r="M569" s="1340"/>
      <c r="N569" s="1340"/>
      <c r="O569" s="1340"/>
      <c r="P569" s="1340"/>
      <c r="Q569" s="1340"/>
      <c r="R569" s="1340"/>
      <c r="S569" s="8"/>
      <c r="T569" s="22"/>
      <c r="U569" t="s">
        <v>85</v>
      </c>
      <c r="Z569" s="1340" t="s">
        <v>2743</v>
      </c>
      <c r="AA569" s="1340"/>
      <c r="AB569" s="1340"/>
      <c r="AC569" s="1340"/>
      <c r="AD569" s="1340"/>
      <c r="AE569" s="1340"/>
      <c r="AF569" s="1340"/>
      <c r="AG569" s="1340"/>
      <c r="AH569" s="1340"/>
      <c r="AI569" s="1340"/>
      <c r="AJ569" s="1340"/>
      <c r="AK569" s="1340"/>
      <c r="BB569" s="3"/>
      <c r="BC569" s="3"/>
      <c r="BD569" s="3"/>
      <c r="BE569" s="3"/>
      <c r="BF569" s="3"/>
      <c r="BG569" s="3"/>
      <c r="BH569" s="3"/>
      <c r="BI569" s="3"/>
    </row>
    <row r="570" spans="1:61" ht="12.95" customHeight="1">
      <c r="A570" s="22"/>
      <c r="B570" t="s">
        <v>581</v>
      </c>
      <c r="G570" s="1339" t="s">
        <v>2744</v>
      </c>
      <c r="H570" s="1340"/>
      <c r="I570" s="1340"/>
      <c r="J570" s="1340"/>
      <c r="K570" s="1340"/>
      <c r="L570" s="1340"/>
      <c r="M570" s="1340"/>
      <c r="N570" s="1340"/>
      <c r="O570" s="1340"/>
      <c r="P570" s="1340"/>
      <c r="Q570" s="1340"/>
      <c r="R570" s="1340"/>
      <c r="T570" s="22"/>
      <c r="U570" t="s">
        <v>581</v>
      </c>
      <c r="Z570" s="1342" t="s">
        <v>2744</v>
      </c>
      <c r="AA570" s="1342"/>
      <c r="AB570" s="1342"/>
      <c r="AC570" s="1342"/>
      <c r="AD570" s="1342"/>
      <c r="AE570" s="1342"/>
      <c r="AF570" s="1342"/>
      <c r="AG570" s="1342"/>
      <c r="AH570" s="1342"/>
      <c r="AI570" s="1342"/>
      <c r="AJ570" s="1342"/>
      <c r="AK570" s="1342"/>
      <c r="BB570" s="3"/>
      <c r="BC570" s="3"/>
      <c r="BD570" s="3"/>
      <c r="BE570" s="3"/>
      <c r="BF570" s="3"/>
      <c r="BG570" s="3"/>
      <c r="BH570" s="3"/>
      <c r="BI570" s="3"/>
    </row>
    <row r="571" spans="1:61" ht="12.95" customHeight="1">
      <c r="A571" s="22"/>
      <c r="B571" t="s">
        <v>17</v>
      </c>
      <c r="G571" s="1339" t="s">
        <v>2742</v>
      </c>
      <c r="H571" s="1340"/>
      <c r="I571" s="1340"/>
      <c r="J571" s="1340"/>
      <c r="K571" s="1340"/>
      <c r="L571" s="1340"/>
      <c r="M571" s="1340"/>
      <c r="N571" s="1340"/>
      <c r="O571" s="1340"/>
      <c r="P571" s="1340"/>
      <c r="Q571" s="1340"/>
      <c r="R571" s="1340"/>
      <c r="S571" s="8"/>
      <c r="T571" s="22"/>
      <c r="U571" t="s">
        <v>17</v>
      </c>
      <c r="Z571" s="1342" t="s">
        <v>2742</v>
      </c>
      <c r="AA571" s="1342"/>
      <c r="AB571" s="1342"/>
      <c r="AC571" s="1342"/>
      <c r="AD571" s="1342"/>
      <c r="AE571" s="1342"/>
      <c r="AF571" s="1342"/>
      <c r="AG571" s="1342"/>
      <c r="AH571" s="1342"/>
      <c r="AI571" s="1342"/>
      <c r="AJ571" s="1342"/>
      <c r="AK571" s="1342"/>
      <c r="BB571" s="3"/>
      <c r="BC571" s="3"/>
      <c r="BD571" s="3"/>
      <c r="BE571" s="3"/>
      <c r="BF571" s="3"/>
      <c r="BG571" s="3"/>
      <c r="BH571" s="3"/>
      <c r="BI571" s="3"/>
    </row>
    <row r="572" spans="1:61" ht="12.95" customHeight="1">
      <c r="A572" s="22"/>
      <c r="B572" t="s">
        <v>316</v>
      </c>
      <c r="G572" s="1674" t="s">
        <v>2745</v>
      </c>
      <c r="H572" s="1495"/>
      <c r="I572" s="1495"/>
      <c r="J572" s="1495"/>
      <c r="K572" s="1495"/>
      <c r="L572" s="1495"/>
      <c r="O572" s="33" t="s">
        <v>206</v>
      </c>
      <c r="P572" s="1429"/>
      <c r="Q572" s="1429"/>
      <c r="R572" s="1429"/>
      <c r="S572" s="10"/>
      <c r="T572" s="22"/>
      <c r="U572" t="s">
        <v>316</v>
      </c>
      <c r="Z572" s="1495" t="s">
        <v>2745</v>
      </c>
      <c r="AA572" s="1495"/>
      <c r="AB572" s="1495"/>
      <c r="AC572" s="1495"/>
      <c r="AD572" s="1495"/>
      <c r="AE572" s="1495"/>
      <c r="AH572" s="33" t="s">
        <v>206</v>
      </c>
      <c r="AI572" s="1429"/>
      <c r="AJ572" s="1429"/>
      <c r="AK572" s="1429"/>
      <c r="BB572" s="3"/>
      <c r="BC572" s="3"/>
      <c r="BD572" s="3"/>
      <c r="BE572" s="3"/>
      <c r="BF572" s="3"/>
      <c r="BG572" s="3"/>
      <c r="BH572" s="3"/>
      <c r="BI572" s="3"/>
    </row>
    <row r="573" spans="1:61" ht="12.95" customHeight="1">
      <c r="A573" s="22"/>
      <c r="B573" t="s">
        <v>18</v>
      </c>
      <c r="H573" s="1339" t="s">
        <v>2740</v>
      </c>
      <c r="I573" s="1340"/>
      <c r="J573" s="1340"/>
      <c r="K573" s="1340"/>
      <c r="L573" s="1340"/>
      <c r="M573" s="1340"/>
      <c r="N573" s="1340"/>
      <c r="O573" s="1340"/>
      <c r="P573" s="1340"/>
      <c r="Q573" s="1340"/>
      <c r="R573" s="1340"/>
      <c r="S573" s="8"/>
      <c r="T573" s="22"/>
      <c r="U573" t="s">
        <v>18</v>
      </c>
      <c r="AA573" s="1340" t="s">
        <v>2740</v>
      </c>
      <c r="AB573" s="1340"/>
      <c r="AC573" s="1340"/>
      <c r="AD573" s="1340"/>
      <c r="AE573" s="1340"/>
      <c r="AF573" s="1340"/>
      <c r="AG573" s="1340"/>
      <c r="AH573" s="1340"/>
      <c r="AI573" s="1340"/>
      <c r="AJ573" s="1340"/>
      <c r="AK573" s="1340"/>
      <c r="BB573" s="3"/>
      <c r="BC573" s="3"/>
      <c r="BD573" s="3"/>
      <c r="BE573" s="3"/>
      <c r="BF573" s="3"/>
      <c r="BG573" s="3"/>
      <c r="BH573" s="3"/>
      <c r="BI573" s="3"/>
    </row>
    <row r="574" spans="1:61" ht="12.95" customHeight="1">
      <c r="A574" s="22"/>
      <c r="B574" s="320" t="s">
        <v>1186</v>
      </c>
      <c r="H574" s="8"/>
      <c r="I574" s="8"/>
      <c r="J574" s="8"/>
      <c r="K574" s="8"/>
      <c r="L574" s="8"/>
      <c r="M574" s="1606"/>
      <c r="N574" s="1606"/>
      <c r="O574" s="1606"/>
      <c r="P574" s="1606"/>
      <c r="Q574" s="1606"/>
      <c r="R574" s="1606"/>
      <c r="S574" s="8"/>
      <c r="T574" s="22"/>
      <c r="U574" s="320" t="s">
        <v>1186</v>
      </c>
      <c r="AA574" s="8"/>
      <c r="AB574" s="8"/>
      <c r="AC574" s="8"/>
      <c r="AD574" s="8"/>
      <c r="AE574" s="8"/>
      <c r="AF574" s="1606"/>
      <c r="AG574" s="1606"/>
      <c r="AH574" s="1606"/>
      <c r="AI574" s="1606"/>
      <c r="AJ574" s="1606"/>
      <c r="AK574" s="1606"/>
      <c r="BB574" s="3"/>
      <c r="BC574" s="3"/>
      <c r="BD574" s="3"/>
      <c r="BE574" s="3"/>
      <c r="BF574" s="3"/>
      <c r="BG574" s="3"/>
      <c r="BH574" s="3"/>
      <c r="BI574" s="3"/>
    </row>
    <row r="575" spans="1:61" ht="12.95" customHeight="1">
      <c r="A575" s="22"/>
      <c r="B575" t="s">
        <v>20</v>
      </c>
      <c r="N575" s="1420" t="s">
        <v>546</v>
      </c>
      <c r="O575" s="1420"/>
      <c r="T575" s="22"/>
      <c r="U575" t="s">
        <v>20</v>
      </c>
      <c r="AG575" s="1420" t="s">
        <v>546</v>
      </c>
      <c r="AH575" s="1420"/>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91" t="str">
        <f>C556</f>
        <v>County of Marin</v>
      </c>
      <c r="H577" s="1491"/>
      <c r="I577" s="1491"/>
      <c r="J577" s="1491"/>
      <c r="K577" s="1491"/>
      <c r="L577" s="1491"/>
      <c r="M577" s="1491"/>
      <c r="N577" s="1491"/>
      <c r="O577" s="1491"/>
      <c r="P577" s="1491"/>
      <c r="Q577" s="1491"/>
      <c r="R577" s="1491"/>
      <c r="T577" s="55" t="s">
        <v>582</v>
      </c>
      <c r="U577" t="s">
        <v>464</v>
      </c>
      <c r="Z577" s="1491" t="str">
        <f>C557</f>
        <v>LGMG</v>
      </c>
      <c r="AA577" s="1491"/>
      <c r="AB577" s="1491"/>
      <c r="AC577" s="1491"/>
      <c r="AD577" s="1491"/>
      <c r="AE577" s="1491"/>
      <c r="AF577" s="1491"/>
      <c r="AG577" s="1491"/>
      <c r="AH577" s="1491"/>
      <c r="AI577" s="1491"/>
      <c r="AJ577" s="1491"/>
      <c r="AK577" s="1491"/>
      <c r="BB577" s="3"/>
      <c r="BC577" s="3"/>
    </row>
    <row r="578" spans="1:55" ht="12.95" customHeight="1">
      <c r="A578" s="22"/>
      <c r="B578" t="s">
        <v>85</v>
      </c>
      <c r="G578" s="1340" t="s">
        <v>2728</v>
      </c>
      <c r="H578" s="1340"/>
      <c r="I578" s="1340"/>
      <c r="J578" s="1340"/>
      <c r="K578" s="1340"/>
      <c r="L578" s="1340"/>
      <c r="M578" s="1340"/>
      <c r="N578" s="1340"/>
      <c r="O578" s="1340"/>
      <c r="P578" s="1340"/>
      <c r="Q578" s="1340"/>
      <c r="R578" s="1340"/>
      <c r="T578" s="22"/>
      <c r="U578" t="s">
        <v>85</v>
      </c>
      <c r="Z578" s="1340" t="s">
        <v>2737</v>
      </c>
      <c r="AA578" s="1340"/>
      <c r="AB578" s="1340"/>
      <c r="AC578" s="1340"/>
      <c r="AD578" s="1340"/>
      <c r="AE578" s="1340"/>
      <c r="AF578" s="1340"/>
      <c r="AG578" s="1340"/>
      <c r="AH578" s="1340"/>
      <c r="AI578" s="1340"/>
      <c r="AJ578" s="1340"/>
      <c r="AK578" s="1340"/>
      <c r="BB578" s="3"/>
      <c r="BC578" s="3"/>
    </row>
    <row r="579" spans="1:55" ht="12.95" customHeight="1">
      <c r="A579" s="22"/>
      <c r="B579" t="s">
        <v>581</v>
      </c>
      <c r="G579" s="1342" t="s">
        <v>2618</v>
      </c>
      <c r="H579" s="1342"/>
      <c r="I579" s="1342"/>
      <c r="J579" s="1342"/>
      <c r="K579" s="1342"/>
      <c r="L579" s="1342"/>
      <c r="M579" s="1342"/>
      <c r="N579" s="1342"/>
      <c r="O579" s="1342"/>
      <c r="P579" s="1342"/>
      <c r="Q579" s="1342"/>
      <c r="R579" s="1342"/>
      <c r="T579" s="22"/>
      <c r="U579" t="s">
        <v>581</v>
      </c>
      <c r="Z579" s="1342" t="s">
        <v>68</v>
      </c>
      <c r="AA579" s="1342"/>
      <c r="AB579" s="1342"/>
      <c r="AC579" s="1342"/>
      <c r="AD579" s="1342"/>
      <c r="AE579" s="1342"/>
      <c r="AF579" s="1342"/>
      <c r="AG579" s="1342"/>
      <c r="AH579" s="1342"/>
      <c r="AI579" s="1342"/>
      <c r="AJ579" s="1342"/>
      <c r="AK579" s="1342"/>
      <c r="BB579" s="3"/>
      <c r="BC579" s="3"/>
    </row>
    <row r="580" spans="1:55" ht="12.95" customHeight="1">
      <c r="A580" s="22"/>
      <c r="B580" t="s">
        <v>17</v>
      </c>
      <c r="G580" s="1342" t="s">
        <v>2729</v>
      </c>
      <c r="H580" s="1342"/>
      <c r="I580" s="1342"/>
      <c r="J580" s="1342"/>
      <c r="K580" s="1342"/>
      <c r="L580" s="1342"/>
      <c r="M580" s="1342"/>
      <c r="N580" s="1342"/>
      <c r="O580" s="1342"/>
      <c r="P580" s="1342"/>
      <c r="Q580" s="1342"/>
      <c r="R580" s="1342"/>
      <c r="T580" s="22"/>
      <c r="U580" t="s">
        <v>17</v>
      </c>
      <c r="Z580" s="1342" t="s">
        <v>2738</v>
      </c>
      <c r="AA580" s="1342"/>
      <c r="AB580" s="1342"/>
      <c r="AC580" s="1342"/>
      <c r="AD580" s="1342"/>
      <c r="AE580" s="1342"/>
      <c r="AF580" s="1342"/>
      <c r="AG580" s="1342"/>
      <c r="AH580" s="1342"/>
      <c r="AI580" s="1342"/>
      <c r="AJ580" s="1342"/>
      <c r="AK580" s="1342"/>
      <c r="BB580" s="3"/>
      <c r="BC580" s="3"/>
    </row>
    <row r="581" spans="1:55" ht="12.95" customHeight="1">
      <c r="A581" s="22"/>
      <c r="B581" t="s">
        <v>316</v>
      </c>
      <c r="G581" s="1674" t="s">
        <v>2730</v>
      </c>
      <c r="H581" s="1495"/>
      <c r="I581" s="1495"/>
      <c r="J581" s="1495"/>
      <c r="K581" s="1495"/>
      <c r="L581" s="1495"/>
      <c r="O581" s="33" t="s">
        <v>206</v>
      </c>
      <c r="P581" s="1429"/>
      <c r="Q581" s="1429"/>
      <c r="R581" s="1429"/>
      <c r="T581" s="22"/>
      <c r="U581" t="s">
        <v>316</v>
      </c>
      <c r="Z581" s="1674" t="s">
        <v>2739</v>
      </c>
      <c r="AA581" s="1495"/>
      <c r="AB581" s="1495"/>
      <c r="AC581" s="1495"/>
      <c r="AD581" s="1495"/>
      <c r="AE581" s="1495"/>
      <c r="AH581" s="33" t="s">
        <v>206</v>
      </c>
      <c r="AI581" s="1429"/>
      <c r="AJ581" s="1429"/>
      <c r="AK581" s="1429"/>
      <c r="BB581" s="3"/>
      <c r="BC581" s="3"/>
    </row>
    <row r="582" spans="1:55" ht="12.95" customHeight="1">
      <c r="A582" s="22"/>
      <c r="B582" t="s">
        <v>18</v>
      </c>
      <c r="H582" s="1340" t="s">
        <v>2731</v>
      </c>
      <c r="I582" s="1340"/>
      <c r="J582" s="1340"/>
      <c r="K582" s="1340"/>
      <c r="L582" s="1340"/>
      <c r="M582" s="1340"/>
      <c r="N582" s="1340"/>
      <c r="O582" s="1340"/>
      <c r="P582" s="1340"/>
      <c r="Q582" s="1340"/>
      <c r="R582" s="1340"/>
      <c r="T582" s="22"/>
      <c r="U582" t="s">
        <v>18</v>
      </c>
      <c r="AA582" s="1339" t="s">
        <v>2741</v>
      </c>
      <c r="AB582" s="1340"/>
      <c r="AC582" s="1340"/>
      <c r="AD582" s="1340"/>
      <c r="AE582" s="1340"/>
      <c r="AF582" s="1340"/>
      <c r="AG582" s="1340"/>
      <c r="AH582" s="1340"/>
      <c r="AI582" s="1340"/>
      <c r="AJ582" s="1340"/>
      <c r="AK582" s="1340"/>
      <c r="BB582" s="3"/>
      <c r="BC582" s="3"/>
    </row>
    <row r="583" spans="1:55" ht="12.95" customHeight="1">
      <c r="A583" s="22"/>
      <c r="B583" t="s">
        <v>20</v>
      </c>
      <c r="N583" s="1420" t="s">
        <v>546</v>
      </c>
      <c r="O583" s="1420"/>
      <c r="T583" s="22"/>
      <c r="U583" t="s">
        <v>20</v>
      </c>
      <c r="AG583" s="1420" t="s">
        <v>546</v>
      </c>
      <c r="AH583" s="1420"/>
      <c r="BB583" s="3"/>
      <c r="BC583" s="3"/>
    </row>
    <row r="584" spans="1:55" ht="12.95" customHeight="1">
      <c r="A584" s="22"/>
      <c r="T584" s="22"/>
      <c r="BB584" s="3"/>
      <c r="BC584" s="3"/>
    </row>
    <row r="585" spans="1:55" ht="12.95" customHeight="1">
      <c r="A585" s="55" t="s">
        <v>764</v>
      </c>
      <c r="B585" t="s">
        <v>464</v>
      </c>
      <c r="G585" s="1491" t="str">
        <f>C558</f>
        <v>Marin Community Foundation</v>
      </c>
      <c r="H585" s="1491"/>
      <c r="I585" s="1491"/>
      <c r="J585" s="1491"/>
      <c r="K585" s="1491"/>
      <c r="L585" s="1491"/>
      <c r="M585" s="1491"/>
      <c r="N585" s="1491"/>
      <c r="O585" s="1491"/>
      <c r="P585" s="1491"/>
      <c r="Q585" s="1491"/>
      <c r="R585" s="1491"/>
      <c r="T585" s="55" t="s">
        <v>585</v>
      </c>
      <c r="U585" t="s">
        <v>464</v>
      </c>
      <c r="Z585" s="1491" t="str">
        <f>C559</f>
        <v>GP Equity</v>
      </c>
      <c r="AA585" s="1491"/>
      <c r="AB585" s="1491"/>
      <c r="AC585" s="1491"/>
      <c r="AD585" s="1491"/>
      <c r="AE585" s="1491"/>
      <c r="AF585" s="1491"/>
      <c r="AG585" s="1491"/>
      <c r="AH585" s="1491"/>
      <c r="AI585" s="1491"/>
      <c r="AJ585" s="1491"/>
      <c r="AK585" s="1491"/>
      <c r="BB585" s="3"/>
      <c r="BC585" s="3"/>
    </row>
    <row r="586" spans="1:55" ht="12.95" customHeight="1">
      <c r="A586" s="22"/>
      <c r="B586" t="s">
        <v>85</v>
      </c>
      <c r="G586" s="1340" t="s">
        <v>2732</v>
      </c>
      <c r="H586" s="1340"/>
      <c r="I586" s="1340"/>
      <c r="J586" s="1340"/>
      <c r="K586" s="1340"/>
      <c r="L586" s="1340"/>
      <c r="M586" s="1340"/>
      <c r="N586" s="1340"/>
      <c r="O586" s="1340"/>
      <c r="P586" s="1340"/>
      <c r="Q586" s="1340"/>
      <c r="R586" s="1340"/>
      <c r="T586" s="22"/>
      <c r="U586" t="s">
        <v>85</v>
      </c>
      <c r="Z586" s="1340" t="s">
        <v>2626</v>
      </c>
      <c r="AA586" s="1340"/>
      <c r="AB586" s="1340"/>
      <c r="AC586" s="1340"/>
      <c r="AD586" s="1340"/>
      <c r="AE586" s="1340"/>
      <c r="AF586" s="1340"/>
      <c r="AG586" s="1340"/>
      <c r="AH586" s="1340"/>
      <c r="AI586" s="1340"/>
      <c r="AJ586" s="1340"/>
      <c r="AK586" s="1340"/>
      <c r="BB586" s="3"/>
      <c r="BC586" s="3"/>
    </row>
    <row r="587" spans="1:55" ht="12.95" customHeight="1">
      <c r="A587" s="22"/>
      <c r="B587" t="s">
        <v>581</v>
      </c>
      <c r="G587" s="1342" t="s">
        <v>2733</v>
      </c>
      <c r="H587" s="1342"/>
      <c r="I587" s="1342"/>
      <c r="J587" s="1342"/>
      <c r="K587" s="1342"/>
      <c r="L587" s="1342"/>
      <c r="M587" s="1342"/>
      <c r="N587" s="1342"/>
      <c r="O587" s="1342"/>
      <c r="P587" s="1342"/>
      <c r="Q587" s="1342"/>
      <c r="R587" s="1342"/>
      <c r="T587" s="22"/>
      <c r="U587" t="s">
        <v>581</v>
      </c>
      <c r="Z587" s="1340" t="s">
        <v>2627</v>
      </c>
      <c r="AA587" s="1340"/>
      <c r="AB587" s="1340"/>
      <c r="AC587" s="1340"/>
      <c r="AD587" s="1340"/>
      <c r="AE587" s="1340"/>
      <c r="AF587" s="1340"/>
      <c r="AG587" s="1340"/>
      <c r="AH587" s="1340"/>
      <c r="AI587" s="1340"/>
      <c r="AJ587" s="1340"/>
      <c r="AK587" s="1340"/>
      <c r="BB587" s="3"/>
      <c r="BC587" s="3"/>
    </row>
    <row r="588" spans="1:55" ht="12.95" customHeight="1">
      <c r="A588" s="22"/>
      <c r="B588" t="s">
        <v>17</v>
      </c>
      <c r="G588" s="1342" t="s">
        <v>2734</v>
      </c>
      <c r="H588" s="1342"/>
      <c r="I588" s="1342"/>
      <c r="J588" s="1342"/>
      <c r="K588" s="1342"/>
      <c r="L588" s="1342"/>
      <c r="M588" s="1342"/>
      <c r="N588" s="1342"/>
      <c r="O588" s="1342"/>
      <c r="P588" s="1342"/>
      <c r="Q588" s="1342"/>
      <c r="R588" s="1342"/>
      <c r="T588" s="22"/>
      <c r="U588" t="s">
        <v>17</v>
      </c>
      <c r="Z588" s="1340" t="s">
        <v>2637</v>
      </c>
      <c r="AA588" s="1340"/>
      <c r="AB588" s="1340"/>
      <c r="AC588" s="1340"/>
      <c r="AD588" s="1340"/>
      <c r="AE588" s="1340"/>
      <c r="AF588" s="1340"/>
      <c r="AG588" s="1340"/>
      <c r="AH588" s="1340"/>
      <c r="AI588" s="1340"/>
      <c r="AJ588" s="1340"/>
      <c r="AK588" s="1340"/>
    </row>
    <row r="589" spans="1:55" ht="12.95" customHeight="1">
      <c r="A589" s="22"/>
      <c r="B589" t="s">
        <v>316</v>
      </c>
      <c r="G589" s="1495">
        <v>4154642522</v>
      </c>
      <c r="H589" s="1495"/>
      <c r="I589" s="1495"/>
      <c r="J589" s="1495"/>
      <c r="K589" s="1495"/>
      <c r="L589" s="1495"/>
      <c r="O589" s="33" t="s">
        <v>206</v>
      </c>
      <c r="P589" s="1429"/>
      <c r="Q589" s="1429"/>
      <c r="R589" s="1429"/>
      <c r="T589" s="22"/>
      <c r="U589" t="s">
        <v>316</v>
      </c>
      <c r="Z589" s="1674">
        <v>3105604298</v>
      </c>
      <c r="AA589" s="1495"/>
      <c r="AB589" s="1495"/>
      <c r="AC589" s="1495"/>
      <c r="AD589" s="1495"/>
      <c r="AE589" s="1495"/>
      <c r="AH589" s="33" t="s">
        <v>206</v>
      </c>
      <c r="AI589" s="1429"/>
      <c r="AJ589" s="1429"/>
      <c r="AK589" s="1429"/>
      <c r="AZ589" s="3"/>
      <c r="BA589" s="3"/>
      <c r="BB589" s="3"/>
      <c r="BC589" s="3"/>
    </row>
    <row r="590" spans="1:55" ht="12.95" customHeight="1">
      <c r="A590" s="22"/>
      <c r="B590" t="s">
        <v>18</v>
      </c>
      <c r="H590" s="1340" t="s">
        <v>2735</v>
      </c>
      <c r="I590" s="1340"/>
      <c r="J590" s="1340"/>
      <c r="K590" s="1340"/>
      <c r="L590" s="1340"/>
      <c r="M590" s="1340"/>
      <c r="N590" s="1340"/>
      <c r="O590" s="1340"/>
      <c r="P590" s="1340"/>
      <c r="Q590" s="1340"/>
      <c r="R590" s="1340"/>
      <c r="T590" s="22"/>
      <c r="U590" t="s">
        <v>18</v>
      </c>
      <c r="AA590" s="1340" t="s">
        <v>2736</v>
      </c>
      <c r="AB590" s="1340"/>
      <c r="AC590" s="1340"/>
      <c r="AD590" s="1340"/>
      <c r="AE590" s="1340"/>
      <c r="AF590" s="1340"/>
      <c r="AG590" s="1340"/>
      <c r="AH590" s="1340"/>
      <c r="AI590" s="1340"/>
      <c r="AJ590" s="1340"/>
      <c r="AK590" s="1340"/>
      <c r="AZ590" s="3"/>
      <c r="BA590" s="3"/>
      <c r="BB590" s="3"/>
      <c r="BC590" s="3"/>
    </row>
    <row r="591" spans="1:55" ht="12.95" customHeight="1">
      <c r="A591" s="22"/>
      <c r="B591" t="s">
        <v>20</v>
      </c>
      <c r="N591" s="1420" t="s">
        <v>546</v>
      </c>
      <c r="O591" s="1420"/>
      <c r="T591" s="22"/>
      <c r="U591" t="s">
        <v>20</v>
      </c>
      <c r="AG591" s="1420" t="s">
        <v>546</v>
      </c>
      <c r="AH591" s="1420"/>
      <c r="AZ591" s="3"/>
      <c r="BA591" s="3"/>
      <c r="BB591" s="3"/>
      <c r="BC591" s="3"/>
    </row>
    <row r="592" spans="1:55" ht="12.95" customHeight="1">
      <c r="A592" s="22"/>
      <c r="T592" s="22"/>
      <c r="AZ592" s="3"/>
      <c r="BA592" s="3"/>
      <c r="BB592" s="3"/>
      <c r="BC592" s="3"/>
    </row>
    <row r="593" spans="1:55" ht="12.95" customHeight="1">
      <c r="A593" s="55" t="s">
        <v>456</v>
      </c>
      <c r="B593" t="s">
        <v>464</v>
      </c>
      <c r="G593" s="1491" t="str">
        <f>C560</f>
        <v>LP Equity</v>
      </c>
      <c r="H593" s="1491"/>
      <c r="I593" s="1491"/>
      <c r="J593" s="1491"/>
      <c r="K593" s="1491"/>
      <c r="L593" s="1491"/>
      <c r="M593" s="1491"/>
      <c r="N593" s="1491"/>
      <c r="O593" s="1491"/>
      <c r="P593" s="1491"/>
      <c r="Q593" s="1491"/>
      <c r="R593" s="1491"/>
      <c r="T593" s="55" t="s">
        <v>457</v>
      </c>
      <c r="U593" t="s">
        <v>464</v>
      </c>
      <c r="Z593" s="1491" t="str">
        <f>C561</f>
        <v>Deferred Costs</v>
      </c>
      <c r="AA593" s="1491"/>
      <c r="AB593" s="1491"/>
      <c r="AC593" s="1491"/>
      <c r="AD593" s="1491"/>
      <c r="AE593" s="1491"/>
      <c r="AF593" s="1491"/>
      <c r="AG593" s="1491"/>
      <c r="AH593" s="1491"/>
      <c r="AI593" s="1491"/>
      <c r="AJ593" s="1491"/>
      <c r="AK593" s="1491"/>
      <c r="AZ593" s="3"/>
      <c r="BA593" s="3"/>
      <c r="BB593" s="3"/>
      <c r="BC593" s="3"/>
    </row>
    <row r="594" spans="1:55" s="4" customFormat="1" ht="12.95" customHeight="1">
      <c r="A594" s="22"/>
      <c r="B594" t="s">
        <v>85</v>
      </c>
      <c r="C594"/>
      <c r="D594"/>
      <c r="E594"/>
      <c r="F594"/>
      <c r="G594" s="1340"/>
      <c r="H594" s="1340"/>
      <c r="I594" s="1340"/>
      <c r="J594" s="1340"/>
      <c r="K594" s="1340"/>
      <c r="L594" s="1340"/>
      <c r="M594" s="1340"/>
      <c r="N594" s="1340"/>
      <c r="O594" s="1340"/>
      <c r="P594" s="1340"/>
      <c r="Q594" s="1340"/>
      <c r="R594" s="1340"/>
      <c r="S594"/>
      <c r="T594" s="22"/>
      <c r="U594" t="s">
        <v>85</v>
      </c>
      <c r="V594"/>
      <c r="W594"/>
      <c r="X594"/>
      <c r="Y594"/>
      <c r="Z594" s="1340" t="s">
        <v>2626</v>
      </c>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40"/>
      <c r="H595" s="1340"/>
      <c r="I595" s="1340"/>
      <c r="J595" s="1340"/>
      <c r="K595" s="1340"/>
      <c r="L595" s="1340"/>
      <c r="M595" s="1340"/>
      <c r="N595" s="1340"/>
      <c r="O595" s="1340"/>
      <c r="P595" s="1340"/>
      <c r="Q595" s="1340"/>
      <c r="R595" s="1340"/>
      <c r="S595"/>
      <c r="T595" s="22"/>
      <c r="U595" t="s">
        <v>581</v>
      </c>
      <c r="V595"/>
      <c r="W595"/>
      <c r="X595"/>
      <c r="Y595"/>
      <c r="Z595" s="1342" t="s">
        <v>2627</v>
      </c>
      <c r="AA595" s="1342"/>
      <c r="AB595" s="1342"/>
      <c r="AC595" s="1342"/>
      <c r="AD595" s="1342"/>
      <c r="AE595" s="1342"/>
      <c r="AF595" s="1342"/>
      <c r="AG595" s="1342"/>
      <c r="AH595" s="1342"/>
      <c r="AI595" s="1342"/>
      <c r="AJ595" s="1342"/>
      <c r="AK595" s="134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40"/>
      <c r="H596" s="1340"/>
      <c r="I596" s="1340"/>
      <c r="J596" s="1340"/>
      <c r="K596" s="1340"/>
      <c r="L596" s="1340"/>
      <c r="M596" s="1340"/>
      <c r="N596" s="1340"/>
      <c r="O596" s="1340"/>
      <c r="P596" s="1340"/>
      <c r="Q596" s="1340"/>
      <c r="R596" s="1340"/>
      <c r="S596"/>
      <c r="T596" s="22"/>
      <c r="U596" t="s">
        <v>17</v>
      </c>
      <c r="V596"/>
      <c r="W596"/>
      <c r="X596"/>
      <c r="Y596"/>
      <c r="Z596" s="1342" t="s">
        <v>2637</v>
      </c>
      <c r="AA596" s="1342"/>
      <c r="AB596" s="1342"/>
      <c r="AC596" s="1342"/>
      <c r="AD596" s="1342"/>
      <c r="AE596" s="1342"/>
      <c r="AF596" s="1342"/>
      <c r="AG596" s="1342"/>
      <c r="AH596" s="1342"/>
      <c r="AI596" s="1342"/>
      <c r="AJ596" s="1342"/>
      <c r="AK596" s="134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5"/>
      <c r="H597" s="1495"/>
      <c r="I597" s="1495"/>
      <c r="J597" s="1495"/>
      <c r="K597" s="1495"/>
      <c r="L597" s="1495"/>
      <c r="M597"/>
      <c r="N597"/>
      <c r="O597" s="33" t="s">
        <v>206</v>
      </c>
      <c r="P597" s="1429"/>
      <c r="Q597" s="1429"/>
      <c r="R597" s="1429"/>
      <c r="S597"/>
      <c r="T597" s="22"/>
      <c r="U597" t="s">
        <v>316</v>
      </c>
      <c r="V597"/>
      <c r="W597"/>
      <c r="X597"/>
      <c r="Y597"/>
      <c r="Z597" s="1495">
        <v>3105604298</v>
      </c>
      <c r="AA597" s="1495"/>
      <c r="AB597" s="1495"/>
      <c r="AC597" s="1495"/>
      <c r="AD597" s="1495"/>
      <c r="AE597" s="1495"/>
      <c r="AF597"/>
      <c r="AG597"/>
      <c r="AH597" s="33" t="s">
        <v>206</v>
      </c>
      <c r="AI597" s="1429"/>
      <c r="AJ597" s="1429"/>
      <c r="AK597" s="142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40"/>
      <c r="I598" s="1340"/>
      <c r="J598" s="1340"/>
      <c r="K598" s="1340"/>
      <c r="L598" s="1340"/>
      <c r="M598" s="1340"/>
      <c r="N598" s="1340"/>
      <c r="O598" s="1340"/>
      <c r="P598" s="1340"/>
      <c r="Q598" s="1340"/>
      <c r="R598" s="1340"/>
      <c r="S598"/>
      <c r="T598" s="22"/>
      <c r="U598" t="s">
        <v>18</v>
      </c>
      <c r="V598"/>
      <c r="W598"/>
      <c r="X598"/>
      <c r="Y598"/>
      <c r="Z598"/>
      <c r="AA598" s="1339" t="s">
        <v>2717</v>
      </c>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BB598" s="3"/>
      <c r="BC598" s="3"/>
    </row>
    <row r="599" spans="1:55" ht="12.95" customHeight="1">
      <c r="A599" s="22"/>
      <c r="B599" t="s">
        <v>20</v>
      </c>
      <c r="N599" s="1420" t="s">
        <v>670</v>
      </c>
      <c r="O599" s="1420"/>
      <c r="T599" s="22"/>
      <c r="U599" t="s">
        <v>20</v>
      </c>
      <c r="AG599" s="1420" t="s">
        <v>546</v>
      </c>
      <c r="AH599" s="1420"/>
      <c r="BB599" s="3"/>
      <c r="BC599" s="3"/>
    </row>
    <row r="600" spans="1:55" ht="12.95" customHeight="1">
      <c r="A600" s="22"/>
      <c r="T600" s="22"/>
      <c r="BB600" s="3"/>
      <c r="BC600" s="3"/>
    </row>
    <row r="601" spans="1:55" ht="12.95" customHeight="1">
      <c r="A601" s="55" t="s">
        <v>462</v>
      </c>
      <c r="B601" t="s">
        <v>464</v>
      </c>
      <c r="G601" s="1491" t="str">
        <f>C562</f>
        <v>Construction Loan - Recycled Bonds</v>
      </c>
      <c r="H601" s="1491"/>
      <c r="I601" s="1491"/>
      <c r="J601" s="1491"/>
      <c r="K601" s="1491"/>
      <c r="L601" s="1491"/>
      <c r="M601" s="1491"/>
      <c r="N601" s="1491"/>
      <c r="O601" s="1491"/>
      <c r="P601" s="1491"/>
      <c r="Q601" s="1491"/>
      <c r="R601" s="1491"/>
      <c r="T601" s="55" t="s">
        <v>647</v>
      </c>
      <c r="U601" t="s">
        <v>464</v>
      </c>
      <c r="Z601" s="1491">
        <f>C563</f>
        <v>0</v>
      </c>
      <c r="AA601" s="1491"/>
      <c r="AB601" s="1491"/>
      <c r="AC601" s="1491"/>
      <c r="AD601" s="1491"/>
      <c r="AE601" s="1491"/>
      <c r="AF601" s="1491"/>
      <c r="AG601" s="1491"/>
      <c r="AH601" s="1491"/>
      <c r="AI601" s="1491"/>
      <c r="AJ601" s="1491"/>
      <c r="AK601" s="1491"/>
      <c r="BB601" s="3"/>
      <c r="BC601" s="3"/>
    </row>
    <row r="602" spans="1:55" ht="12.95" customHeight="1">
      <c r="A602" s="22"/>
      <c r="B602" t="s">
        <v>85</v>
      </c>
      <c r="G602" s="1340" t="s">
        <v>2743</v>
      </c>
      <c r="H602" s="1340"/>
      <c r="I602" s="1340"/>
      <c r="J602" s="1340"/>
      <c r="K602" s="1340"/>
      <c r="L602" s="1340"/>
      <c r="M602" s="1340"/>
      <c r="N602" s="1340"/>
      <c r="O602" s="1340"/>
      <c r="P602" s="1340"/>
      <c r="Q602" s="1340"/>
      <c r="R602" s="1340"/>
      <c r="T602" s="22"/>
      <c r="U602" t="s">
        <v>85</v>
      </c>
      <c r="Z602" s="1340"/>
      <c r="AA602" s="1340"/>
      <c r="AB602" s="1340"/>
      <c r="AC602" s="1340"/>
      <c r="AD602" s="1340"/>
      <c r="AE602" s="1340"/>
      <c r="AF602" s="1340"/>
      <c r="AG602" s="1340"/>
      <c r="AH602" s="1340"/>
      <c r="AI602" s="1340"/>
      <c r="AJ602" s="1340"/>
      <c r="AK602" s="1340"/>
      <c r="AZ602" s="3"/>
      <c r="BA602" s="3"/>
      <c r="BB602" s="3"/>
      <c r="BC602" s="3"/>
    </row>
    <row r="603" spans="1:55" ht="12.95" customHeight="1">
      <c r="A603" s="22"/>
      <c r="B603" t="s">
        <v>581</v>
      </c>
      <c r="G603" s="1340" t="s">
        <v>2744</v>
      </c>
      <c r="H603" s="1340"/>
      <c r="I603" s="1340"/>
      <c r="J603" s="1340"/>
      <c r="K603" s="1340"/>
      <c r="L603" s="1340"/>
      <c r="M603" s="1340"/>
      <c r="N603" s="1340"/>
      <c r="O603" s="1340"/>
      <c r="P603" s="1340"/>
      <c r="Q603" s="1340"/>
      <c r="R603" s="1340"/>
      <c r="T603" s="22"/>
      <c r="U603" t="s">
        <v>581</v>
      </c>
      <c r="Z603" s="1342"/>
      <c r="AA603" s="1342"/>
      <c r="AB603" s="1342"/>
      <c r="AC603" s="1342"/>
      <c r="AD603" s="1342"/>
      <c r="AE603" s="1342"/>
      <c r="AF603" s="1342"/>
      <c r="AG603" s="1342"/>
      <c r="AH603" s="1342"/>
      <c r="AI603" s="1342"/>
      <c r="AJ603" s="1342"/>
      <c r="AK603" s="1342"/>
      <c r="AZ603" s="3"/>
      <c r="BA603" s="3"/>
      <c r="BB603" s="3"/>
      <c r="BC603" s="3"/>
    </row>
    <row r="604" spans="1:55" ht="12.95" customHeight="1">
      <c r="A604" s="22"/>
      <c r="B604" t="s">
        <v>17</v>
      </c>
      <c r="G604" s="1340" t="s">
        <v>2742</v>
      </c>
      <c r="H604" s="1340"/>
      <c r="I604" s="1340"/>
      <c r="J604" s="1340"/>
      <c r="K604" s="1340"/>
      <c r="L604" s="1340"/>
      <c r="M604" s="1340"/>
      <c r="N604" s="1340"/>
      <c r="O604" s="1340"/>
      <c r="P604" s="1340"/>
      <c r="Q604" s="1340"/>
      <c r="R604" s="1340"/>
      <c r="T604" s="22"/>
      <c r="U604" t="s">
        <v>17</v>
      </c>
      <c r="Z604" s="1342"/>
      <c r="AA604" s="1342"/>
      <c r="AB604" s="1342"/>
      <c r="AC604" s="1342"/>
      <c r="AD604" s="1342"/>
      <c r="AE604" s="1342"/>
      <c r="AF604" s="1342"/>
      <c r="AG604" s="1342"/>
      <c r="AH604" s="1342"/>
      <c r="AI604" s="1342"/>
      <c r="AJ604" s="1342"/>
      <c r="AK604" s="1342"/>
      <c r="AZ604" s="3"/>
      <c r="BA604" s="3"/>
      <c r="BB604" s="3"/>
      <c r="BC604" s="3"/>
    </row>
    <row r="605" spans="1:55" s="4" customFormat="1" ht="12.95" customHeight="1">
      <c r="A605" s="22"/>
      <c r="B605" t="s">
        <v>316</v>
      </c>
      <c r="C605"/>
      <c r="D605"/>
      <c r="E605"/>
      <c r="F605"/>
      <c r="G605" s="1495" t="s">
        <v>2745</v>
      </c>
      <c r="H605" s="1495"/>
      <c r="I605" s="1495"/>
      <c r="J605" s="1495"/>
      <c r="K605" s="1495"/>
      <c r="L605" s="1495"/>
      <c r="M605"/>
      <c r="N605"/>
      <c r="O605" s="33" t="s">
        <v>206</v>
      </c>
      <c r="P605" s="1429"/>
      <c r="Q605" s="1429"/>
      <c r="R605" s="1429"/>
      <c r="S605"/>
      <c r="T605" s="22"/>
      <c r="U605" t="s">
        <v>316</v>
      </c>
      <c r="V605"/>
      <c r="W605"/>
      <c r="X605"/>
      <c r="Y605"/>
      <c r="Z605" s="1495"/>
      <c r="AA605" s="1495"/>
      <c r="AB605" s="1495"/>
      <c r="AC605" s="1495"/>
      <c r="AD605" s="1495"/>
      <c r="AE605" s="1495"/>
      <c r="AF605"/>
      <c r="AG605"/>
      <c r="AH605" s="33" t="s">
        <v>206</v>
      </c>
      <c r="AI605" s="1429"/>
      <c r="AJ605" s="1429"/>
      <c r="AK605" s="142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39" t="s">
        <v>2740</v>
      </c>
      <c r="I606" s="1340"/>
      <c r="J606" s="1340"/>
      <c r="K606" s="1340"/>
      <c r="L606" s="1340"/>
      <c r="M606" s="1340"/>
      <c r="N606" s="1340"/>
      <c r="O606" s="1340"/>
      <c r="P606" s="1340"/>
      <c r="Q606" s="1340"/>
      <c r="R606" s="1340"/>
      <c r="S606"/>
      <c r="T606" s="22"/>
      <c r="U606" t="s">
        <v>18</v>
      </c>
      <c r="V606"/>
      <c r="W606"/>
      <c r="X606"/>
      <c r="Y606"/>
      <c r="Z606"/>
      <c r="AA606" s="1340"/>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20" t="s">
        <v>546</v>
      </c>
      <c r="O607" s="1420"/>
      <c r="P607"/>
      <c r="Q607"/>
      <c r="R607"/>
      <c r="S607"/>
      <c r="T607" s="22"/>
      <c r="U607" t="s">
        <v>20</v>
      </c>
      <c r="V607"/>
      <c r="W607"/>
      <c r="X607"/>
      <c r="Y607"/>
      <c r="Z607"/>
      <c r="AA607"/>
      <c r="AB607"/>
      <c r="AC607"/>
      <c r="AD607"/>
      <c r="AE607"/>
      <c r="AF607"/>
      <c r="AG607" s="1420" t="s">
        <v>670</v>
      </c>
      <c r="AH607" s="1420"/>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91">
        <f>C564</f>
        <v>0</v>
      </c>
      <c r="H609" s="1491"/>
      <c r="I609" s="1491"/>
      <c r="J609" s="1491"/>
      <c r="K609" s="1491"/>
      <c r="L609" s="1491"/>
      <c r="M609" s="1491"/>
      <c r="N609" s="1491"/>
      <c r="O609" s="1491"/>
      <c r="P609" s="1491"/>
      <c r="Q609" s="1491"/>
      <c r="R609" s="1491"/>
      <c r="T609" s="55" t="s">
        <v>363</v>
      </c>
      <c r="U609" t="s">
        <v>464</v>
      </c>
      <c r="Z609" s="1491">
        <f>C565</f>
        <v>0</v>
      </c>
      <c r="AA609" s="1491"/>
      <c r="AB609" s="1491"/>
      <c r="AC609" s="1491"/>
      <c r="AD609" s="1491"/>
      <c r="AE609" s="1491"/>
      <c r="AF609" s="1491"/>
      <c r="AG609" s="1491"/>
      <c r="AH609" s="1491"/>
      <c r="AI609" s="1491"/>
      <c r="AJ609" s="1491"/>
      <c r="AK609" s="1491"/>
      <c r="AZ609" s="3"/>
      <c r="BA609" s="3"/>
      <c r="BB609" s="3"/>
      <c r="BC609" s="3"/>
    </row>
    <row r="610" spans="1:55" ht="12.95" customHeight="1">
      <c r="B610" t="s">
        <v>85</v>
      </c>
      <c r="G610" s="1340"/>
      <c r="H610" s="1340"/>
      <c r="I610" s="1340"/>
      <c r="J610" s="1340"/>
      <c r="K610" s="1340"/>
      <c r="L610" s="1340"/>
      <c r="M610" s="1340"/>
      <c r="N610" s="1340"/>
      <c r="O610" s="1340"/>
      <c r="P610" s="1340"/>
      <c r="Q610" s="1340"/>
      <c r="R610" s="1340"/>
      <c r="U610" t="s">
        <v>85</v>
      </c>
      <c r="Z610" s="1340"/>
      <c r="AA610" s="1340"/>
      <c r="AB610" s="1340"/>
      <c r="AC610" s="1340"/>
      <c r="AD610" s="1340"/>
      <c r="AE610" s="1340"/>
      <c r="AF610" s="1340"/>
      <c r="AG610" s="1340"/>
      <c r="AH610" s="1340"/>
      <c r="AI610" s="1340"/>
      <c r="AJ610" s="1340"/>
      <c r="AK610" s="1340"/>
      <c r="AZ610" s="3"/>
      <c r="BA610" s="3"/>
      <c r="BB610" s="3"/>
      <c r="BC610" s="3"/>
    </row>
    <row r="611" spans="1:55" ht="12.95" customHeight="1">
      <c r="B611" t="s">
        <v>581</v>
      </c>
      <c r="G611" s="1340"/>
      <c r="H611" s="1340"/>
      <c r="I611" s="1340"/>
      <c r="J611" s="1340"/>
      <c r="K611" s="1340"/>
      <c r="L611" s="1340"/>
      <c r="M611" s="1340"/>
      <c r="N611" s="1340"/>
      <c r="O611" s="1340"/>
      <c r="P611" s="1340"/>
      <c r="Q611" s="1340"/>
      <c r="R611" s="1340"/>
      <c r="U611" t="s">
        <v>581</v>
      </c>
      <c r="Z611" s="1342"/>
      <c r="AA611" s="1342"/>
      <c r="AB611" s="1342"/>
      <c r="AC611" s="1342"/>
      <c r="AD611" s="1342"/>
      <c r="AE611" s="1342"/>
      <c r="AF611" s="1342"/>
      <c r="AG611" s="1342"/>
      <c r="AH611" s="1342"/>
      <c r="AI611" s="1342"/>
      <c r="AJ611" s="1342"/>
      <c r="AK611" s="1342"/>
      <c r="AZ611" s="3"/>
      <c r="BA611" s="3"/>
      <c r="BB611" s="3"/>
      <c r="BC611" s="3"/>
    </row>
    <row r="612" spans="1:55" ht="12.95" customHeight="1">
      <c r="B612" t="s">
        <v>17</v>
      </c>
      <c r="G612" s="1340"/>
      <c r="H612" s="1340"/>
      <c r="I612" s="1340"/>
      <c r="J612" s="1340"/>
      <c r="K612" s="1340"/>
      <c r="L612" s="1340"/>
      <c r="M612" s="1340"/>
      <c r="N612" s="1340"/>
      <c r="O612" s="1340"/>
      <c r="P612" s="1340"/>
      <c r="Q612" s="1340"/>
      <c r="R612" s="1340"/>
      <c r="U612" t="s">
        <v>17</v>
      </c>
      <c r="Z612" s="1342"/>
      <c r="AA612" s="1342"/>
      <c r="AB612" s="1342"/>
      <c r="AC612" s="1342"/>
      <c r="AD612" s="1342"/>
      <c r="AE612" s="1342"/>
      <c r="AF612" s="1342"/>
      <c r="AG612" s="1342"/>
      <c r="AH612" s="1342"/>
      <c r="AI612" s="1342"/>
      <c r="AJ612" s="1342"/>
      <c r="AK612" s="1342"/>
      <c r="AZ612" s="3"/>
      <c r="BA612" s="3"/>
      <c r="BB612" s="3"/>
      <c r="BC612" s="3"/>
    </row>
    <row r="613" spans="1:55" ht="12.95" customHeight="1">
      <c r="B613" t="s">
        <v>316</v>
      </c>
      <c r="G613" s="1495"/>
      <c r="H613" s="1495"/>
      <c r="I613" s="1495"/>
      <c r="J613" s="1495"/>
      <c r="K613" s="1495"/>
      <c r="L613" s="1495"/>
      <c r="O613" s="33" t="s">
        <v>206</v>
      </c>
      <c r="P613" s="1429"/>
      <c r="Q613" s="1429"/>
      <c r="R613" s="1429"/>
      <c r="U613" t="s">
        <v>316</v>
      </c>
      <c r="Z613" s="1495"/>
      <c r="AA613" s="1495"/>
      <c r="AB613" s="1495"/>
      <c r="AC613" s="1495"/>
      <c r="AD613" s="1495"/>
      <c r="AE613" s="1495"/>
      <c r="AH613" s="33" t="s">
        <v>206</v>
      </c>
      <c r="AI613" s="1429"/>
      <c r="AJ613" s="1429"/>
      <c r="AK613" s="1429"/>
      <c r="AZ613" s="3"/>
      <c r="BA613" s="3"/>
      <c r="BB613" s="3"/>
      <c r="BC613" s="3"/>
    </row>
    <row r="614" spans="1:55" ht="12.95" customHeight="1">
      <c r="B614" t="s">
        <v>18</v>
      </c>
      <c r="H614" s="1340"/>
      <c r="I614" s="1340"/>
      <c r="J614" s="1340"/>
      <c r="K614" s="1340"/>
      <c r="L614" s="1340"/>
      <c r="M614" s="1340"/>
      <c r="N614" s="1340"/>
      <c r="O614" s="1340"/>
      <c r="P614" s="1340"/>
      <c r="Q614" s="1340"/>
      <c r="R614" s="1340"/>
      <c r="U614" t="s">
        <v>18</v>
      </c>
      <c r="AA614" s="1340"/>
      <c r="AB614" s="1340"/>
      <c r="AC614" s="1340"/>
      <c r="AD614" s="1340"/>
      <c r="AE614" s="1340"/>
      <c r="AF614" s="1340"/>
      <c r="AG614" s="1340"/>
      <c r="AH614" s="1340"/>
      <c r="AI614" s="1340"/>
      <c r="AJ614" s="1340"/>
      <c r="AK614" s="1340"/>
      <c r="AU614" s="899"/>
      <c r="AV614" s="899"/>
      <c r="AW614" s="899"/>
      <c r="AX614" s="899"/>
      <c r="AY614" s="899"/>
      <c r="AZ614" s="3"/>
      <c r="BA614" s="3"/>
      <c r="BB614" s="3"/>
      <c r="BC614" s="3"/>
    </row>
    <row r="615" spans="1:55" ht="12.95" customHeight="1">
      <c r="B615" t="s">
        <v>20</v>
      </c>
      <c r="N615" s="1420" t="s">
        <v>670</v>
      </c>
      <c r="O615" s="1420"/>
      <c r="U615" t="s">
        <v>20</v>
      </c>
      <c r="AG615" s="1420" t="s">
        <v>670</v>
      </c>
      <c r="AH615" s="1420"/>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84" t="s">
        <v>2103</v>
      </c>
      <c r="C624" s="1684"/>
      <c r="D624" s="1684"/>
      <c r="E624" s="1684"/>
      <c r="F624" s="1684"/>
      <c r="G624" s="1684"/>
      <c r="H624" s="1684"/>
      <c r="I624" s="1684"/>
      <c r="J624" s="1684"/>
      <c r="K624" s="1684"/>
      <c r="L624" s="1684"/>
      <c r="M624" s="1673" t="s">
        <v>2104</v>
      </c>
      <c r="N624" s="1673"/>
      <c r="O624" s="1673"/>
      <c r="P624" s="1673"/>
      <c r="Q624" s="1673" t="s">
        <v>1853</v>
      </c>
      <c r="R624" s="1673"/>
      <c r="S624" s="1673"/>
      <c r="T624" s="1673" t="s">
        <v>1851</v>
      </c>
      <c r="U624" s="1673"/>
      <c r="V624" s="1673"/>
      <c r="W624" s="1672" t="s">
        <v>454</v>
      </c>
      <c r="X624" s="1672"/>
      <c r="Y624" s="1672"/>
      <c r="Z624" s="1406" t="s">
        <v>2133</v>
      </c>
      <c r="AA624" s="1406"/>
      <c r="AB624" s="1407"/>
      <c r="AC624" s="1675" t="s">
        <v>1677</v>
      </c>
      <c r="AD624" s="1676"/>
      <c r="AE624" s="1677"/>
      <c r="AF624" s="1405" t="s">
        <v>1931</v>
      </c>
      <c r="AG624" s="1406"/>
      <c r="AH624" s="1406"/>
      <c r="AI624" s="1406"/>
      <c r="AJ624" s="1407"/>
      <c r="AK624" s="1608" t="s">
        <v>1932</v>
      </c>
      <c r="AL624" s="1609"/>
      <c r="AM624" s="1609"/>
      <c r="AN624" s="1610"/>
      <c r="AO624" s="1673" t="s">
        <v>455</v>
      </c>
      <c r="AP624" s="1673"/>
      <c r="AQ624" s="1673"/>
      <c r="AR624" s="1673"/>
      <c r="AS624" s="1673"/>
      <c r="AU624" s="3"/>
      <c r="AZ624" s="3"/>
      <c r="BA624" s="3"/>
      <c r="BB624" s="3"/>
      <c r="BC624" s="3"/>
    </row>
    <row r="625" spans="2:157" ht="12.95" customHeight="1">
      <c r="B625" s="1684"/>
      <c r="C625" s="1684"/>
      <c r="D625" s="1684"/>
      <c r="E625" s="1684"/>
      <c r="F625" s="1684"/>
      <c r="G625" s="1684"/>
      <c r="H625" s="1684"/>
      <c r="I625" s="1684"/>
      <c r="J625" s="1684"/>
      <c r="K625" s="1684"/>
      <c r="L625" s="1684"/>
      <c r="M625" s="1673"/>
      <c r="N625" s="1673"/>
      <c r="O625" s="1673"/>
      <c r="P625" s="1673"/>
      <c r="Q625" s="1673"/>
      <c r="R625" s="1673"/>
      <c r="S625" s="1673"/>
      <c r="T625" s="1673"/>
      <c r="U625" s="1673"/>
      <c r="V625" s="1673"/>
      <c r="W625" s="1672"/>
      <c r="X625" s="1672"/>
      <c r="Y625" s="1672"/>
      <c r="Z625" s="1409"/>
      <c r="AA625" s="1409"/>
      <c r="AB625" s="1410"/>
      <c r="AC625" s="1678"/>
      <c r="AD625" s="1679"/>
      <c r="AE625" s="1680"/>
      <c r="AF625" s="1408"/>
      <c r="AG625" s="1409"/>
      <c r="AH625" s="1409"/>
      <c r="AI625" s="1409"/>
      <c r="AJ625" s="1410"/>
      <c r="AK625" s="1611"/>
      <c r="AL625" s="1612"/>
      <c r="AM625" s="1612"/>
      <c r="AN625" s="1613"/>
      <c r="AO625" s="1673"/>
      <c r="AP625" s="1673"/>
      <c r="AQ625" s="1673"/>
      <c r="AR625" s="1673"/>
      <c r="AS625" s="1673"/>
      <c r="AU625" s="3"/>
      <c r="AZ625" s="3"/>
      <c r="BA625" s="3"/>
      <c r="BB625" s="3"/>
      <c r="BC625" s="3"/>
      <c r="BD625" s="3"/>
    </row>
    <row r="626" spans="2:157" ht="12.95" customHeight="1">
      <c r="B626" s="1684"/>
      <c r="C626" s="1684"/>
      <c r="D626" s="1684"/>
      <c r="E626" s="1684"/>
      <c r="F626" s="1684"/>
      <c r="G626" s="1684"/>
      <c r="H626" s="1684"/>
      <c r="I626" s="1684"/>
      <c r="J626" s="1684"/>
      <c r="K626" s="1684"/>
      <c r="L626" s="1684"/>
      <c r="M626" s="1673"/>
      <c r="N626" s="1673"/>
      <c r="O626" s="1673"/>
      <c r="P626" s="1673"/>
      <c r="Q626" s="1673"/>
      <c r="R626" s="1673"/>
      <c r="S626" s="1673"/>
      <c r="T626" s="1673"/>
      <c r="U626" s="1673"/>
      <c r="V626" s="1673"/>
      <c r="W626" s="1672"/>
      <c r="X626" s="1672"/>
      <c r="Y626" s="1672"/>
      <c r="Z626" s="1412"/>
      <c r="AA626" s="1412"/>
      <c r="AB626" s="1413"/>
      <c r="AC626" s="1681"/>
      <c r="AD626" s="1682"/>
      <c r="AE626" s="1683"/>
      <c r="AF626" s="1411"/>
      <c r="AG626" s="1412"/>
      <c r="AH626" s="1412"/>
      <c r="AI626" s="1412"/>
      <c r="AJ626" s="1413"/>
      <c r="AK626" s="1614"/>
      <c r="AL626" s="1615"/>
      <c r="AM626" s="1615"/>
      <c r="AN626" s="1616"/>
      <c r="AO626" s="1673"/>
      <c r="AP626" s="1673"/>
      <c r="AQ626" s="1673"/>
      <c r="AR626" s="1673"/>
      <c r="AS626" s="1673"/>
      <c r="AT626" s="3"/>
      <c r="AU626" s="3"/>
      <c r="AZ626" s="3"/>
      <c r="BA626" s="3"/>
      <c r="BB626" s="3"/>
      <c r="BC626" s="3"/>
      <c r="BD626" s="3"/>
    </row>
    <row r="627" spans="2:157" ht="12.95" customHeight="1">
      <c r="B627" s="51" t="s">
        <v>112</v>
      </c>
      <c r="C627" s="1607" t="s">
        <v>2718</v>
      </c>
      <c r="D627" s="1607"/>
      <c r="E627" s="1607"/>
      <c r="F627" s="1607"/>
      <c r="G627" s="1607"/>
      <c r="H627" s="1607"/>
      <c r="I627" s="1607"/>
      <c r="J627" s="1607"/>
      <c r="K627" s="1607"/>
      <c r="L627" s="1607"/>
      <c r="M627" s="1533" t="s">
        <v>2120</v>
      </c>
      <c r="N627" s="1533"/>
      <c r="O627" s="1533"/>
      <c r="P627" s="1533"/>
      <c r="Q627" s="1483">
        <f>17*12</f>
        <v>204</v>
      </c>
      <c r="R627" s="1483"/>
      <c r="S627" s="1484"/>
      <c r="T627" s="1482">
        <f>40*12</f>
        <v>480</v>
      </c>
      <c r="U627" s="1483"/>
      <c r="V627" s="1484"/>
      <c r="W627" s="1485">
        <f>[1]EVERYTHING!$F$4</f>
        <v>6.25E-2</v>
      </c>
      <c r="X627" s="1486"/>
      <c r="Y627" s="1487"/>
      <c r="Z627" s="1488" t="s">
        <v>2132</v>
      </c>
      <c r="AA627" s="1489"/>
      <c r="AB627" s="1490"/>
      <c r="AC627" s="1452">
        <v>1</v>
      </c>
      <c r="AD627" s="1453"/>
      <c r="AE627" s="1454"/>
      <c r="AF627" s="1364">
        <v>631756.88758109079</v>
      </c>
      <c r="AG627" s="1365"/>
      <c r="AH627" s="1365"/>
      <c r="AI627" s="1365"/>
      <c r="AJ627" s="1366"/>
      <c r="AK627" s="1492"/>
      <c r="AL627" s="1493"/>
      <c r="AM627" s="1493"/>
      <c r="AN627" s="1494"/>
      <c r="AO627" s="1374">
        <v>9273000</v>
      </c>
      <c r="AP627" s="1374"/>
      <c r="AQ627" s="1374"/>
      <c r="AR627" s="1374"/>
      <c r="AS627" s="1374"/>
      <c r="AT627" s="3"/>
      <c r="AU627" s="3"/>
      <c r="AZ627" s="3"/>
      <c r="BA627" s="3"/>
      <c r="BB627" s="3"/>
      <c r="BC627" s="3"/>
      <c r="BD627" s="3"/>
    </row>
    <row r="628" spans="2:157" ht="12.95" customHeight="1">
      <c r="B628" s="52" t="s">
        <v>113</v>
      </c>
      <c r="C628" s="1607" t="s">
        <v>2199</v>
      </c>
      <c r="D628" s="1607"/>
      <c r="E628" s="1607"/>
      <c r="F628" s="1607"/>
      <c r="G628" s="1607"/>
      <c r="H628" s="1607"/>
      <c r="I628" s="1607"/>
      <c r="J628" s="1607"/>
      <c r="K628" s="1607"/>
      <c r="L628" s="1607"/>
      <c r="M628" s="1533" t="s">
        <v>2116</v>
      </c>
      <c r="N628" s="1533"/>
      <c r="O628" s="1533"/>
      <c r="P628" s="1533"/>
      <c r="Q628" s="1482">
        <v>660</v>
      </c>
      <c r="R628" s="1483"/>
      <c r="S628" s="1484"/>
      <c r="T628" s="1482"/>
      <c r="U628" s="1483"/>
      <c r="V628" s="1484"/>
      <c r="W628" s="1485">
        <v>0.03</v>
      </c>
      <c r="X628" s="1486"/>
      <c r="Y628" s="1487"/>
      <c r="Z628" s="1488" t="s">
        <v>458</v>
      </c>
      <c r="AA628" s="1489"/>
      <c r="AB628" s="1490"/>
      <c r="AC628" s="1452">
        <v>2</v>
      </c>
      <c r="AD628" s="1453"/>
      <c r="AE628" s="1454"/>
      <c r="AF628" s="1364">
        <v>176396.40059999999</v>
      </c>
      <c r="AG628" s="1365"/>
      <c r="AH628" s="1365"/>
      <c r="AI628" s="1365"/>
      <c r="AJ628" s="1366"/>
      <c r="AK628" s="1492"/>
      <c r="AL628" s="1493"/>
      <c r="AM628" s="1493"/>
      <c r="AN628" s="1494"/>
      <c r="AO628" s="1375">
        <v>41999143</v>
      </c>
      <c r="AP628" s="1354"/>
      <c r="AQ628" s="1354"/>
      <c r="AR628" s="1354"/>
      <c r="AS628" s="1355"/>
      <c r="AT628" s="1148" t="str">
        <f>IF(AND(NOT(C627=""),C628="",NOT(C629="")),"!","")</f>
        <v/>
      </c>
      <c r="AU628" s="3"/>
      <c r="AZ628" s="3"/>
      <c r="BA628" s="3"/>
      <c r="BB628" s="3"/>
      <c r="BC628" s="3"/>
      <c r="BD628" s="3"/>
    </row>
    <row r="629" spans="2:157" ht="12.95" customHeight="1">
      <c r="B629" s="52" t="s">
        <v>119</v>
      </c>
      <c r="C629" s="1607" t="str">
        <f>C556</f>
        <v>County of Marin</v>
      </c>
      <c r="D629" s="1607"/>
      <c r="E629" s="1607"/>
      <c r="F629" s="1607"/>
      <c r="G629" s="1607"/>
      <c r="H629" s="1607"/>
      <c r="I629" s="1607"/>
      <c r="J629" s="1607"/>
      <c r="K629" s="1607"/>
      <c r="L629" s="1607"/>
      <c r="M629" s="1533" t="s">
        <v>2116</v>
      </c>
      <c r="N629" s="1533"/>
      <c r="O629" s="1533"/>
      <c r="P629" s="1533"/>
      <c r="Q629" s="1482">
        <v>660</v>
      </c>
      <c r="R629" s="1483"/>
      <c r="S629" s="1484"/>
      <c r="T629" s="1482"/>
      <c r="U629" s="1483"/>
      <c r="V629" s="1484"/>
      <c r="W629" s="1485">
        <v>0.03</v>
      </c>
      <c r="X629" s="1486"/>
      <c r="Y629" s="1487"/>
      <c r="Z629" s="1488" t="s">
        <v>458</v>
      </c>
      <c r="AA629" s="1489"/>
      <c r="AB629" s="1490"/>
      <c r="AC629" s="1452">
        <v>3</v>
      </c>
      <c r="AD629" s="1453"/>
      <c r="AE629" s="1454"/>
      <c r="AF629" s="1364"/>
      <c r="AG629" s="1365"/>
      <c r="AH629" s="1365"/>
      <c r="AI629" s="1365"/>
      <c r="AJ629" s="1366"/>
      <c r="AK629" s="1492"/>
      <c r="AL629" s="1493"/>
      <c r="AM629" s="1493"/>
      <c r="AN629" s="1494"/>
      <c r="AO629" s="1375">
        <v>6021370</v>
      </c>
      <c r="AP629" s="1354"/>
      <c r="AQ629" s="1354"/>
      <c r="AR629" s="1354"/>
      <c r="AS629" s="1355"/>
      <c r="AT629" s="1148" t="str">
        <f t="shared" ref="AT629:AT638" si="1">IF(AND(NOT(C628=""),C629="",NOT(C630="")),"!","")</f>
        <v/>
      </c>
      <c r="AU629" s="3"/>
      <c r="AZ629" s="3"/>
      <c r="BA629" s="3"/>
      <c r="BB629" s="3"/>
      <c r="BC629" s="3"/>
      <c r="BD629" s="3"/>
    </row>
    <row r="630" spans="2:157" ht="12.95" customHeight="1">
      <c r="B630" s="52" t="s">
        <v>582</v>
      </c>
      <c r="C630" s="1532" t="str">
        <f t="shared" ref="C630:C631" si="2">C557</f>
        <v>LGMG</v>
      </c>
      <c r="D630" s="1532"/>
      <c r="E630" s="1532"/>
      <c r="F630" s="1532"/>
      <c r="G630" s="1532"/>
      <c r="H630" s="1532"/>
      <c r="I630" s="1532"/>
      <c r="J630" s="1532"/>
      <c r="K630" s="1532"/>
      <c r="L630" s="1532"/>
      <c r="M630" s="1533" t="s">
        <v>2116</v>
      </c>
      <c r="N630" s="1533"/>
      <c r="O630" s="1533"/>
      <c r="P630" s="1533"/>
      <c r="Q630" s="1482">
        <v>660</v>
      </c>
      <c r="R630" s="1483"/>
      <c r="S630" s="1484"/>
      <c r="T630" s="1482"/>
      <c r="U630" s="1483"/>
      <c r="V630" s="1484"/>
      <c r="W630" s="1485">
        <v>0.03</v>
      </c>
      <c r="X630" s="1486"/>
      <c r="Y630" s="1487"/>
      <c r="Z630" s="1488" t="s">
        <v>458</v>
      </c>
      <c r="AA630" s="1489"/>
      <c r="AB630" s="1490"/>
      <c r="AC630" s="1452">
        <v>4</v>
      </c>
      <c r="AD630" s="1453"/>
      <c r="AE630" s="1454"/>
      <c r="AF630" s="1364"/>
      <c r="AG630" s="1365"/>
      <c r="AH630" s="1365"/>
      <c r="AI630" s="1365"/>
      <c r="AJ630" s="1366"/>
      <c r="AK630" s="1492"/>
      <c r="AL630" s="1493"/>
      <c r="AM630" s="1493"/>
      <c r="AN630" s="1494"/>
      <c r="AO630" s="1375">
        <v>1900000</v>
      </c>
      <c r="AP630" s="1354"/>
      <c r="AQ630" s="1354"/>
      <c r="AR630" s="1354"/>
      <c r="AS630" s="1355"/>
      <c r="AT630" s="1148" t="str">
        <f t="shared" si="1"/>
        <v/>
      </c>
      <c r="AU630" s="3"/>
      <c r="AZ630" s="3"/>
      <c r="BA630" s="3"/>
      <c r="BB630" s="3"/>
      <c r="BC630" s="3"/>
      <c r="BD630" s="3"/>
    </row>
    <row r="631" spans="2:157" ht="12.95" customHeight="1">
      <c r="B631" s="52" t="s">
        <v>764</v>
      </c>
      <c r="C631" s="1532" t="str">
        <f t="shared" si="2"/>
        <v>Marin Community Foundation</v>
      </c>
      <c r="D631" s="1532"/>
      <c r="E631" s="1532"/>
      <c r="F631" s="1532"/>
      <c r="G631" s="1532"/>
      <c r="H631" s="1532"/>
      <c r="I631" s="1532"/>
      <c r="J631" s="1532"/>
      <c r="K631" s="1532"/>
      <c r="L631" s="1532"/>
      <c r="M631" s="1533" t="s">
        <v>2116</v>
      </c>
      <c r="N631" s="1533"/>
      <c r="O631" s="1533"/>
      <c r="P631" s="1533"/>
      <c r="Q631" s="1482">
        <v>660</v>
      </c>
      <c r="R631" s="1483"/>
      <c r="S631" s="1484"/>
      <c r="T631" s="1482"/>
      <c r="U631" s="1483"/>
      <c r="V631" s="1484"/>
      <c r="W631" s="1485">
        <v>0.03</v>
      </c>
      <c r="X631" s="1486"/>
      <c r="Y631" s="1487"/>
      <c r="Z631" s="1488" t="s">
        <v>458</v>
      </c>
      <c r="AA631" s="1489"/>
      <c r="AB631" s="1490"/>
      <c r="AC631" s="1452">
        <v>5</v>
      </c>
      <c r="AD631" s="1453"/>
      <c r="AE631" s="1454"/>
      <c r="AF631" s="1364"/>
      <c r="AG631" s="1365"/>
      <c r="AH631" s="1365"/>
      <c r="AI631" s="1365"/>
      <c r="AJ631" s="1366"/>
      <c r="AK631" s="1492"/>
      <c r="AL631" s="1493"/>
      <c r="AM631" s="1493"/>
      <c r="AN631" s="1494"/>
      <c r="AO631" s="1375">
        <v>600000</v>
      </c>
      <c r="AP631" s="1354"/>
      <c r="AQ631" s="1354"/>
      <c r="AR631" s="1354"/>
      <c r="AS631" s="1355"/>
      <c r="AT631" s="1148" t="str">
        <f t="shared" si="1"/>
        <v/>
      </c>
      <c r="AU631" s="3"/>
      <c r="AZ631" s="3"/>
      <c r="BA631" s="3"/>
      <c r="BB631" s="3"/>
      <c r="BC631" s="3"/>
      <c r="BD631" s="3"/>
    </row>
    <row r="632" spans="2:157" ht="12.95" customHeight="1">
      <c r="B632" s="52" t="s">
        <v>585</v>
      </c>
      <c r="C632" s="1532" t="s">
        <v>2715</v>
      </c>
      <c r="D632" s="1532"/>
      <c r="E632" s="1532"/>
      <c r="F632" s="1532"/>
      <c r="G632" s="1532"/>
      <c r="H632" s="1532"/>
      <c r="I632" s="1532"/>
      <c r="J632" s="1532"/>
      <c r="K632" s="1532"/>
      <c r="L632" s="1532"/>
      <c r="M632" s="1533" t="s">
        <v>2110</v>
      </c>
      <c r="N632" s="1533"/>
      <c r="O632" s="1533"/>
      <c r="P632" s="1533"/>
      <c r="Q632" s="1482"/>
      <c r="R632" s="1483"/>
      <c r="S632" s="1484"/>
      <c r="T632" s="1482"/>
      <c r="U632" s="1483"/>
      <c r="V632" s="1484"/>
      <c r="W632" s="1485"/>
      <c r="X632" s="1486"/>
      <c r="Y632" s="1487"/>
      <c r="Z632" s="1488" t="s">
        <v>300</v>
      </c>
      <c r="AA632" s="1489"/>
      <c r="AB632" s="1490"/>
      <c r="AC632" s="1452"/>
      <c r="AD632" s="1453"/>
      <c r="AE632" s="1454"/>
      <c r="AF632" s="1364"/>
      <c r="AG632" s="1365"/>
      <c r="AH632" s="1365"/>
      <c r="AI632" s="1365"/>
      <c r="AJ632" s="1366"/>
      <c r="AK632" s="1492"/>
      <c r="AL632" s="1493"/>
      <c r="AM632" s="1493"/>
      <c r="AN632" s="1494"/>
      <c r="AO632" s="1375">
        <v>7793606</v>
      </c>
      <c r="AP632" s="1354"/>
      <c r="AQ632" s="1354"/>
      <c r="AR632" s="1354"/>
      <c r="AS632" s="1355"/>
      <c r="AT632" s="1148" t="str">
        <f t="shared" si="1"/>
        <v/>
      </c>
      <c r="AU632" s="3"/>
      <c r="AZ632" s="3"/>
      <c r="BA632" s="3"/>
      <c r="BB632" s="3"/>
      <c r="BC632" s="3"/>
      <c r="BD632" s="3"/>
    </row>
    <row r="633" spans="2:157" ht="12.95" customHeight="1">
      <c r="B633" s="52" t="s">
        <v>456</v>
      </c>
      <c r="C633" s="1532" t="s">
        <v>2321</v>
      </c>
      <c r="D633" s="1532"/>
      <c r="E633" s="1532"/>
      <c r="F633" s="1532"/>
      <c r="G633" s="1532"/>
      <c r="H633" s="1532"/>
      <c r="I633" s="1532"/>
      <c r="J633" s="1532"/>
      <c r="K633" s="1532"/>
      <c r="L633" s="1532"/>
      <c r="M633" s="1533" t="s">
        <v>2107</v>
      </c>
      <c r="N633" s="1533"/>
      <c r="O633" s="1533"/>
      <c r="P633" s="1533"/>
      <c r="Q633" s="1482"/>
      <c r="R633" s="1483"/>
      <c r="S633" s="1484"/>
      <c r="T633" s="1482"/>
      <c r="U633" s="1483"/>
      <c r="V633" s="1484"/>
      <c r="W633" s="1485"/>
      <c r="X633" s="1486"/>
      <c r="Y633" s="1487"/>
      <c r="Z633" s="1488" t="s">
        <v>300</v>
      </c>
      <c r="AA633" s="1489"/>
      <c r="AB633" s="1490"/>
      <c r="AC633" s="1452"/>
      <c r="AD633" s="1453"/>
      <c r="AE633" s="1454"/>
      <c r="AF633" s="1364"/>
      <c r="AG633" s="1365"/>
      <c r="AH633" s="1365"/>
      <c r="AI633" s="1365"/>
      <c r="AJ633" s="1366"/>
      <c r="AK633" s="1492"/>
      <c r="AL633" s="1493"/>
      <c r="AM633" s="1493"/>
      <c r="AN633" s="1494"/>
      <c r="AO633" s="1375">
        <v>1444314</v>
      </c>
      <c r="AP633" s="1354"/>
      <c r="AQ633" s="1354"/>
      <c r="AR633" s="1354"/>
      <c r="AS633" s="1355"/>
      <c r="AT633" s="1148" t="str">
        <f t="shared" si="1"/>
        <v/>
      </c>
      <c r="AU633" s="3"/>
      <c r="AV633" s="3"/>
      <c r="AW633" s="3"/>
      <c r="AX633" s="3"/>
      <c r="AY633" s="3"/>
      <c r="AZ633" s="3"/>
      <c r="BA633" s="3"/>
      <c r="BB633" s="3"/>
      <c r="BC633" s="3"/>
      <c r="BD633" s="3"/>
    </row>
    <row r="634" spans="2:157" ht="12.95" customHeight="1">
      <c r="B634" s="52" t="s">
        <v>457</v>
      </c>
      <c r="C634" s="1532"/>
      <c r="D634" s="1532"/>
      <c r="E634" s="1532"/>
      <c r="F634" s="1532"/>
      <c r="G634" s="1532"/>
      <c r="H634" s="1532"/>
      <c r="I634" s="1532"/>
      <c r="J634" s="1532"/>
      <c r="K634" s="1532"/>
      <c r="L634" s="1532"/>
      <c r="M634" s="1533" t="s">
        <v>1185</v>
      </c>
      <c r="N634" s="1533"/>
      <c r="O634" s="1533"/>
      <c r="P634" s="1533"/>
      <c r="Q634" s="1482"/>
      <c r="R634" s="1483"/>
      <c r="S634" s="1484"/>
      <c r="T634" s="1482"/>
      <c r="U634" s="1483"/>
      <c r="V634" s="1484"/>
      <c r="W634" s="1485"/>
      <c r="X634" s="1486"/>
      <c r="Y634" s="1487"/>
      <c r="Z634" s="1488" t="s">
        <v>300</v>
      </c>
      <c r="AA634" s="1489"/>
      <c r="AB634" s="1490"/>
      <c r="AC634" s="1452"/>
      <c r="AD634" s="1453"/>
      <c r="AE634" s="1454"/>
      <c r="AF634" s="1364"/>
      <c r="AG634" s="1365"/>
      <c r="AH634" s="1365"/>
      <c r="AI634" s="1365"/>
      <c r="AJ634" s="1366"/>
      <c r="AK634" s="1492"/>
      <c r="AL634" s="1493"/>
      <c r="AM634" s="1493"/>
      <c r="AN634" s="1494"/>
      <c r="AO634" s="1375"/>
      <c r="AP634" s="1354"/>
      <c r="AQ634" s="1354"/>
      <c r="AR634" s="1354"/>
      <c r="AS634" s="1355"/>
      <c r="AT634" s="1148" t="str">
        <f t="shared" si="1"/>
        <v/>
      </c>
      <c r="AU634" s="3"/>
      <c r="AV634" s="3"/>
      <c r="AW634" s="3"/>
      <c r="AX634" s="3"/>
      <c r="AY634" s="3"/>
      <c r="AZ634" s="3"/>
      <c r="BA634" s="3" t="s">
        <v>1185</v>
      </c>
      <c r="BB634" s="3"/>
      <c r="BC634" s="3"/>
      <c r="BD634" s="3"/>
    </row>
    <row r="635" spans="2:157" ht="12.95" customHeight="1">
      <c r="B635" s="52" t="s">
        <v>462</v>
      </c>
      <c r="C635" s="1532"/>
      <c r="D635" s="1532"/>
      <c r="E635" s="1532"/>
      <c r="F635" s="1532"/>
      <c r="G635" s="1532"/>
      <c r="H635" s="1532"/>
      <c r="I635" s="1532"/>
      <c r="J635" s="1532"/>
      <c r="K635" s="1532"/>
      <c r="L635" s="1532"/>
      <c r="M635" s="1533" t="s">
        <v>1185</v>
      </c>
      <c r="N635" s="1533"/>
      <c r="O635" s="1533"/>
      <c r="P635" s="1533"/>
      <c r="Q635" s="1482"/>
      <c r="R635" s="1483"/>
      <c r="S635" s="1484"/>
      <c r="T635" s="1482"/>
      <c r="U635" s="1483"/>
      <c r="V635" s="1484"/>
      <c r="W635" s="1485"/>
      <c r="X635" s="1486"/>
      <c r="Y635" s="1487"/>
      <c r="Z635" s="1488" t="s">
        <v>1185</v>
      </c>
      <c r="AA635" s="1489"/>
      <c r="AB635" s="1490"/>
      <c r="AC635" s="1452"/>
      <c r="AD635" s="1453"/>
      <c r="AE635" s="1454"/>
      <c r="AF635" s="1364"/>
      <c r="AG635" s="1365"/>
      <c r="AH635" s="1365"/>
      <c r="AI635" s="1365"/>
      <c r="AJ635" s="1366"/>
      <c r="AK635" s="1492"/>
      <c r="AL635" s="1493"/>
      <c r="AM635" s="1493"/>
      <c r="AN635" s="1494"/>
      <c r="AO635" s="1375"/>
      <c r="AP635" s="1354"/>
      <c r="AQ635" s="1354"/>
      <c r="AR635" s="1354"/>
      <c r="AS635" s="1355"/>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8">
        <f t="shared" ref="DX635:DX669" si="3">EZ718*(CP718/$CP$753)</f>
        <v>317.33333333333331</v>
      </c>
      <c r="DY635" s="1398"/>
      <c r="DZ635" s="1398"/>
      <c r="EA635" s="1398"/>
      <c r="EB635" s="1398"/>
      <c r="EC635" s="1398" t="e">
        <f t="shared" ref="EC635:EC669" si="4">FE718*(CU718/$CU$753)</f>
        <v>#VALUE!</v>
      </c>
      <c r="ED635" s="1398"/>
      <c r="EE635" s="1398"/>
      <c r="EF635" s="1398"/>
      <c r="EG635" s="1398"/>
      <c r="EH635" s="1398" t="e">
        <f t="shared" ref="EH635:EH669" si="5">FJ718*(CZ718/$CZ$753)</f>
        <v>#VALUE!</v>
      </c>
      <c r="EI635" s="1398"/>
      <c r="EJ635" s="1398"/>
      <c r="EK635" s="1398"/>
      <c r="EL635" s="1398"/>
      <c r="EM635" s="1398" t="e">
        <f t="shared" ref="EM635:EM669" si="6">FO718*(DE718/$DE$753)</f>
        <v>#VALUE!</v>
      </c>
      <c r="EN635" s="1398"/>
      <c r="EO635" s="1398"/>
      <c r="EP635" s="1398"/>
      <c r="EQ635" s="1398"/>
      <c r="ER635" s="1398" t="e">
        <f t="shared" ref="ER635:ER669" si="7">FT718*(DJ718/$DJ$753)</f>
        <v>#VALUE!</v>
      </c>
      <c r="ES635" s="1398"/>
      <c r="ET635" s="1398"/>
      <c r="EU635" s="1398"/>
      <c r="EV635" s="1398"/>
      <c r="EW635" s="1398" t="e">
        <f t="shared" ref="EW635:EW669" si="8">FY718*(DO718/$DO$753)</f>
        <v>#VALUE!</v>
      </c>
      <c r="EX635" s="1398"/>
      <c r="EY635" s="1398"/>
      <c r="EZ635" s="1398"/>
      <c r="FA635" s="1398"/>
    </row>
    <row r="636" spans="2:157" ht="12.95" customHeight="1">
      <c r="B636" s="52" t="s">
        <v>647</v>
      </c>
      <c r="C636" s="1532"/>
      <c r="D636" s="1532"/>
      <c r="E636" s="1532"/>
      <c r="F636" s="1532"/>
      <c r="G636" s="1532"/>
      <c r="H636" s="1532"/>
      <c r="I636" s="1532"/>
      <c r="J636" s="1532"/>
      <c r="K636" s="1532"/>
      <c r="L636" s="1532"/>
      <c r="M636" s="1533" t="s">
        <v>1185</v>
      </c>
      <c r="N636" s="1533"/>
      <c r="O636" s="1533"/>
      <c r="P636" s="1533"/>
      <c r="Q636" s="1482"/>
      <c r="R636" s="1483"/>
      <c r="S636" s="1484"/>
      <c r="T636" s="1482"/>
      <c r="U636" s="1483"/>
      <c r="V636" s="1484"/>
      <c r="W636" s="1485"/>
      <c r="X636" s="1486"/>
      <c r="Y636" s="1487"/>
      <c r="Z636" s="1488" t="s">
        <v>1185</v>
      </c>
      <c r="AA636" s="1489"/>
      <c r="AB636" s="1490"/>
      <c r="AC636" s="1452"/>
      <c r="AD636" s="1453"/>
      <c r="AE636" s="1454"/>
      <c r="AF636" s="1364"/>
      <c r="AG636" s="1365"/>
      <c r="AH636" s="1365"/>
      <c r="AI636" s="1365"/>
      <c r="AJ636" s="1366"/>
      <c r="AK636" s="1492"/>
      <c r="AL636" s="1493"/>
      <c r="AM636" s="1493"/>
      <c r="AN636" s="1494"/>
      <c r="AO636" s="1375"/>
      <c r="AP636" s="1354"/>
      <c r="AQ636" s="1354"/>
      <c r="AR636" s="1354"/>
      <c r="AS636" s="1355"/>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98">
        <f t="shared" si="3"/>
        <v>430.33333333333331</v>
      </c>
      <c r="DY636" s="1398"/>
      <c r="DZ636" s="1398"/>
      <c r="EA636" s="1398"/>
      <c r="EB636" s="1398"/>
      <c r="EC636" s="1398" t="e">
        <f t="shared" si="4"/>
        <v>#VALUE!</v>
      </c>
      <c r="ED636" s="1398"/>
      <c r="EE636" s="1398"/>
      <c r="EF636" s="1398"/>
      <c r="EG636" s="1398"/>
      <c r="EH636" s="1398" t="e">
        <f t="shared" si="5"/>
        <v>#VALUE!</v>
      </c>
      <c r="EI636" s="1398"/>
      <c r="EJ636" s="1398"/>
      <c r="EK636" s="1398"/>
      <c r="EL636" s="1398"/>
      <c r="EM636" s="1398" t="e">
        <f t="shared" si="6"/>
        <v>#VALUE!</v>
      </c>
      <c r="EN636" s="1398"/>
      <c r="EO636" s="1398"/>
      <c r="EP636" s="1398"/>
      <c r="EQ636" s="1398"/>
      <c r="ER636" s="1398" t="e">
        <f t="shared" si="7"/>
        <v>#VALUE!</v>
      </c>
      <c r="ES636" s="1398"/>
      <c r="ET636" s="1398"/>
      <c r="EU636" s="1398"/>
      <c r="EV636" s="1398"/>
      <c r="EW636" s="1398" t="e">
        <f t="shared" si="8"/>
        <v>#VALUE!</v>
      </c>
      <c r="EX636" s="1398"/>
      <c r="EY636" s="1398"/>
      <c r="EZ636" s="1398"/>
      <c r="FA636" s="1398"/>
    </row>
    <row r="637" spans="2:157" ht="12.95" customHeight="1">
      <c r="B637" s="52" t="s">
        <v>362</v>
      </c>
      <c r="C637" s="1532"/>
      <c r="D637" s="1532"/>
      <c r="E637" s="1532"/>
      <c r="F637" s="1532"/>
      <c r="G637" s="1532"/>
      <c r="H637" s="1532"/>
      <c r="I637" s="1532"/>
      <c r="J637" s="1532"/>
      <c r="K637" s="1532"/>
      <c r="L637" s="1532"/>
      <c r="M637" s="1533" t="s">
        <v>1185</v>
      </c>
      <c r="N637" s="1533"/>
      <c r="O637" s="1533"/>
      <c r="P637" s="1533"/>
      <c r="Q637" s="1482"/>
      <c r="R637" s="1483"/>
      <c r="S637" s="1484"/>
      <c r="T637" s="1482"/>
      <c r="U637" s="1483"/>
      <c r="V637" s="1484"/>
      <c r="W637" s="1485"/>
      <c r="X637" s="1486"/>
      <c r="Y637" s="1487"/>
      <c r="Z637" s="1488" t="s">
        <v>1185</v>
      </c>
      <c r="AA637" s="1489"/>
      <c r="AB637" s="1490"/>
      <c r="AC637" s="1452"/>
      <c r="AD637" s="1453"/>
      <c r="AE637" s="1454"/>
      <c r="AF637" s="1364"/>
      <c r="AG637" s="1365"/>
      <c r="AH637" s="1365"/>
      <c r="AI637" s="1365"/>
      <c r="AJ637" s="1366"/>
      <c r="AK637" s="1492"/>
      <c r="AL637" s="1493"/>
      <c r="AM637" s="1493"/>
      <c r="AN637" s="1494"/>
      <c r="AO637" s="1375"/>
      <c r="AP637" s="1354"/>
      <c r="AQ637" s="1354"/>
      <c r="AR637" s="1354"/>
      <c r="AS637" s="1355"/>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98">
        <f t="shared" si="3"/>
        <v>543</v>
      </c>
      <c r="DY637" s="1398"/>
      <c r="DZ637" s="1398"/>
      <c r="EA637" s="1398"/>
      <c r="EB637" s="1398"/>
      <c r="EC637" s="1398" t="e">
        <f t="shared" si="4"/>
        <v>#VALUE!</v>
      </c>
      <c r="ED637" s="1398"/>
      <c r="EE637" s="1398"/>
      <c r="EF637" s="1398"/>
      <c r="EG637" s="1398"/>
      <c r="EH637" s="1398" t="e">
        <f t="shared" si="5"/>
        <v>#VALUE!</v>
      </c>
      <c r="EI637" s="1398"/>
      <c r="EJ637" s="1398"/>
      <c r="EK637" s="1398"/>
      <c r="EL637" s="1398"/>
      <c r="EM637" s="1398" t="e">
        <f t="shared" si="6"/>
        <v>#VALUE!</v>
      </c>
      <c r="EN637" s="1398"/>
      <c r="EO637" s="1398"/>
      <c r="EP637" s="1398"/>
      <c r="EQ637" s="1398"/>
      <c r="ER637" s="1398" t="e">
        <f t="shared" si="7"/>
        <v>#VALUE!</v>
      </c>
      <c r="ES637" s="1398"/>
      <c r="ET637" s="1398"/>
      <c r="EU637" s="1398"/>
      <c r="EV637" s="1398"/>
      <c r="EW637" s="1398" t="e">
        <f t="shared" si="8"/>
        <v>#VALUE!</v>
      </c>
      <c r="EX637" s="1398"/>
      <c r="EY637" s="1398"/>
      <c r="EZ637" s="1398"/>
      <c r="FA637" s="1398"/>
    </row>
    <row r="638" spans="2:157" ht="12.95" customHeight="1">
      <c r="B638" s="52" t="s">
        <v>363</v>
      </c>
      <c r="C638" s="1532"/>
      <c r="D638" s="1532"/>
      <c r="E638" s="1532"/>
      <c r="F638" s="1532"/>
      <c r="G638" s="1532"/>
      <c r="H638" s="1532"/>
      <c r="I638" s="1532"/>
      <c r="J638" s="1532"/>
      <c r="K638" s="1532"/>
      <c r="L638" s="1532"/>
      <c r="M638" s="1533" t="s">
        <v>1185</v>
      </c>
      <c r="N638" s="1533"/>
      <c r="O638" s="1533"/>
      <c r="P638" s="1533"/>
      <c r="Q638" s="1482"/>
      <c r="R638" s="1483"/>
      <c r="S638" s="1484"/>
      <c r="T638" s="1482"/>
      <c r="U638" s="1483"/>
      <c r="V638" s="1484"/>
      <c r="W638" s="1485"/>
      <c r="X638" s="1486"/>
      <c r="Y638" s="1487"/>
      <c r="Z638" s="1488" t="s">
        <v>1185</v>
      </c>
      <c r="AA638" s="1489"/>
      <c r="AB638" s="1490"/>
      <c r="AC638" s="1452"/>
      <c r="AD638" s="1453"/>
      <c r="AE638" s="1454"/>
      <c r="AF638" s="1364"/>
      <c r="AG638" s="1365"/>
      <c r="AH638" s="1365"/>
      <c r="AI638" s="1365"/>
      <c r="AJ638" s="1366"/>
      <c r="AK638" s="1492"/>
      <c r="AL638" s="1493"/>
      <c r="AM638" s="1493"/>
      <c r="AN638" s="1494"/>
      <c r="AO638" s="1375"/>
      <c r="AP638" s="1354"/>
      <c r="AQ638" s="1354"/>
      <c r="AR638" s="1354"/>
      <c r="AS638" s="1355"/>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98" t="e">
        <f t="shared" si="3"/>
        <v>#VALUE!</v>
      </c>
      <c r="DY638" s="1398"/>
      <c r="DZ638" s="1398"/>
      <c r="EA638" s="1398"/>
      <c r="EB638" s="1398"/>
      <c r="EC638" s="1398">
        <f t="shared" si="4"/>
        <v>421.66666666666669</v>
      </c>
      <c r="ED638" s="1398"/>
      <c r="EE638" s="1398"/>
      <c r="EF638" s="1398"/>
      <c r="EG638" s="1398"/>
      <c r="EH638" s="1398" t="e">
        <f t="shared" si="5"/>
        <v>#VALUE!</v>
      </c>
      <c r="EI638" s="1398"/>
      <c r="EJ638" s="1398"/>
      <c r="EK638" s="1398"/>
      <c r="EL638" s="1398"/>
      <c r="EM638" s="1398" t="e">
        <f t="shared" si="6"/>
        <v>#VALUE!</v>
      </c>
      <c r="EN638" s="1398"/>
      <c r="EO638" s="1398"/>
      <c r="EP638" s="1398"/>
      <c r="EQ638" s="1398"/>
      <c r="ER638" s="1398" t="e">
        <f t="shared" si="7"/>
        <v>#VALUE!</v>
      </c>
      <c r="ES638" s="1398"/>
      <c r="ET638" s="1398"/>
      <c r="EU638" s="1398"/>
      <c r="EV638" s="1398"/>
      <c r="EW638" s="1398" t="e">
        <f t="shared" si="8"/>
        <v>#VALUE!</v>
      </c>
      <c r="EX638" s="1398"/>
      <c r="EY638" s="1398"/>
      <c r="EZ638" s="1398"/>
      <c r="FA638" s="1398"/>
    </row>
    <row r="639" spans="2:157" ht="12.95" customHeight="1">
      <c r="B639" s="1357" t="s">
        <v>128</v>
      </c>
      <c r="C639" s="1358"/>
      <c r="D639" s="1358"/>
      <c r="E639" s="1358"/>
      <c r="F639" s="1358"/>
      <c r="G639" s="1358"/>
      <c r="H639" s="1358"/>
      <c r="I639" s="1358"/>
      <c r="J639" s="1358"/>
      <c r="K639" s="1358"/>
      <c r="L639" s="1358"/>
      <c r="M639" s="1358"/>
      <c r="N639" s="1358"/>
      <c r="O639" s="1358"/>
      <c r="P639" s="1358"/>
      <c r="Q639" s="1358"/>
      <c r="R639" s="1358"/>
      <c r="S639" s="1358"/>
      <c r="T639" s="1358"/>
      <c r="U639" s="1358"/>
      <c r="V639" s="1358"/>
      <c r="W639" s="1358"/>
      <c r="X639" s="1358"/>
      <c r="Y639" s="1358"/>
      <c r="Z639" s="1358"/>
      <c r="AA639" s="1358"/>
      <c r="AB639" s="1358"/>
      <c r="AC639" s="1358"/>
      <c r="AD639" s="1358"/>
      <c r="AE639" s="1358"/>
      <c r="AF639" s="1358"/>
      <c r="AG639" s="1358"/>
      <c r="AH639" s="1358"/>
      <c r="AI639" s="1358"/>
      <c r="AJ639" s="1358"/>
      <c r="AK639" s="1358"/>
      <c r="AL639" s="1358"/>
      <c r="AM639" s="1358"/>
      <c r="AN639" s="1359"/>
      <c r="AO639" s="1433">
        <f>SUM(AO627:AR638)</f>
        <v>69031433</v>
      </c>
      <c r="AP639" s="1434"/>
      <c r="AQ639" s="1434"/>
      <c r="AR639" s="1434"/>
      <c r="AS639" s="143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8" t="e">
        <f t="shared" si="3"/>
        <v>#VALUE!</v>
      </c>
      <c r="DY639" s="1398"/>
      <c r="DZ639" s="1398"/>
      <c r="EA639" s="1398"/>
      <c r="EB639" s="1398"/>
      <c r="EC639" s="1398">
        <f t="shared" si="4"/>
        <v>286.45833333333337</v>
      </c>
      <c r="ED639" s="1398"/>
      <c r="EE639" s="1398"/>
      <c r="EF639" s="1398"/>
      <c r="EG639" s="1398"/>
      <c r="EH639" s="1398" t="e">
        <f t="shared" si="5"/>
        <v>#VALUE!</v>
      </c>
      <c r="EI639" s="1398"/>
      <c r="EJ639" s="1398"/>
      <c r="EK639" s="1398"/>
      <c r="EL639" s="1398"/>
      <c r="EM639" s="1398" t="e">
        <f t="shared" si="6"/>
        <v>#VALUE!</v>
      </c>
      <c r="EN639" s="1398"/>
      <c r="EO639" s="1398"/>
      <c r="EP639" s="1398"/>
      <c r="EQ639" s="1398"/>
      <c r="ER639" s="1398" t="e">
        <f t="shared" si="7"/>
        <v>#VALUE!</v>
      </c>
      <c r="ES639" s="1398"/>
      <c r="ET639" s="1398"/>
      <c r="EU639" s="1398"/>
      <c r="EV639" s="1398"/>
      <c r="EW639" s="1398" t="e">
        <f t="shared" si="8"/>
        <v>#VALUE!</v>
      </c>
      <c r="EX639" s="1398"/>
      <c r="EY639" s="1398"/>
      <c r="EZ639" s="1398"/>
      <c r="FA639" s="1398"/>
    </row>
    <row r="640" spans="2:157" ht="12.95" customHeight="1">
      <c r="B640" s="1357" t="s">
        <v>267</v>
      </c>
      <c r="C640" s="1358"/>
      <c r="D640" s="1358"/>
      <c r="E640" s="1358"/>
      <c r="F640" s="1358"/>
      <c r="G640" s="1358"/>
      <c r="H640" s="1358"/>
      <c r="I640" s="1358"/>
      <c r="J640" s="1358"/>
      <c r="K640" s="1358"/>
      <c r="L640" s="1358"/>
      <c r="M640" s="1358"/>
      <c r="N640" s="1358"/>
      <c r="O640" s="1358"/>
      <c r="P640" s="1358"/>
      <c r="Q640" s="1358"/>
      <c r="R640" s="1358"/>
      <c r="S640" s="1358"/>
      <c r="T640" s="1358"/>
      <c r="U640" s="1358"/>
      <c r="V640" s="1358"/>
      <c r="W640" s="1358"/>
      <c r="X640" s="1358"/>
      <c r="Y640" s="1358"/>
      <c r="Z640" s="1358"/>
      <c r="AA640" s="1358"/>
      <c r="AB640" s="1358"/>
      <c r="AC640" s="1358"/>
      <c r="AD640" s="1358"/>
      <c r="AE640" s="1358"/>
      <c r="AF640" s="1358"/>
      <c r="AG640" s="1358"/>
      <c r="AH640" s="1358"/>
      <c r="AI640" s="1358"/>
      <c r="AJ640" s="1358"/>
      <c r="AK640" s="1358"/>
      <c r="AL640" s="1358"/>
      <c r="AM640" s="1358"/>
      <c r="AN640" s="1359"/>
      <c r="AO640" s="1375">
        <v>41171513</v>
      </c>
      <c r="AP640" s="1354"/>
      <c r="AQ640" s="1354"/>
      <c r="AR640" s="1354"/>
      <c r="AS640" s="135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8" t="e">
        <f t="shared" si="3"/>
        <v>#VALUE!</v>
      </c>
      <c r="DY640" s="1398"/>
      <c r="DZ640" s="1398"/>
      <c r="EA640" s="1398"/>
      <c r="EB640" s="1398"/>
      <c r="EC640" s="1398">
        <f t="shared" si="4"/>
        <v>361.875</v>
      </c>
      <c r="ED640" s="1398"/>
      <c r="EE640" s="1398"/>
      <c r="EF640" s="1398"/>
      <c r="EG640" s="1398"/>
      <c r="EH640" s="1398" t="e">
        <f t="shared" si="5"/>
        <v>#VALUE!</v>
      </c>
      <c r="EI640" s="1398"/>
      <c r="EJ640" s="1398"/>
      <c r="EK640" s="1398"/>
      <c r="EL640" s="1398"/>
      <c r="EM640" s="1398" t="e">
        <f t="shared" si="6"/>
        <v>#VALUE!</v>
      </c>
      <c r="EN640" s="1398"/>
      <c r="EO640" s="1398"/>
      <c r="EP640" s="1398"/>
      <c r="EQ640" s="1398"/>
      <c r="ER640" s="1398" t="e">
        <f t="shared" si="7"/>
        <v>#VALUE!</v>
      </c>
      <c r="ES640" s="1398"/>
      <c r="ET640" s="1398"/>
      <c r="EU640" s="1398"/>
      <c r="EV640" s="1398"/>
      <c r="EW640" s="1398" t="e">
        <f t="shared" si="8"/>
        <v>#VALUE!</v>
      </c>
      <c r="EX640" s="1398"/>
      <c r="EY640" s="1398"/>
      <c r="EZ640" s="1398"/>
      <c r="FA640" s="1398"/>
    </row>
    <row r="641" spans="1:157" ht="12.95" customHeight="1">
      <c r="B641" s="1496" t="s">
        <v>268</v>
      </c>
      <c r="C641" s="1416"/>
      <c r="D641" s="1416"/>
      <c r="E641" s="1416"/>
      <c r="F641" s="1416"/>
      <c r="G641" s="1416"/>
      <c r="H641" s="1416"/>
      <c r="I641" s="1416"/>
      <c r="J641" s="1416"/>
      <c r="K641" s="1416"/>
      <c r="L641" s="1416"/>
      <c r="M641" s="1416"/>
      <c r="N641" s="1416"/>
      <c r="O641" s="1416"/>
      <c r="P641" s="1416"/>
      <c r="Q641" s="1416"/>
      <c r="R641" s="1416"/>
      <c r="S641" s="1416"/>
      <c r="T641" s="1416"/>
      <c r="U641" s="1416"/>
      <c r="V641" s="1416"/>
      <c r="W641" s="1416"/>
      <c r="X641" s="1416"/>
      <c r="Y641" s="1416"/>
      <c r="Z641" s="1416"/>
      <c r="AA641" s="1416"/>
      <c r="AB641" s="1416"/>
      <c r="AC641" s="1416"/>
      <c r="AD641" s="1416"/>
      <c r="AE641" s="1416"/>
      <c r="AF641" s="1416"/>
      <c r="AG641" s="1416"/>
      <c r="AH641" s="1416"/>
      <c r="AI641" s="1416"/>
      <c r="AJ641" s="1416"/>
      <c r="AK641" s="1416"/>
      <c r="AL641" s="1416"/>
      <c r="AM641" s="1416"/>
      <c r="AN641" s="1497"/>
      <c r="AO641" s="1433">
        <f>AO639+AO640</f>
        <v>110202946</v>
      </c>
      <c r="AP641" s="1434"/>
      <c r="AQ641" s="1434"/>
      <c r="AR641" s="1434"/>
      <c r="AS641" s="143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8" t="e">
        <f t="shared" si="3"/>
        <v>#VALUE!</v>
      </c>
      <c r="DY641" s="1398"/>
      <c r="DZ641" s="1398"/>
      <c r="EA641" s="1398"/>
      <c r="EB641" s="1398"/>
      <c r="EC641" s="1398">
        <f t="shared" si="4"/>
        <v>350</v>
      </c>
      <c r="ED641" s="1398"/>
      <c r="EE641" s="1398"/>
      <c r="EF641" s="1398"/>
      <c r="EG641" s="1398"/>
      <c r="EH641" s="1398" t="e">
        <f t="shared" si="5"/>
        <v>#VALUE!</v>
      </c>
      <c r="EI641" s="1398"/>
      <c r="EJ641" s="1398"/>
      <c r="EK641" s="1398"/>
      <c r="EL641" s="1398"/>
      <c r="EM641" s="1398" t="e">
        <f t="shared" si="6"/>
        <v>#VALUE!</v>
      </c>
      <c r="EN641" s="1398"/>
      <c r="EO641" s="1398"/>
      <c r="EP641" s="1398"/>
      <c r="EQ641" s="1398"/>
      <c r="ER641" s="1398" t="e">
        <f t="shared" si="7"/>
        <v>#VALUE!</v>
      </c>
      <c r="ES641" s="1398"/>
      <c r="ET641" s="1398"/>
      <c r="EU641" s="1398"/>
      <c r="EV641" s="1398"/>
      <c r="EW641" s="1398" t="e">
        <f t="shared" si="8"/>
        <v>#VALUE!</v>
      </c>
      <c r="EX641" s="1398"/>
      <c r="EY641" s="1398"/>
      <c r="EZ641" s="1398"/>
      <c r="FA641" s="1398"/>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8" t="e">
        <f t="shared" si="3"/>
        <v>#VALUE!</v>
      </c>
      <c r="DY642" s="1398"/>
      <c r="DZ642" s="1398"/>
      <c r="EA642" s="1398"/>
      <c r="EB642" s="1398"/>
      <c r="EC642" s="1398" t="e">
        <f t="shared" si="4"/>
        <v>#VALUE!</v>
      </c>
      <c r="ED642" s="1398"/>
      <c r="EE642" s="1398"/>
      <c r="EF642" s="1398"/>
      <c r="EG642" s="1398"/>
      <c r="EH642" s="1398">
        <f t="shared" si="5"/>
        <v>248.06896551724137</v>
      </c>
      <c r="EI642" s="1398"/>
      <c r="EJ642" s="1398"/>
      <c r="EK642" s="1398"/>
      <c r="EL642" s="1398"/>
      <c r="EM642" s="1398" t="e">
        <f t="shared" si="6"/>
        <v>#VALUE!</v>
      </c>
      <c r="EN642" s="1398"/>
      <c r="EO642" s="1398"/>
      <c r="EP642" s="1398"/>
      <c r="EQ642" s="1398"/>
      <c r="ER642" s="1398" t="e">
        <f t="shared" si="7"/>
        <v>#VALUE!</v>
      </c>
      <c r="ES642" s="1398"/>
      <c r="ET642" s="1398"/>
      <c r="EU642" s="1398"/>
      <c r="EV642" s="1398"/>
      <c r="EW642" s="1398" t="e">
        <f t="shared" si="8"/>
        <v>#VALUE!</v>
      </c>
      <c r="EX642" s="1398"/>
      <c r="EY642" s="1398"/>
      <c r="EZ642" s="1398"/>
      <c r="FA642" s="1398"/>
    </row>
    <row r="643" spans="1:157" ht="12.95" customHeight="1">
      <c r="A643" s="55" t="s">
        <v>112</v>
      </c>
      <c r="B643" t="s">
        <v>464</v>
      </c>
      <c r="G643" s="1491" t="str">
        <f>C627</f>
        <v>Permanent Mortgage</v>
      </c>
      <c r="H643" s="1491"/>
      <c r="I643" s="1491"/>
      <c r="J643" s="1491"/>
      <c r="K643" s="1491"/>
      <c r="L643" s="1491"/>
      <c r="M643" s="1491"/>
      <c r="N643" s="1491"/>
      <c r="O643" s="1491"/>
      <c r="P643" s="1491"/>
      <c r="Q643" s="1491"/>
      <c r="R643" s="1491"/>
      <c r="S643" s="8"/>
      <c r="T643" s="55" t="s">
        <v>113</v>
      </c>
      <c r="U643" t="s">
        <v>464</v>
      </c>
      <c r="Z643" s="1491" t="str">
        <f>C628</f>
        <v>HCD MHP</v>
      </c>
      <c r="AA643" s="1491"/>
      <c r="AB643" s="1491"/>
      <c r="AC643" s="1491"/>
      <c r="AD643" s="1491"/>
      <c r="AE643" s="1491"/>
      <c r="AF643" s="1491"/>
      <c r="AG643" s="1491"/>
      <c r="AH643" s="1491"/>
      <c r="AI643" s="1491"/>
      <c r="AJ643" s="1491"/>
      <c r="AK643" s="149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8" t="e">
        <f t="shared" si="3"/>
        <v>#VALUE!</v>
      </c>
      <c r="DY643" s="1398"/>
      <c r="DZ643" s="1398"/>
      <c r="EA643" s="1398"/>
      <c r="EB643" s="1398"/>
      <c r="EC643" s="1398" t="e">
        <f t="shared" si="4"/>
        <v>#VALUE!</v>
      </c>
      <c r="ED643" s="1398"/>
      <c r="EE643" s="1398"/>
      <c r="EF643" s="1398"/>
      <c r="EG643" s="1398"/>
      <c r="EH643" s="1398">
        <f t="shared" si="5"/>
        <v>338.27586206896552</v>
      </c>
      <c r="EI643" s="1398"/>
      <c r="EJ643" s="1398"/>
      <c r="EK643" s="1398"/>
      <c r="EL643" s="1398"/>
      <c r="EM643" s="1398" t="e">
        <f t="shared" si="6"/>
        <v>#VALUE!</v>
      </c>
      <c r="EN643" s="1398"/>
      <c r="EO643" s="1398"/>
      <c r="EP643" s="1398"/>
      <c r="EQ643" s="1398"/>
      <c r="ER643" s="1398" t="e">
        <f t="shared" si="7"/>
        <v>#VALUE!</v>
      </c>
      <c r="ES643" s="1398"/>
      <c r="ET643" s="1398"/>
      <c r="EU643" s="1398"/>
      <c r="EV643" s="1398"/>
      <c r="EW643" s="1398" t="e">
        <f t="shared" si="8"/>
        <v>#VALUE!</v>
      </c>
      <c r="EX643" s="1398"/>
      <c r="EY643" s="1398"/>
      <c r="EZ643" s="1398"/>
      <c r="FA643" s="1398"/>
    </row>
    <row r="644" spans="1:157" ht="12.95" customHeight="1">
      <c r="A644" s="22"/>
      <c r="B644" t="s">
        <v>85</v>
      </c>
      <c r="G644" s="1340" t="s">
        <v>2743</v>
      </c>
      <c r="H644" s="1340"/>
      <c r="I644" s="1340"/>
      <c r="J644" s="1340"/>
      <c r="K644" s="1340"/>
      <c r="L644" s="1340"/>
      <c r="M644" s="1340"/>
      <c r="N644" s="1340"/>
      <c r="O644" s="1340"/>
      <c r="P644" s="1340"/>
      <c r="Q644" s="1340"/>
      <c r="R644" s="1340"/>
      <c r="S644" s="8"/>
      <c r="T644" s="22"/>
      <c r="U644" t="s">
        <v>85</v>
      </c>
      <c r="Z644" s="1340" t="s">
        <v>2737</v>
      </c>
      <c r="AA644" s="1340"/>
      <c r="AB644" s="1340"/>
      <c r="AC644" s="1340"/>
      <c r="AD644" s="1340"/>
      <c r="AE644" s="1340"/>
      <c r="AF644" s="1340"/>
      <c r="AG644" s="1340"/>
      <c r="AH644" s="1340"/>
      <c r="AI644" s="1340"/>
      <c r="AJ644" s="1340"/>
      <c r="AK644" s="1340"/>
      <c r="AV644" s="3"/>
      <c r="AW644" s="3"/>
      <c r="AX644" s="3"/>
      <c r="AY644" s="3"/>
      <c r="AZ644" s="3"/>
      <c r="BA644" s="3"/>
      <c r="BB644" s="3"/>
      <c r="BC644" s="3"/>
      <c r="BD644" s="3"/>
      <c r="BE644" s="3"/>
      <c r="BF644" s="3"/>
      <c r="BG644" s="3"/>
      <c r="BH644" s="3"/>
      <c r="BI644" s="3"/>
      <c r="BJ644" s="3"/>
      <c r="BK644" s="3"/>
      <c r="BL644" s="3"/>
      <c r="BM644" s="3"/>
      <c r="DX644" s="1398" t="e">
        <f t="shared" si="3"/>
        <v>#VALUE!</v>
      </c>
      <c r="DY644" s="1398"/>
      <c r="DZ644" s="1398"/>
      <c r="EA644" s="1398"/>
      <c r="EB644" s="1398"/>
      <c r="EC644" s="1398" t="e">
        <f t="shared" si="4"/>
        <v>#VALUE!</v>
      </c>
      <c r="ED644" s="1398"/>
      <c r="EE644" s="1398"/>
      <c r="EF644" s="1398"/>
      <c r="EG644" s="1398"/>
      <c r="EH644" s="1398">
        <f t="shared" si="5"/>
        <v>713.79310344827593</v>
      </c>
      <c r="EI644" s="1398"/>
      <c r="EJ644" s="1398"/>
      <c r="EK644" s="1398"/>
      <c r="EL644" s="1398"/>
      <c r="EM644" s="1398" t="e">
        <f t="shared" si="6"/>
        <v>#VALUE!</v>
      </c>
      <c r="EN644" s="1398"/>
      <c r="EO644" s="1398"/>
      <c r="EP644" s="1398"/>
      <c r="EQ644" s="1398"/>
      <c r="ER644" s="1398" t="e">
        <f t="shared" si="7"/>
        <v>#VALUE!</v>
      </c>
      <c r="ES644" s="1398"/>
      <c r="ET644" s="1398"/>
      <c r="EU644" s="1398"/>
      <c r="EV644" s="1398"/>
      <c r="EW644" s="1398" t="e">
        <f t="shared" si="8"/>
        <v>#VALUE!</v>
      </c>
      <c r="EX644" s="1398"/>
      <c r="EY644" s="1398"/>
      <c r="EZ644" s="1398"/>
      <c r="FA644" s="1398"/>
    </row>
    <row r="645" spans="1:157" ht="12.95" customHeight="1">
      <c r="A645" s="22"/>
      <c r="B645" t="s">
        <v>581</v>
      </c>
      <c r="G645" s="1340" t="s">
        <v>2744</v>
      </c>
      <c r="H645" s="1340"/>
      <c r="I645" s="1340"/>
      <c r="J645" s="1340"/>
      <c r="K645" s="1340"/>
      <c r="L645" s="1340"/>
      <c r="M645" s="1340"/>
      <c r="N645" s="1340"/>
      <c r="O645" s="1340"/>
      <c r="P645" s="1340"/>
      <c r="Q645" s="1340"/>
      <c r="R645" s="1340"/>
      <c r="T645" s="22"/>
      <c r="U645" t="s">
        <v>581</v>
      </c>
      <c r="Z645" s="1342" t="s">
        <v>68</v>
      </c>
      <c r="AA645" s="1342"/>
      <c r="AB645" s="1342"/>
      <c r="AC645" s="1342"/>
      <c r="AD645" s="1342"/>
      <c r="AE645" s="1342"/>
      <c r="AF645" s="1342"/>
      <c r="AG645" s="1342"/>
      <c r="AH645" s="1342"/>
      <c r="AI645" s="1342"/>
      <c r="AJ645" s="1342"/>
      <c r="AK645" s="1342"/>
      <c r="AV645" s="3"/>
      <c r="AW645" s="3"/>
      <c r="AX645" s="3"/>
      <c r="AY645" s="3"/>
      <c r="AZ645" s="3"/>
      <c r="BA645" s="3"/>
      <c r="BB645" s="3"/>
      <c r="BC645" s="3"/>
      <c r="BD645" s="3"/>
      <c r="BE645" s="3"/>
      <c r="BF645" s="3"/>
      <c r="BG645" s="3"/>
      <c r="BH645" s="3"/>
      <c r="BI645" s="3"/>
      <c r="BJ645" s="3"/>
      <c r="BK645" s="3"/>
      <c r="BL645" s="3"/>
      <c r="BM645" s="3"/>
      <c r="DX645" s="1398" t="e">
        <f t="shared" si="3"/>
        <v>#VALUE!</v>
      </c>
      <c r="DY645" s="1398"/>
      <c r="DZ645" s="1398"/>
      <c r="EA645" s="1398"/>
      <c r="EB645" s="1398"/>
      <c r="EC645" s="1398" t="e">
        <f t="shared" si="4"/>
        <v>#VALUE!</v>
      </c>
      <c r="ED645" s="1398"/>
      <c r="EE645" s="1398"/>
      <c r="EF645" s="1398"/>
      <c r="EG645" s="1398"/>
      <c r="EH645" s="1398">
        <f t="shared" si="5"/>
        <v>604.65517241379314</v>
      </c>
      <c r="EI645" s="1398"/>
      <c r="EJ645" s="1398"/>
      <c r="EK645" s="1398"/>
      <c r="EL645" s="1398"/>
      <c r="EM645" s="1398" t="e">
        <f t="shared" si="6"/>
        <v>#VALUE!</v>
      </c>
      <c r="EN645" s="1398"/>
      <c r="EO645" s="1398"/>
      <c r="EP645" s="1398"/>
      <c r="EQ645" s="1398"/>
      <c r="ER645" s="1398" t="e">
        <f t="shared" si="7"/>
        <v>#VALUE!</v>
      </c>
      <c r="ES645" s="1398"/>
      <c r="ET645" s="1398"/>
      <c r="EU645" s="1398"/>
      <c r="EV645" s="1398"/>
      <c r="EW645" s="1398" t="e">
        <f t="shared" si="8"/>
        <v>#VALUE!</v>
      </c>
      <c r="EX645" s="1398"/>
      <c r="EY645" s="1398"/>
      <c r="EZ645" s="1398"/>
      <c r="FA645" s="1398"/>
    </row>
    <row r="646" spans="1:157" ht="12.95" customHeight="1">
      <c r="A646" s="22"/>
      <c r="B646" t="s">
        <v>17</v>
      </c>
      <c r="G646" s="1340" t="s">
        <v>2742</v>
      </c>
      <c r="H646" s="1340"/>
      <c r="I646" s="1340"/>
      <c r="J646" s="1340"/>
      <c r="K646" s="1340"/>
      <c r="L646" s="1340"/>
      <c r="M646" s="1340"/>
      <c r="N646" s="1340"/>
      <c r="O646" s="1340"/>
      <c r="P646" s="1340"/>
      <c r="Q646" s="1340"/>
      <c r="R646" s="1340"/>
      <c r="S646" s="8"/>
      <c r="T646" s="22"/>
      <c r="U646" t="s">
        <v>17</v>
      </c>
      <c r="Z646" s="1342" t="s">
        <v>2738</v>
      </c>
      <c r="AA646" s="1342"/>
      <c r="AB646" s="1342"/>
      <c r="AC646" s="1342"/>
      <c r="AD646" s="1342"/>
      <c r="AE646" s="1342"/>
      <c r="AF646" s="1342"/>
      <c r="AG646" s="1342"/>
      <c r="AH646" s="1342"/>
      <c r="AI646" s="1342"/>
      <c r="AJ646" s="1342"/>
      <c r="AK646" s="1342"/>
      <c r="AZ646" s="3"/>
      <c r="BA646" s="3"/>
      <c r="BB646" s="3"/>
      <c r="BC646" s="3"/>
      <c r="BD646" s="3"/>
      <c r="BE646" s="3"/>
      <c r="BF646" s="3"/>
      <c r="BG646" s="3"/>
      <c r="BH646" s="3"/>
      <c r="BI646" s="3"/>
      <c r="BJ646" s="3"/>
      <c r="BK646" s="3"/>
      <c r="BL646" s="3"/>
      <c r="BM646" s="3"/>
      <c r="DX646" s="1398" t="e">
        <f t="shared" si="3"/>
        <v>#VALUE!</v>
      </c>
      <c r="DY646" s="1398"/>
      <c r="DZ646" s="1398"/>
      <c r="EA646" s="1398"/>
      <c r="EB646" s="1398"/>
      <c r="EC646" s="1398" t="e">
        <f t="shared" si="4"/>
        <v>#VALUE!</v>
      </c>
      <c r="ED646" s="1398"/>
      <c r="EE646" s="1398"/>
      <c r="EF646" s="1398"/>
      <c r="EG646" s="1398"/>
      <c r="EH646" s="1398" t="e">
        <f t="shared" si="5"/>
        <v>#VALUE!</v>
      </c>
      <c r="EI646" s="1398"/>
      <c r="EJ646" s="1398"/>
      <c r="EK646" s="1398"/>
      <c r="EL646" s="1398"/>
      <c r="EM646" s="1398">
        <f t="shared" si="6"/>
        <v>137.1</v>
      </c>
      <c r="EN646" s="1398"/>
      <c r="EO646" s="1398"/>
      <c r="EP646" s="1398"/>
      <c r="EQ646" s="1398"/>
      <c r="ER646" s="1398" t="e">
        <f t="shared" si="7"/>
        <v>#VALUE!</v>
      </c>
      <c r="ES646" s="1398"/>
      <c r="ET646" s="1398"/>
      <c r="EU646" s="1398"/>
      <c r="EV646" s="1398"/>
      <c r="EW646" s="1398" t="e">
        <f t="shared" si="8"/>
        <v>#VALUE!</v>
      </c>
      <c r="EX646" s="1398"/>
      <c r="EY646" s="1398"/>
      <c r="EZ646" s="1398"/>
      <c r="FA646" s="1398"/>
    </row>
    <row r="647" spans="1:157" ht="12.95" customHeight="1">
      <c r="A647" s="22"/>
      <c r="B647" t="s">
        <v>316</v>
      </c>
      <c r="G647" s="1495" t="s">
        <v>2745</v>
      </c>
      <c r="H647" s="1495"/>
      <c r="I647" s="1495"/>
      <c r="J647" s="1495"/>
      <c r="K647" s="1495"/>
      <c r="L647" s="1495"/>
      <c r="O647" s="33" t="s">
        <v>206</v>
      </c>
      <c r="P647" s="1429"/>
      <c r="Q647" s="1429"/>
      <c r="R647" s="1429"/>
      <c r="S647" s="10"/>
      <c r="T647" s="22"/>
      <c r="U647" t="s">
        <v>316</v>
      </c>
      <c r="Z647" s="1495" t="s">
        <v>2739</v>
      </c>
      <c r="AA647" s="1495"/>
      <c r="AB647" s="1495"/>
      <c r="AC647" s="1495"/>
      <c r="AD647" s="1495"/>
      <c r="AE647" s="1495"/>
      <c r="AH647" s="33" t="s">
        <v>206</v>
      </c>
      <c r="AI647" s="1429"/>
      <c r="AJ647" s="1429"/>
      <c r="AK647" s="1429"/>
      <c r="AZ647" s="34"/>
      <c r="BA647" s="34"/>
      <c r="BB647" s="34"/>
      <c r="BC647" s="34"/>
      <c r="BD647" s="34"/>
      <c r="BE647" s="34"/>
      <c r="BF647" s="34"/>
      <c r="BG647" s="34"/>
      <c r="BH647" s="34"/>
      <c r="BI647" s="34"/>
      <c r="BJ647" s="34"/>
      <c r="BK647" s="34"/>
      <c r="BL647" s="34"/>
      <c r="BM647" s="34"/>
      <c r="DX647" s="1398" t="e">
        <f t="shared" si="3"/>
        <v>#VALUE!</v>
      </c>
      <c r="DY647" s="1398"/>
      <c r="DZ647" s="1398"/>
      <c r="EA647" s="1398"/>
      <c r="EB647" s="1398"/>
      <c r="EC647" s="1398" t="e">
        <f t="shared" si="4"/>
        <v>#VALUE!</v>
      </c>
      <c r="ED647" s="1398"/>
      <c r="EE647" s="1398"/>
      <c r="EF647" s="1398"/>
      <c r="EG647" s="1398"/>
      <c r="EH647" s="1398" t="e">
        <f t="shared" si="5"/>
        <v>#VALUE!</v>
      </c>
      <c r="EI647" s="1398"/>
      <c r="EJ647" s="1398"/>
      <c r="EK647" s="1398"/>
      <c r="EL647" s="1398"/>
      <c r="EM647" s="1398">
        <f t="shared" si="6"/>
        <v>374.8</v>
      </c>
      <c r="EN647" s="1398"/>
      <c r="EO647" s="1398"/>
      <c r="EP647" s="1398"/>
      <c r="EQ647" s="1398"/>
      <c r="ER647" s="1398" t="e">
        <f t="shared" si="7"/>
        <v>#VALUE!</v>
      </c>
      <c r="ES647" s="1398"/>
      <c r="ET647" s="1398"/>
      <c r="EU647" s="1398"/>
      <c r="EV647" s="1398"/>
      <c r="EW647" s="1398" t="e">
        <f t="shared" si="8"/>
        <v>#VALUE!</v>
      </c>
      <c r="EX647" s="1398"/>
      <c r="EY647" s="1398"/>
      <c r="EZ647" s="1398"/>
      <c r="FA647" s="1398"/>
    </row>
    <row r="648" spans="1:157" ht="12.95" customHeight="1">
      <c r="A648" s="22"/>
      <c r="B648" t="s">
        <v>18</v>
      </c>
      <c r="H648" s="1339" t="s">
        <v>2740</v>
      </c>
      <c r="I648" s="1340"/>
      <c r="J648" s="1340"/>
      <c r="K648" s="1340"/>
      <c r="L648" s="1340"/>
      <c r="M648" s="1340"/>
      <c r="N648" s="1340"/>
      <c r="O648" s="1340"/>
      <c r="P648" s="1340"/>
      <c r="Q648" s="1340"/>
      <c r="R648" s="1340"/>
      <c r="S648" s="8"/>
      <c r="T648" s="22"/>
      <c r="U648" t="s">
        <v>18</v>
      </c>
      <c r="AA648" s="1339" t="s">
        <v>2740</v>
      </c>
      <c r="AB648" s="1340"/>
      <c r="AC648" s="1340"/>
      <c r="AD648" s="1340"/>
      <c r="AE648" s="1340"/>
      <c r="AF648" s="1340"/>
      <c r="AG648" s="1340"/>
      <c r="AH648" s="1340"/>
      <c r="AI648" s="1340"/>
      <c r="AJ648" s="1340"/>
      <c r="AK648" s="1340"/>
      <c r="AZ648" s="34"/>
      <c r="BA648" s="34"/>
      <c r="BB648" s="34"/>
      <c r="BC648" s="34"/>
      <c r="BD648" s="34"/>
      <c r="BE648" s="34"/>
      <c r="BF648" s="34"/>
      <c r="BG648" s="34"/>
      <c r="BH648" s="34"/>
      <c r="BI648" s="34"/>
      <c r="BJ648" s="34"/>
      <c r="BK648" s="34"/>
      <c r="BL648" s="34"/>
      <c r="BM648" s="34"/>
      <c r="DX648" s="1398" t="e">
        <f t="shared" si="3"/>
        <v>#VALUE!</v>
      </c>
      <c r="DY648" s="1398"/>
      <c r="DZ648" s="1398"/>
      <c r="EA648" s="1398"/>
      <c r="EB648" s="1398"/>
      <c r="EC648" s="1398" t="e">
        <f t="shared" si="4"/>
        <v>#VALUE!</v>
      </c>
      <c r="ED648" s="1398"/>
      <c r="EE648" s="1398"/>
      <c r="EF648" s="1398"/>
      <c r="EG648" s="1398"/>
      <c r="EH648" s="1398" t="e">
        <f t="shared" si="5"/>
        <v>#VALUE!</v>
      </c>
      <c r="EI648" s="1398"/>
      <c r="EJ648" s="1398"/>
      <c r="EK648" s="1398"/>
      <c r="EL648" s="1398"/>
      <c r="EM648" s="1398">
        <f t="shared" si="6"/>
        <v>1030.0333333333333</v>
      </c>
      <c r="EN648" s="1398"/>
      <c r="EO648" s="1398"/>
      <c r="EP648" s="1398"/>
      <c r="EQ648" s="1398"/>
      <c r="ER648" s="1398" t="e">
        <f t="shared" si="7"/>
        <v>#VALUE!</v>
      </c>
      <c r="ES648" s="1398"/>
      <c r="ET648" s="1398"/>
      <c r="EU648" s="1398"/>
      <c r="EV648" s="1398"/>
      <c r="EW648" s="1398" t="e">
        <f t="shared" si="8"/>
        <v>#VALUE!</v>
      </c>
      <c r="EX648" s="1398"/>
      <c r="EY648" s="1398"/>
      <c r="EZ648" s="1398"/>
      <c r="FA648" s="1398"/>
    </row>
    <row r="649" spans="1:157" ht="12.95" customHeight="1">
      <c r="A649" s="22"/>
      <c r="B649" t="s">
        <v>20</v>
      </c>
      <c r="N649" s="1420" t="s">
        <v>546</v>
      </c>
      <c r="O649" s="1420"/>
      <c r="T649" s="22"/>
      <c r="U649" t="s">
        <v>20</v>
      </c>
      <c r="AG649" s="1420" t="s">
        <v>546</v>
      </c>
      <c r="AH649" s="1420"/>
      <c r="AZ649" s="34"/>
      <c r="BA649" s="34"/>
      <c r="BB649" s="34"/>
      <c r="BC649" s="34"/>
      <c r="BD649" s="34"/>
      <c r="BE649" s="34"/>
      <c r="BF649" s="34"/>
      <c r="BG649" s="34"/>
      <c r="BH649" s="34"/>
      <c r="BI649" s="34"/>
      <c r="BJ649" s="34"/>
      <c r="BK649" s="34"/>
      <c r="BL649" s="34"/>
      <c r="BM649" s="34"/>
      <c r="DX649" s="1398" t="e">
        <f t="shared" si="3"/>
        <v>#VALUE!</v>
      </c>
      <c r="DY649" s="1398"/>
      <c r="DZ649" s="1398"/>
      <c r="EA649" s="1398"/>
      <c r="EB649" s="1398"/>
      <c r="EC649" s="1398" t="e">
        <f t="shared" si="4"/>
        <v>#VALUE!</v>
      </c>
      <c r="ED649" s="1398"/>
      <c r="EE649" s="1398"/>
      <c r="EF649" s="1398"/>
      <c r="EG649" s="1398"/>
      <c r="EH649" s="1398" t="e">
        <f t="shared" si="5"/>
        <v>#VALUE!</v>
      </c>
      <c r="EI649" s="1398"/>
      <c r="EJ649" s="1398"/>
      <c r="EK649" s="1398"/>
      <c r="EL649" s="1398"/>
      <c r="EM649" s="1398">
        <f t="shared" si="6"/>
        <v>768</v>
      </c>
      <c r="EN649" s="1398"/>
      <c r="EO649" s="1398"/>
      <c r="EP649" s="1398"/>
      <c r="EQ649" s="1398"/>
      <c r="ER649" s="1398" t="e">
        <f t="shared" si="7"/>
        <v>#VALUE!</v>
      </c>
      <c r="ES649" s="1398"/>
      <c r="ET649" s="1398"/>
      <c r="EU649" s="1398"/>
      <c r="EV649" s="1398"/>
      <c r="EW649" s="1398" t="e">
        <f t="shared" si="8"/>
        <v>#VALUE!</v>
      </c>
      <c r="EX649" s="1398"/>
      <c r="EY649" s="1398"/>
      <c r="EZ649" s="1398"/>
      <c r="FA649" s="1398"/>
    </row>
    <row r="650" spans="1:157" ht="12.95" customHeight="1">
      <c r="A650" s="22"/>
      <c r="T650" s="22"/>
      <c r="AZ650" s="34"/>
      <c r="BA650" s="34"/>
      <c r="BB650" s="34"/>
      <c r="BC650" s="34"/>
      <c r="BD650" s="34"/>
      <c r="BE650" s="34"/>
      <c r="BF650" s="34"/>
      <c r="BG650" s="34"/>
      <c r="BH650" s="34"/>
      <c r="BI650" s="34"/>
      <c r="BJ650" s="34"/>
      <c r="BK650" s="34"/>
      <c r="BL650" s="34"/>
      <c r="BM650" s="34"/>
      <c r="DX650" s="1398" t="e">
        <f t="shared" si="3"/>
        <v>#VALUE!</v>
      </c>
      <c r="DY650" s="1398"/>
      <c r="DZ650" s="1398"/>
      <c r="EA650" s="1398"/>
      <c r="EB650" s="1398"/>
      <c r="EC650" s="1398" t="e">
        <f t="shared" si="4"/>
        <v>#VALUE!</v>
      </c>
      <c r="ED650" s="1398"/>
      <c r="EE650" s="1398"/>
      <c r="EF650" s="1398"/>
      <c r="EG650" s="1398"/>
      <c r="EH650" s="1398" t="e">
        <f t="shared" si="5"/>
        <v>#VALUE!</v>
      </c>
      <c r="EI650" s="1398"/>
      <c r="EJ650" s="1398"/>
      <c r="EK650" s="1398"/>
      <c r="EL650" s="1398"/>
      <c r="EM650" s="1398" t="e">
        <f t="shared" si="6"/>
        <v>#VALUE!</v>
      </c>
      <c r="EN650" s="1398"/>
      <c r="EO650" s="1398"/>
      <c r="EP650" s="1398"/>
      <c r="EQ650" s="1398"/>
      <c r="ER650" s="1398" t="e">
        <f t="shared" si="7"/>
        <v>#VALUE!</v>
      </c>
      <c r="ES650" s="1398"/>
      <c r="ET650" s="1398"/>
      <c r="EU650" s="1398"/>
      <c r="EV650" s="1398"/>
      <c r="EW650" s="1398" t="e">
        <f t="shared" si="8"/>
        <v>#VALUE!</v>
      </c>
      <c r="EX650" s="1398"/>
      <c r="EY650" s="1398"/>
      <c r="EZ650" s="1398"/>
      <c r="FA650" s="1398"/>
    </row>
    <row r="651" spans="1:157" ht="12.95" customHeight="1">
      <c r="A651" s="55" t="s">
        <v>119</v>
      </c>
      <c r="B651" t="s">
        <v>464</v>
      </c>
      <c r="G651" s="1491" t="str">
        <f>C629</f>
        <v>County of Marin</v>
      </c>
      <c r="H651" s="1491"/>
      <c r="I651" s="1491"/>
      <c r="J651" s="1491"/>
      <c r="K651" s="1491"/>
      <c r="L651" s="1491"/>
      <c r="M651" s="1491"/>
      <c r="N651" s="1491"/>
      <c r="O651" s="1491"/>
      <c r="P651" s="1491"/>
      <c r="Q651" s="1491"/>
      <c r="R651" s="1491"/>
      <c r="T651" s="55" t="s">
        <v>582</v>
      </c>
      <c r="U651" t="s">
        <v>464</v>
      </c>
      <c r="Z651" s="1491" t="str">
        <f>C630</f>
        <v>LGMG</v>
      </c>
      <c r="AA651" s="1491"/>
      <c r="AB651" s="1491"/>
      <c r="AC651" s="1491"/>
      <c r="AD651" s="1491"/>
      <c r="AE651" s="1491"/>
      <c r="AF651" s="1491"/>
      <c r="AG651" s="1491"/>
      <c r="AH651" s="1491"/>
      <c r="AI651" s="1491"/>
      <c r="AJ651" s="1491"/>
      <c r="AK651" s="1491"/>
      <c r="AZ651" s="34"/>
      <c r="BA651" s="34"/>
      <c r="BB651" s="34"/>
      <c r="BC651" s="34"/>
      <c r="BD651" s="34"/>
      <c r="BE651" s="34"/>
      <c r="BF651" s="34"/>
      <c r="BG651" s="34"/>
      <c r="BH651" s="34"/>
      <c r="BI651" s="34"/>
      <c r="BJ651" s="34"/>
      <c r="BK651" s="34"/>
      <c r="BL651" s="34"/>
      <c r="BM651" s="34"/>
      <c r="DX651" s="1398" t="e">
        <f t="shared" si="3"/>
        <v>#VALUE!</v>
      </c>
      <c r="DY651" s="1398"/>
      <c r="DZ651" s="1398"/>
      <c r="EA651" s="1398"/>
      <c r="EB651" s="1398"/>
      <c r="EC651" s="1398" t="e">
        <f t="shared" si="4"/>
        <v>#VALUE!</v>
      </c>
      <c r="ED651" s="1398"/>
      <c r="EE651" s="1398"/>
      <c r="EF651" s="1398"/>
      <c r="EG651" s="1398"/>
      <c r="EH651" s="1398" t="e">
        <f t="shared" si="5"/>
        <v>#VALUE!</v>
      </c>
      <c r="EI651" s="1398"/>
      <c r="EJ651" s="1398"/>
      <c r="EK651" s="1398"/>
      <c r="EL651" s="1398"/>
      <c r="EM651" s="1398" t="e">
        <f t="shared" si="6"/>
        <v>#VALUE!</v>
      </c>
      <c r="EN651" s="1398"/>
      <c r="EO651" s="1398"/>
      <c r="EP651" s="1398"/>
      <c r="EQ651" s="1398"/>
      <c r="ER651" s="1398" t="e">
        <f t="shared" si="7"/>
        <v>#VALUE!</v>
      </c>
      <c r="ES651" s="1398"/>
      <c r="ET651" s="1398"/>
      <c r="EU651" s="1398"/>
      <c r="EV651" s="1398"/>
      <c r="EW651" s="1398" t="e">
        <f t="shared" si="8"/>
        <v>#VALUE!</v>
      </c>
      <c r="EX651" s="1398"/>
      <c r="EY651" s="1398"/>
      <c r="EZ651" s="1398"/>
      <c r="FA651" s="1398"/>
    </row>
    <row r="652" spans="1:157" ht="12.95" customHeight="1">
      <c r="A652" s="22"/>
      <c r="B652" t="s">
        <v>85</v>
      </c>
      <c r="G652" s="1340" t="s">
        <v>2728</v>
      </c>
      <c r="H652" s="1340"/>
      <c r="I652" s="1340"/>
      <c r="J652" s="1340"/>
      <c r="K652" s="1340"/>
      <c r="L652" s="1340"/>
      <c r="M652" s="1340"/>
      <c r="N652" s="1340"/>
      <c r="O652" s="1340"/>
      <c r="P652" s="1340"/>
      <c r="Q652" s="1340"/>
      <c r="R652" s="1340"/>
      <c r="T652" s="22"/>
      <c r="U652" t="s">
        <v>85</v>
      </c>
      <c r="Z652" s="1340" t="s">
        <v>2737</v>
      </c>
      <c r="AA652" s="1340"/>
      <c r="AB652" s="1340"/>
      <c r="AC652" s="1340"/>
      <c r="AD652" s="1340"/>
      <c r="AE652" s="1340"/>
      <c r="AF652" s="1340"/>
      <c r="AG652" s="1340"/>
      <c r="AH652" s="1340"/>
      <c r="AI652" s="1340"/>
      <c r="AJ652" s="1340"/>
      <c r="AK652" s="1340"/>
      <c r="AZ652" s="34"/>
      <c r="BA652" s="34"/>
      <c r="BB652" s="34"/>
      <c r="BC652" s="34"/>
      <c r="BD652" s="34"/>
      <c r="BE652" s="34"/>
      <c r="BF652" s="34"/>
      <c r="BG652" s="34"/>
      <c r="BH652" s="34"/>
      <c r="BI652" s="34"/>
      <c r="BJ652" s="34"/>
      <c r="BK652" s="34"/>
      <c r="BL652" s="34"/>
      <c r="BM652" s="34"/>
      <c r="DX652" s="1398" t="e">
        <f t="shared" si="3"/>
        <v>#VALUE!</v>
      </c>
      <c r="DY652" s="1398"/>
      <c r="DZ652" s="1398"/>
      <c r="EA652" s="1398"/>
      <c r="EB652" s="1398"/>
      <c r="EC652" s="1398" t="e">
        <f t="shared" si="4"/>
        <v>#VALUE!</v>
      </c>
      <c r="ED652" s="1398"/>
      <c r="EE652" s="1398"/>
      <c r="EF652" s="1398"/>
      <c r="EG652" s="1398"/>
      <c r="EH652" s="1398" t="e">
        <f t="shared" si="5"/>
        <v>#VALUE!</v>
      </c>
      <c r="EI652" s="1398"/>
      <c r="EJ652" s="1398"/>
      <c r="EK652" s="1398"/>
      <c r="EL652" s="1398"/>
      <c r="EM652" s="1398" t="e">
        <f t="shared" si="6"/>
        <v>#VALUE!</v>
      </c>
      <c r="EN652" s="1398"/>
      <c r="EO652" s="1398"/>
      <c r="EP652" s="1398"/>
      <c r="EQ652" s="1398"/>
      <c r="ER652" s="1398" t="e">
        <f t="shared" si="7"/>
        <v>#VALUE!</v>
      </c>
      <c r="ES652" s="1398"/>
      <c r="ET652" s="1398"/>
      <c r="EU652" s="1398"/>
      <c r="EV652" s="1398"/>
      <c r="EW652" s="1398" t="e">
        <f t="shared" si="8"/>
        <v>#VALUE!</v>
      </c>
      <c r="EX652" s="1398"/>
      <c r="EY652" s="1398"/>
      <c r="EZ652" s="1398"/>
      <c r="FA652" s="1398"/>
    </row>
    <row r="653" spans="1:157" ht="12.95" customHeight="1">
      <c r="A653" s="22"/>
      <c r="B653" t="s">
        <v>581</v>
      </c>
      <c r="G653" s="1342" t="s">
        <v>2618</v>
      </c>
      <c r="H653" s="1342"/>
      <c r="I653" s="1342"/>
      <c r="J653" s="1342"/>
      <c r="K653" s="1342"/>
      <c r="L653" s="1342"/>
      <c r="M653" s="1342"/>
      <c r="N653" s="1342"/>
      <c r="O653" s="1342"/>
      <c r="P653" s="1342"/>
      <c r="Q653" s="1342"/>
      <c r="R653" s="1342"/>
      <c r="T653" s="22"/>
      <c r="U653" t="s">
        <v>581</v>
      </c>
      <c r="Z653" s="1342" t="s">
        <v>68</v>
      </c>
      <c r="AA653" s="1342"/>
      <c r="AB653" s="1342"/>
      <c r="AC653" s="1342"/>
      <c r="AD653" s="1342"/>
      <c r="AE653" s="1342"/>
      <c r="AF653" s="1342"/>
      <c r="AG653" s="1342"/>
      <c r="AH653" s="1342"/>
      <c r="AI653" s="1342"/>
      <c r="AJ653" s="1342"/>
      <c r="AK653" s="1342"/>
      <c r="AZ653" s="34"/>
      <c r="BA653" s="34"/>
      <c r="BB653" s="34"/>
      <c r="BC653" s="34"/>
      <c r="BD653" s="34"/>
      <c r="BE653" s="34"/>
      <c r="BF653" s="34"/>
      <c r="BG653" s="34"/>
      <c r="BH653" s="34"/>
      <c r="BI653" s="34"/>
      <c r="BJ653" s="34"/>
      <c r="BK653" s="34"/>
      <c r="BL653" s="34"/>
      <c r="BM653" s="34"/>
      <c r="DX653" s="1398" t="e">
        <f t="shared" si="3"/>
        <v>#VALUE!</v>
      </c>
      <c r="DY653" s="1398"/>
      <c r="DZ653" s="1398"/>
      <c r="EA653" s="1398"/>
      <c r="EB653" s="1398"/>
      <c r="EC653" s="1398" t="e">
        <f t="shared" si="4"/>
        <v>#VALUE!</v>
      </c>
      <c r="ED653" s="1398"/>
      <c r="EE653" s="1398"/>
      <c r="EF653" s="1398"/>
      <c r="EG653" s="1398"/>
      <c r="EH653" s="1398" t="e">
        <f t="shared" si="5"/>
        <v>#VALUE!</v>
      </c>
      <c r="EI653" s="1398"/>
      <c r="EJ653" s="1398"/>
      <c r="EK653" s="1398"/>
      <c r="EL653" s="1398"/>
      <c r="EM653" s="1398" t="e">
        <f t="shared" si="6"/>
        <v>#VALUE!</v>
      </c>
      <c r="EN653" s="1398"/>
      <c r="EO653" s="1398"/>
      <c r="EP653" s="1398"/>
      <c r="EQ653" s="1398"/>
      <c r="ER653" s="1398" t="e">
        <f t="shared" si="7"/>
        <v>#VALUE!</v>
      </c>
      <c r="ES653" s="1398"/>
      <c r="ET653" s="1398"/>
      <c r="EU653" s="1398"/>
      <c r="EV653" s="1398"/>
      <c r="EW653" s="1398" t="e">
        <f t="shared" si="8"/>
        <v>#VALUE!</v>
      </c>
      <c r="EX653" s="1398"/>
      <c r="EY653" s="1398"/>
      <c r="EZ653" s="1398"/>
      <c r="FA653" s="1398"/>
    </row>
    <row r="654" spans="1:157" ht="12.95" customHeight="1">
      <c r="A654" s="22"/>
      <c r="B654" t="s">
        <v>17</v>
      </c>
      <c r="G654" s="1342" t="s">
        <v>2729</v>
      </c>
      <c r="H654" s="1342"/>
      <c r="I654" s="1342"/>
      <c r="J654" s="1342"/>
      <c r="K654" s="1342"/>
      <c r="L654" s="1342"/>
      <c r="M654" s="1342"/>
      <c r="N654" s="1342"/>
      <c r="O654" s="1342"/>
      <c r="P654" s="1342"/>
      <c r="Q654" s="1342"/>
      <c r="R654" s="1342"/>
      <c r="T654" s="22"/>
      <c r="U654" t="s">
        <v>17</v>
      </c>
      <c r="Z654" s="1342" t="s">
        <v>2738</v>
      </c>
      <c r="AA654" s="1342"/>
      <c r="AB654" s="1342"/>
      <c r="AC654" s="1342"/>
      <c r="AD654" s="1342"/>
      <c r="AE654" s="1342"/>
      <c r="AF654" s="1342"/>
      <c r="AG654" s="1342"/>
      <c r="AH654" s="1342"/>
      <c r="AI654" s="1342"/>
      <c r="AJ654" s="1342"/>
      <c r="AK654" s="1342"/>
      <c r="AZ654" s="34"/>
      <c r="BA654" s="34"/>
      <c r="BB654" s="34"/>
      <c r="BC654" s="34"/>
      <c r="BD654" s="34"/>
      <c r="BE654" s="34"/>
      <c r="BF654" s="34"/>
      <c r="BG654" s="34"/>
      <c r="BH654" s="34"/>
      <c r="BI654" s="34"/>
      <c r="BJ654" s="34"/>
      <c r="BK654" s="34"/>
      <c r="BL654" s="34"/>
      <c r="BM654" s="34"/>
      <c r="DX654" s="1398" t="e">
        <f t="shared" si="3"/>
        <v>#VALUE!</v>
      </c>
      <c r="DY654" s="1398"/>
      <c r="DZ654" s="1398"/>
      <c r="EA654" s="1398"/>
      <c r="EB654" s="1398"/>
      <c r="EC654" s="1398" t="e">
        <f t="shared" si="4"/>
        <v>#VALUE!</v>
      </c>
      <c r="ED654" s="1398"/>
      <c r="EE654" s="1398"/>
      <c r="EF654" s="1398"/>
      <c r="EG654" s="1398"/>
      <c r="EH654" s="1398" t="e">
        <f t="shared" si="5"/>
        <v>#VALUE!</v>
      </c>
      <c r="EI654" s="1398"/>
      <c r="EJ654" s="1398"/>
      <c r="EK654" s="1398"/>
      <c r="EL654" s="1398"/>
      <c r="EM654" s="1398" t="e">
        <f t="shared" si="6"/>
        <v>#VALUE!</v>
      </c>
      <c r="EN654" s="1398"/>
      <c r="EO654" s="1398"/>
      <c r="EP654" s="1398"/>
      <c r="EQ654" s="1398"/>
      <c r="ER654" s="1398" t="e">
        <f t="shared" si="7"/>
        <v>#VALUE!</v>
      </c>
      <c r="ES654" s="1398"/>
      <c r="ET654" s="1398"/>
      <c r="EU654" s="1398"/>
      <c r="EV654" s="1398"/>
      <c r="EW654" s="1398" t="e">
        <f t="shared" si="8"/>
        <v>#VALUE!</v>
      </c>
      <c r="EX654" s="1398"/>
      <c r="EY654" s="1398"/>
      <c r="EZ654" s="1398"/>
      <c r="FA654" s="1398"/>
    </row>
    <row r="655" spans="1:157" ht="12.95" customHeight="1">
      <c r="A655" s="22"/>
      <c r="B655" t="s">
        <v>316</v>
      </c>
      <c r="G655" s="1495" t="s">
        <v>2730</v>
      </c>
      <c r="H655" s="1495"/>
      <c r="I655" s="1495"/>
      <c r="J655" s="1495"/>
      <c r="K655" s="1495"/>
      <c r="L655" s="1495"/>
      <c r="O655" s="33" t="s">
        <v>206</v>
      </c>
      <c r="P655" s="1429"/>
      <c r="Q655" s="1429"/>
      <c r="R655" s="1429"/>
      <c r="T655" s="22"/>
      <c r="U655" t="s">
        <v>316</v>
      </c>
      <c r="Z655" s="1495" t="s">
        <v>2739</v>
      </c>
      <c r="AA655" s="1495"/>
      <c r="AB655" s="1495"/>
      <c r="AC655" s="1495"/>
      <c r="AD655" s="1495"/>
      <c r="AE655" s="1495"/>
      <c r="AH655" s="33" t="s">
        <v>206</v>
      </c>
      <c r="AI655" s="1429"/>
      <c r="AJ655" s="1429"/>
      <c r="AK655" s="1429"/>
      <c r="AZ655" s="34"/>
      <c r="BA655" s="34"/>
      <c r="BB655" s="34"/>
      <c r="BC655" s="34"/>
      <c r="BD655" s="34"/>
      <c r="BE655" s="34"/>
      <c r="BF655" s="34"/>
      <c r="BG655" s="34"/>
      <c r="BH655" s="34"/>
      <c r="BI655" s="34"/>
      <c r="BJ655" s="34"/>
      <c r="BK655" s="34"/>
      <c r="BL655" s="34"/>
      <c r="BM655" s="34"/>
      <c r="DX655" s="1398" t="e">
        <f t="shared" si="3"/>
        <v>#VALUE!</v>
      </c>
      <c r="DY655" s="1398"/>
      <c r="DZ655" s="1398"/>
      <c r="EA655" s="1398"/>
      <c r="EB655" s="1398"/>
      <c r="EC655" s="1398" t="e">
        <f t="shared" si="4"/>
        <v>#VALUE!</v>
      </c>
      <c r="ED655" s="1398"/>
      <c r="EE655" s="1398"/>
      <c r="EF655" s="1398"/>
      <c r="EG655" s="1398"/>
      <c r="EH655" s="1398" t="e">
        <f t="shared" si="5"/>
        <v>#VALUE!</v>
      </c>
      <c r="EI655" s="1398"/>
      <c r="EJ655" s="1398"/>
      <c r="EK655" s="1398"/>
      <c r="EL655" s="1398"/>
      <c r="EM655" s="1398" t="e">
        <f t="shared" si="6"/>
        <v>#VALUE!</v>
      </c>
      <c r="EN655" s="1398"/>
      <c r="EO655" s="1398"/>
      <c r="EP655" s="1398"/>
      <c r="EQ655" s="1398"/>
      <c r="ER655" s="1398" t="e">
        <f t="shared" si="7"/>
        <v>#VALUE!</v>
      </c>
      <c r="ES655" s="1398"/>
      <c r="ET655" s="1398"/>
      <c r="EU655" s="1398"/>
      <c r="EV655" s="1398"/>
      <c r="EW655" s="1398" t="e">
        <f t="shared" si="8"/>
        <v>#VALUE!</v>
      </c>
      <c r="EX655" s="1398"/>
      <c r="EY655" s="1398"/>
      <c r="EZ655" s="1398"/>
      <c r="FA655" s="1398"/>
    </row>
    <row r="656" spans="1:157" ht="12.95" customHeight="1">
      <c r="A656" s="22"/>
      <c r="B656" t="s">
        <v>18</v>
      </c>
      <c r="H656" s="1339" t="s">
        <v>2740</v>
      </c>
      <c r="I656" s="1340"/>
      <c r="J656" s="1340"/>
      <c r="K656" s="1340"/>
      <c r="L656" s="1340"/>
      <c r="M656" s="1340"/>
      <c r="N656" s="1340"/>
      <c r="O656" s="1340"/>
      <c r="P656" s="1340"/>
      <c r="Q656" s="1340"/>
      <c r="R656" s="1340"/>
      <c r="T656" s="22"/>
      <c r="U656" t="s">
        <v>18</v>
      </c>
      <c r="AA656" s="1339" t="s">
        <v>2740</v>
      </c>
      <c r="AB656" s="1340"/>
      <c r="AC656" s="1340"/>
      <c r="AD656" s="1340"/>
      <c r="AE656" s="1340"/>
      <c r="AF656" s="1340"/>
      <c r="AG656" s="1340"/>
      <c r="AH656" s="1340"/>
      <c r="AI656" s="1340"/>
      <c r="AJ656" s="1340"/>
      <c r="AK656" s="1340"/>
      <c r="AZ656" s="34"/>
      <c r="BA656" s="34"/>
      <c r="BB656" s="34"/>
      <c r="BC656" s="34"/>
      <c r="BD656" s="34"/>
      <c r="BE656" s="34"/>
      <c r="BF656" s="34"/>
      <c r="BG656" s="34"/>
      <c r="BH656" s="34"/>
      <c r="BI656" s="34"/>
      <c r="BJ656" s="34"/>
      <c r="BK656" s="34"/>
      <c r="BL656" s="34"/>
      <c r="BM656" s="34"/>
      <c r="DX656" s="1398" t="e">
        <f t="shared" si="3"/>
        <v>#VALUE!</v>
      </c>
      <c r="DY656" s="1398"/>
      <c r="DZ656" s="1398"/>
      <c r="EA656" s="1398"/>
      <c r="EB656" s="1398"/>
      <c r="EC656" s="1398" t="e">
        <f t="shared" si="4"/>
        <v>#VALUE!</v>
      </c>
      <c r="ED656" s="1398"/>
      <c r="EE656" s="1398"/>
      <c r="EF656" s="1398"/>
      <c r="EG656" s="1398"/>
      <c r="EH656" s="1398" t="e">
        <f t="shared" si="5"/>
        <v>#VALUE!</v>
      </c>
      <c r="EI656" s="1398"/>
      <c r="EJ656" s="1398"/>
      <c r="EK656" s="1398"/>
      <c r="EL656" s="1398"/>
      <c r="EM656" s="1398" t="e">
        <f t="shared" si="6"/>
        <v>#VALUE!</v>
      </c>
      <c r="EN656" s="1398"/>
      <c r="EO656" s="1398"/>
      <c r="EP656" s="1398"/>
      <c r="EQ656" s="1398"/>
      <c r="ER656" s="1398" t="e">
        <f t="shared" si="7"/>
        <v>#VALUE!</v>
      </c>
      <c r="ES656" s="1398"/>
      <c r="ET656" s="1398"/>
      <c r="EU656" s="1398"/>
      <c r="EV656" s="1398"/>
      <c r="EW656" s="1398" t="e">
        <f t="shared" si="8"/>
        <v>#VALUE!</v>
      </c>
      <c r="EX656" s="1398"/>
      <c r="EY656" s="1398"/>
      <c r="EZ656" s="1398"/>
      <c r="FA656" s="1398"/>
    </row>
    <row r="657" spans="1:157" ht="12.95" customHeight="1">
      <c r="A657" s="22"/>
      <c r="B657" t="s">
        <v>20</v>
      </c>
      <c r="N657" s="1420" t="s">
        <v>546</v>
      </c>
      <c r="O657" s="1420"/>
      <c r="T657" s="22"/>
      <c r="U657" t="s">
        <v>20</v>
      </c>
      <c r="AG657" s="1420" t="s">
        <v>546</v>
      </c>
      <c r="AH657" s="1420"/>
      <c r="AZ657" s="34"/>
      <c r="BA657" s="34"/>
      <c r="BB657" s="34"/>
      <c r="BC657" s="34"/>
      <c r="BD657" s="34"/>
      <c r="BE657" s="34"/>
      <c r="BF657" s="34"/>
      <c r="BG657" s="34"/>
      <c r="BH657" s="34"/>
      <c r="BI657" s="34"/>
      <c r="BJ657" s="34"/>
      <c r="BK657" s="34"/>
      <c r="BL657" s="34"/>
      <c r="BM657" s="34"/>
      <c r="DX657" s="1398" t="e">
        <f t="shared" si="3"/>
        <v>#VALUE!</v>
      </c>
      <c r="DY657" s="1398"/>
      <c r="DZ657" s="1398"/>
      <c r="EA657" s="1398"/>
      <c r="EB657" s="1398"/>
      <c r="EC657" s="1398" t="e">
        <f t="shared" si="4"/>
        <v>#VALUE!</v>
      </c>
      <c r="ED657" s="1398"/>
      <c r="EE657" s="1398"/>
      <c r="EF657" s="1398"/>
      <c r="EG657" s="1398"/>
      <c r="EH657" s="1398" t="e">
        <f t="shared" si="5"/>
        <v>#VALUE!</v>
      </c>
      <c r="EI657" s="1398"/>
      <c r="EJ657" s="1398"/>
      <c r="EK657" s="1398"/>
      <c r="EL657" s="1398"/>
      <c r="EM657" s="1398" t="e">
        <f t="shared" si="6"/>
        <v>#VALUE!</v>
      </c>
      <c r="EN657" s="1398"/>
      <c r="EO657" s="1398"/>
      <c r="EP657" s="1398"/>
      <c r="EQ657" s="1398"/>
      <c r="ER657" s="1398" t="e">
        <f t="shared" si="7"/>
        <v>#VALUE!</v>
      </c>
      <c r="ES657" s="1398"/>
      <c r="ET657" s="1398"/>
      <c r="EU657" s="1398"/>
      <c r="EV657" s="1398"/>
      <c r="EW657" s="1398" t="e">
        <f t="shared" si="8"/>
        <v>#VALUE!</v>
      </c>
      <c r="EX657" s="1398"/>
      <c r="EY657" s="1398"/>
      <c r="EZ657" s="1398"/>
      <c r="FA657" s="1398"/>
    </row>
    <row r="658" spans="1:157" ht="12.95" customHeight="1">
      <c r="A658" s="22"/>
      <c r="T658" s="22"/>
      <c r="AZ658" s="34"/>
      <c r="BA658" s="34"/>
      <c r="BB658" s="34"/>
      <c r="BC658" s="34"/>
      <c r="BD658" s="34"/>
      <c r="BE658" s="34"/>
      <c r="BF658" s="34"/>
      <c r="BG658" s="34"/>
      <c r="BH658" s="34"/>
      <c r="BI658" s="34"/>
      <c r="BJ658" s="34"/>
      <c r="BK658" s="34"/>
      <c r="BL658" s="34"/>
      <c r="BM658" s="34"/>
      <c r="DX658" s="1398" t="e">
        <f t="shared" si="3"/>
        <v>#VALUE!</v>
      </c>
      <c r="DY658" s="1398"/>
      <c r="DZ658" s="1398"/>
      <c r="EA658" s="1398"/>
      <c r="EB658" s="1398"/>
      <c r="EC658" s="1398" t="e">
        <f t="shared" si="4"/>
        <v>#VALUE!</v>
      </c>
      <c r="ED658" s="1398"/>
      <c r="EE658" s="1398"/>
      <c r="EF658" s="1398"/>
      <c r="EG658" s="1398"/>
      <c r="EH658" s="1398" t="e">
        <f t="shared" si="5"/>
        <v>#VALUE!</v>
      </c>
      <c r="EI658" s="1398"/>
      <c r="EJ658" s="1398"/>
      <c r="EK658" s="1398"/>
      <c r="EL658" s="1398"/>
      <c r="EM658" s="1398" t="e">
        <f t="shared" si="6"/>
        <v>#VALUE!</v>
      </c>
      <c r="EN658" s="1398"/>
      <c r="EO658" s="1398"/>
      <c r="EP658" s="1398"/>
      <c r="EQ658" s="1398"/>
      <c r="ER658" s="1398" t="e">
        <f t="shared" si="7"/>
        <v>#VALUE!</v>
      </c>
      <c r="ES658" s="1398"/>
      <c r="ET658" s="1398"/>
      <c r="EU658" s="1398"/>
      <c r="EV658" s="1398"/>
      <c r="EW658" s="1398" t="e">
        <f t="shared" si="8"/>
        <v>#VALUE!</v>
      </c>
      <c r="EX658" s="1398"/>
      <c r="EY658" s="1398"/>
      <c r="EZ658" s="1398"/>
      <c r="FA658" s="1398"/>
    </row>
    <row r="659" spans="1:157" ht="12.95" customHeight="1">
      <c r="A659" s="55" t="s">
        <v>764</v>
      </c>
      <c r="B659" t="s">
        <v>464</v>
      </c>
      <c r="G659" s="1491" t="str">
        <f>C631</f>
        <v>Marin Community Foundation</v>
      </c>
      <c r="H659" s="1491"/>
      <c r="I659" s="1491"/>
      <c r="J659" s="1491"/>
      <c r="K659" s="1491"/>
      <c r="L659" s="1491"/>
      <c r="M659" s="1491"/>
      <c r="N659" s="1491"/>
      <c r="O659" s="1491"/>
      <c r="P659" s="1491"/>
      <c r="Q659" s="1491"/>
      <c r="R659" s="1491"/>
      <c r="T659" s="55" t="s">
        <v>585</v>
      </c>
      <c r="U659" t="s">
        <v>464</v>
      </c>
      <c r="Z659" s="1491" t="str">
        <f>C632</f>
        <v>GP Equity</v>
      </c>
      <c r="AA659" s="1491"/>
      <c r="AB659" s="1491"/>
      <c r="AC659" s="1491"/>
      <c r="AD659" s="1491"/>
      <c r="AE659" s="1491"/>
      <c r="AF659" s="1491"/>
      <c r="AG659" s="1491"/>
      <c r="AH659" s="1491"/>
      <c r="AI659" s="1491"/>
      <c r="AJ659" s="1491"/>
      <c r="AK659" s="1491"/>
      <c r="AZ659" s="34"/>
      <c r="BA659" s="34"/>
      <c r="BB659" s="34"/>
      <c r="BC659" s="34"/>
      <c r="BD659" s="34"/>
      <c r="BE659" s="34"/>
      <c r="BF659" s="34"/>
      <c r="BG659" s="34"/>
      <c r="BH659" s="34"/>
      <c r="BI659" s="34"/>
      <c r="BJ659" s="34"/>
      <c r="BK659" s="34"/>
      <c r="BL659" s="34"/>
      <c r="BM659" s="34"/>
      <c r="DX659" s="1398" t="e">
        <f t="shared" si="3"/>
        <v>#VALUE!</v>
      </c>
      <c r="DY659" s="1398"/>
      <c r="DZ659" s="1398"/>
      <c r="EA659" s="1398"/>
      <c r="EB659" s="1398"/>
      <c r="EC659" s="1398" t="e">
        <f t="shared" si="4"/>
        <v>#VALUE!</v>
      </c>
      <c r="ED659" s="1398"/>
      <c r="EE659" s="1398"/>
      <c r="EF659" s="1398"/>
      <c r="EG659" s="1398"/>
      <c r="EH659" s="1398" t="e">
        <f t="shared" si="5"/>
        <v>#VALUE!</v>
      </c>
      <c r="EI659" s="1398"/>
      <c r="EJ659" s="1398"/>
      <c r="EK659" s="1398"/>
      <c r="EL659" s="1398"/>
      <c r="EM659" s="1398" t="e">
        <f t="shared" si="6"/>
        <v>#VALUE!</v>
      </c>
      <c r="EN659" s="1398"/>
      <c r="EO659" s="1398"/>
      <c r="EP659" s="1398"/>
      <c r="EQ659" s="1398"/>
      <c r="ER659" s="1398" t="e">
        <f t="shared" si="7"/>
        <v>#VALUE!</v>
      </c>
      <c r="ES659" s="1398"/>
      <c r="ET659" s="1398"/>
      <c r="EU659" s="1398"/>
      <c r="EV659" s="1398"/>
      <c r="EW659" s="1398" t="e">
        <f t="shared" si="8"/>
        <v>#VALUE!</v>
      </c>
      <c r="EX659" s="1398"/>
      <c r="EY659" s="1398"/>
      <c r="EZ659" s="1398"/>
      <c r="FA659" s="1398"/>
    </row>
    <row r="660" spans="1:157" ht="12.95" customHeight="1">
      <c r="A660" s="22"/>
      <c r="B660" t="s">
        <v>85</v>
      </c>
      <c r="G660" s="1340" t="s">
        <v>2732</v>
      </c>
      <c r="H660" s="1340"/>
      <c r="I660" s="1340"/>
      <c r="J660" s="1340"/>
      <c r="K660" s="1340"/>
      <c r="L660" s="1340"/>
      <c r="M660" s="1340"/>
      <c r="N660" s="1340"/>
      <c r="O660" s="1340"/>
      <c r="P660" s="1340"/>
      <c r="Q660" s="1340"/>
      <c r="R660" s="1340"/>
      <c r="T660" s="22"/>
      <c r="U660" t="s">
        <v>85</v>
      </c>
      <c r="Z660" s="1340" t="s">
        <v>2626</v>
      </c>
      <c r="AA660" s="1340"/>
      <c r="AB660" s="1340"/>
      <c r="AC660" s="1340"/>
      <c r="AD660" s="1340"/>
      <c r="AE660" s="1340"/>
      <c r="AF660" s="1340"/>
      <c r="AG660" s="1340"/>
      <c r="AH660" s="1340"/>
      <c r="AI660" s="1340"/>
      <c r="AJ660" s="1340"/>
      <c r="AK660" s="1340"/>
      <c r="AZ660" s="34"/>
      <c r="BA660" s="34"/>
      <c r="BB660" s="34"/>
      <c r="BC660" s="34"/>
      <c r="BD660" s="34"/>
      <c r="BE660" s="34"/>
      <c r="BF660" s="34"/>
      <c r="BG660" s="34"/>
      <c r="BH660" s="34"/>
      <c r="BI660" s="34"/>
      <c r="BJ660" s="34"/>
      <c r="BK660" s="34"/>
      <c r="BL660" s="34"/>
      <c r="BM660" s="34"/>
      <c r="DX660" s="1398" t="e">
        <f t="shared" si="3"/>
        <v>#VALUE!</v>
      </c>
      <c r="DY660" s="1398"/>
      <c r="DZ660" s="1398"/>
      <c r="EA660" s="1398"/>
      <c r="EB660" s="1398"/>
      <c r="EC660" s="1398" t="e">
        <f t="shared" si="4"/>
        <v>#VALUE!</v>
      </c>
      <c r="ED660" s="1398"/>
      <c r="EE660" s="1398"/>
      <c r="EF660" s="1398"/>
      <c r="EG660" s="1398"/>
      <c r="EH660" s="1398" t="e">
        <f t="shared" si="5"/>
        <v>#VALUE!</v>
      </c>
      <c r="EI660" s="1398"/>
      <c r="EJ660" s="1398"/>
      <c r="EK660" s="1398"/>
      <c r="EL660" s="1398"/>
      <c r="EM660" s="1398" t="e">
        <f t="shared" si="6"/>
        <v>#VALUE!</v>
      </c>
      <c r="EN660" s="1398"/>
      <c r="EO660" s="1398"/>
      <c r="EP660" s="1398"/>
      <c r="EQ660" s="1398"/>
      <c r="ER660" s="1398" t="e">
        <f t="shared" si="7"/>
        <v>#VALUE!</v>
      </c>
      <c r="ES660" s="1398"/>
      <c r="ET660" s="1398"/>
      <c r="EU660" s="1398"/>
      <c r="EV660" s="1398"/>
      <c r="EW660" s="1398" t="e">
        <f t="shared" si="8"/>
        <v>#VALUE!</v>
      </c>
      <c r="EX660" s="1398"/>
      <c r="EY660" s="1398"/>
      <c r="EZ660" s="1398"/>
      <c r="FA660" s="1398"/>
    </row>
    <row r="661" spans="1:157" ht="12.95" customHeight="1">
      <c r="A661" s="22"/>
      <c r="B661" t="s">
        <v>581</v>
      </c>
      <c r="G661" s="1340" t="s">
        <v>2733</v>
      </c>
      <c r="H661" s="1340"/>
      <c r="I661" s="1340"/>
      <c r="J661" s="1340"/>
      <c r="K661" s="1340"/>
      <c r="L661" s="1340"/>
      <c r="M661" s="1340"/>
      <c r="N661" s="1340"/>
      <c r="O661" s="1340"/>
      <c r="P661" s="1340"/>
      <c r="Q661" s="1340"/>
      <c r="R661" s="1340"/>
      <c r="T661" s="22"/>
      <c r="U661" t="s">
        <v>581</v>
      </c>
      <c r="Z661" s="1342" t="s">
        <v>2627</v>
      </c>
      <c r="AA661" s="1342"/>
      <c r="AB661" s="1342"/>
      <c r="AC661" s="1342"/>
      <c r="AD661" s="1342"/>
      <c r="AE661" s="1342"/>
      <c r="AF661" s="1342"/>
      <c r="AG661" s="1342"/>
      <c r="AH661" s="1342"/>
      <c r="AI661" s="1342"/>
      <c r="AJ661" s="1342"/>
      <c r="AK661" s="1342"/>
      <c r="AZ661" s="34"/>
      <c r="BA661" s="34"/>
      <c r="BB661" s="34"/>
      <c r="BC661" s="34"/>
      <c r="BD661" s="34"/>
      <c r="BE661" s="34"/>
      <c r="BF661" s="34"/>
      <c r="BG661" s="34"/>
      <c r="BH661" s="34"/>
      <c r="BI661" s="34"/>
      <c r="BJ661" s="34"/>
      <c r="BK661" s="34"/>
      <c r="BL661" s="34"/>
      <c r="BM661" s="34"/>
      <c r="DX661" s="1398" t="e">
        <f t="shared" si="3"/>
        <v>#VALUE!</v>
      </c>
      <c r="DY661" s="1398"/>
      <c r="DZ661" s="1398"/>
      <c r="EA661" s="1398"/>
      <c r="EB661" s="1398"/>
      <c r="EC661" s="1398" t="e">
        <f t="shared" si="4"/>
        <v>#VALUE!</v>
      </c>
      <c r="ED661" s="1398"/>
      <c r="EE661" s="1398"/>
      <c r="EF661" s="1398"/>
      <c r="EG661" s="1398"/>
      <c r="EH661" s="1398" t="e">
        <f t="shared" si="5"/>
        <v>#VALUE!</v>
      </c>
      <c r="EI661" s="1398"/>
      <c r="EJ661" s="1398"/>
      <c r="EK661" s="1398"/>
      <c r="EL661" s="1398"/>
      <c r="EM661" s="1398" t="e">
        <f t="shared" si="6"/>
        <v>#VALUE!</v>
      </c>
      <c r="EN661" s="1398"/>
      <c r="EO661" s="1398"/>
      <c r="EP661" s="1398"/>
      <c r="EQ661" s="1398"/>
      <c r="ER661" s="1398" t="e">
        <f t="shared" si="7"/>
        <v>#VALUE!</v>
      </c>
      <c r="ES661" s="1398"/>
      <c r="ET661" s="1398"/>
      <c r="EU661" s="1398"/>
      <c r="EV661" s="1398"/>
      <c r="EW661" s="1398" t="e">
        <f t="shared" si="8"/>
        <v>#VALUE!</v>
      </c>
      <c r="EX661" s="1398"/>
      <c r="EY661" s="1398"/>
      <c r="EZ661" s="1398"/>
      <c r="FA661" s="1398"/>
    </row>
    <row r="662" spans="1:157" ht="12.95" customHeight="1">
      <c r="A662" s="22"/>
      <c r="B662" t="s">
        <v>17</v>
      </c>
      <c r="G662" s="1340" t="s">
        <v>2734</v>
      </c>
      <c r="H662" s="1340"/>
      <c r="I662" s="1340"/>
      <c r="J662" s="1340"/>
      <c r="K662" s="1340"/>
      <c r="L662" s="1340"/>
      <c r="M662" s="1340"/>
      <c r="N662" s="1340"/>
      <c r="O662" s="1340"/>
      <c r="P662" s="1340"/>
      <c r="Q662" s="1340"/>
      <c r="R662" s="1340"/>
      <c r="T662" s="22"/>
      <c r="U662" t="s">
        <v>17</v>
      </c>
      <c r="Z662" s="1342" t="s">
        <v>2637</v>
      </c>
      <c r="AA662" s="1342"/>
      <c r="AB662" s="1342"/>
      <c r="AC662" s="1342"/>
      <c r="AD662" s="1342"/>
      <c r="AE662" s="1342"/>
      <c r="AF662" s="1342"/>
      <c r="AG662" s="1342"/>
      <c r="AH662" s="1342"/>
      <c r="AI662" s="1342"/>
      <c r="AJ662" s="1342"/>
      <c r="AK662" s="134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8" t="e">
        <f t="shared" si="3"/>
        <v>#VALUE!</v>
      </c>
      <c r="DY662" s="1398"/>
      <c r="DZ662" s="1398"/>
      <c r="EA662" s="1398"/>
      <c r="EB662" s="1398"/>
      <c r="EC662" s="1398" t="e">
        <f t="shared" si="4"/>
        <v>#VALUE!</v>
      </c>
      <c r="ED662" s="1398"/>
      <c r="EE662" s="1398"/>
      <c r="EF662" s="1398"/>
      <c r="EG662" s="1398"/>
      <c r="EH662" s="1398" t="e">
        <f t="shared" si="5"/>
        <v>#VALUE!</v>
      </c>
      <c r="EI662" s="1398"/>
      <c r="EJ662" s="1398"/>
      <c r="EK662" s="1398"/>
      <c r="EL662" s="1398"/>
      <c r="EM662" s="1398" t="e">
        <f t="shared" si="6"/>
        <v>#VALUE!</v>
      </c>
      <c r="EN662" s="1398"/>
      <c r="EO662" s="1398"/>
      <c r="EP662" s="1398"/>
      <c r="EQ662" s="1398"/>
      <c r="ER662" s="1398" t="e">
        <f t="shared" si="7"/>
        <v>#VALUE!</v>
      </c>
      <c r="ES662" s="1398"/>
      <c r="ET662" s="1398"/>
      <c r="EU662" s="1398"/>
      <c r="EV662" s="1398"/>
      <c r="EW662" s="1398" t="e">
        <f t="shared" si="8"/>
        <v>#VALUE!</v>
      </c>
      <c r="EX662" s="1398"/>
      <c r="EY662" s="1398"/>
      <c r="EZ662" s="1398"/>
      <c r="FA662" s="1398"/>
    </row>
    <row r="663" spans="1:157" ht="12.95" customHeight="1">
      <c r="A663" s="22"/>
      <c r="B663" t="s">
        <v>316</v>
      </c>
      <c r="G663" s="1495">
        <v>4154642522</v>
      </c>
      <c r="H663" s="1495"/>
      <c r="I663" s="1495"/>
      <c r="J663" s="1495"/>
      <c r="K663" s="1495"/>
      <c r="L663" s="1495"/>
      <c r="O663" s="33" t="s">
        <v>206</v>
      </c>
      <c r="P663" s="1429"/>
      <c r="Q663" s="1429"/>
      <c r="R663" s="1429"/>
      <c r="T663" s="22"/>
      <c r="U663" t="s">
        <v>316</v>
      </c>
      <c r="Z663" s="1495">
        <v>3105604298</v>
      </c>
      <c r="AA663" s="1495"/>
      <c r="AB663" s="1495"/>
      <c r="AC663" s="1495"/>
      <c r="AD663" s="1495"/>
      <c r="AE663" s="1495"/>
      <c r="AH663" s="33" t="s">
        <v>206</v>
      </c>
      <c r="AI663" s="1429"/>
      <c r="AJ663" s="1429"/>
      <c r="AK663" s="142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8" t="e">
        <f t="shared" si="3"/>
        <v>#VALUE!</v>
      </c>
      <c r="DY663" s="1398"/>
      <c r="DZ663" s="1398"/>
      <c r="EA663" s="1398"/>
      <c r="EB663" s="1398"/>
      <c r="EC663" s="1398" t="e">
        <f t="shared" si="4"/>
        <v>#VALUE!</v>
      </c>
      <c r="ED663" s="1398"/>
      <c r="EE663" s="1398"/>
      <c r="EF663" s="1398"/>
      <c r="EG663" s="1398"/>
      <c r="EH663" s="1398" t="e">
        <f t="shared" si="5"/>
        <v>#VALUE!</v>
      </c>
      <c r="EI663" s="1398"/>
      <c r="EJ663" s="1398"/>
      <c r="EK663" s="1398"/>
      <c r="EL663" s="1398"/>
      <c r="EM663" s="1398" t="e">
        <f t="shared" si="6"/>
        <v>#VALUE!</v>
      </c>
      <c r="EN663" s="1398"/>
      <c r="EO663" s="1398"/>
      <c r="EP663" s="1398"/>
      <c r="EQ663" s="1398"/>
      <c r="ER663" s="1398" t="e">
        <f t="shared" si="7"/>
        <v>#VALUE!</v>
      </c>
      <c r="ES663" s="1398"/>
      <c r="ET663" s="1398"/>
      <c r="EU663" s="1398"/>
      <c r="EV663" s="1398"/>
      <c r="EW663" s="1398" t="e">
        <f t="shared" si="8"/>
        <v>#VALUE!</v>
      </c>
      <c r="EX663" s="1398"/>
      <c r="EY663" s="1398"/>
      <c r="EZ663" s="1398"/>
      <c r="FA663" s="1398"/>
    </row>
    <row r="664" spans="1:157" ht="12.95" customHeight="1">
      <c r="A664" s="22"/>
      <c r="B664" t="s">
        <v>18</v>
      </c>
      <c r="H664" s="1339" t="s">
        <v>2741</v>
      </c>
      <c r="I664" s="1340"/>
      <c r="J664" s="1340"/>
      <c r="K664" s="1340"/>
      <c r="L664" s="1340"/>
      <c r="M664" s="1340"/>
      <c r="N664" s="1340"/>
      <c r="O664" s="1340"/>
      <c r="P664" s="1340"/>
      <c r="Q664" s="1340"/>
      <c r="R664" s="1340"/>
      <c r="T664" s="22"/>
      <c r="U664" t="s">
        <v>18</v>
      </c>
      <c r="AA664" s="1339" t="s">
        <v>2715</v>
      </c>
      <c r="AB664" s="1340"/>
      <c r="AC664" s="1340"/>
      <c r="AD664" s="1340"/>
      <c r="AE664" s="1340"/>
      <c r="AF664" s="1340"/>
      <c r="AG664" s="1340"/>
      <c r="AH664" s="1340"/>
      <c r="AI664" s="1340"/>
      <c r="AJ664" s="1340"/>
      <c r="AK664" s="13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8" t="e">
        <f t="shared" si="3"/>
        <v>#VALUE!</v>
      </c>
      <c r="DY664" s="1398"/>
      <c r="DZ664" s="1398"/>
      <c r="EA664" s="1398"/>
      <c r="EB664" s="1398"/>
      <c r="EC664" s="1398" t="e">
        <f t="shared" si="4"/>
        <v>#VALUE!</v>
      </c>
      <c r="ED664" s="1398"/>
      <c r="EE664" s="1398"/>
      <c r="EF664" s="1398"/>
      <c r="EG664" s="1398"/>
      <c r="EH664" s="1398" t="e">
        <f t="shared" si="5"/>
        <v>#VALUE!</v>
      </c>
      <c r="EI664" s="1398"/>
      <c r="EJ664" s="1398"/>
      <c r="EK664" s="1398"/>
      <c r="EL664" s="1398"/>
      <c r="EM664" s="1398" t="e">
        <f t="shared" si="6"/>
        <v>#VALUE!</v>
      </c>
      <c r="EN664" s="1398"/>
      <c r="EO664" s="1398"/>
      <c r="EP664" s="1398"/>
      <c r="EQ664" s="1398"/>
      <c r="ER664" s="1398" t="e">
        <f t="shared" si="7"/>
        <v>#VALUE!</v>
      </c>
      <c r="ES664" s="1398"/>
      <c r="ET664" s="1398"/>
      <c r="EU664" s="1398"/>
      <c r="EV664" s="1398"/>
      <c r="EW664" s="1398" t="e">
        <f t="shared" si="8"/>
        <v>#VALUE!</v>
      </c>
      <c r="EX664" s="1398"/>
      <c r="EY664" s="1398"/>
      <c r="EZ664" s="1398"/>
      <c r="FA664" s="1398"/>
    </row>
    <row r="665" spans="1:157" ht="12.95" customHeight="1">
      <c r="A665" s="22"/>
      <c r="B665" t="s">
        <v>20</v>
      </c>
      <c r="N665" s="1420" t="s">
        <v>546</v>
      </c>
      <c r="O665" s="1420"/>
      <c r="T665" s="22"/>
      <c r="U665" t="s">
        <v>20</v>
      </c>
      <c r="AG665" s="1420" t="s">
        <v>546</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8" t="e">
        <f t="shared" si="3"/>
        <v>#VALUE!</v>
      </c>
      <c r="DY665" s="1398"/>
      <c r="DZ665" s="1398"/>
      <c r="EA665" s="1398"/>
      <c r="EB665" s="1398"/>
      <c r="EC665" s="1398" t="e">
        <f t="shared" si="4"/>
        <v>#VALUE!</v>
      </c>
      <c r="ED665" s="1398"/>
      <c r="EE665" s="1398"/>
      <c r="EF665" s="1398"/>
      <c r="EG665" s="1398"/>
      <c r="EH665" s="1398" t="e">
        <f t="shared" si="5"/>
        <v>#VALUE!</v>
      </c>
      <c r="EI665" s="1398"/>
      <c r="EJ665" s="1398"/>
      <c r="EK665" s="1398"/>
      <c r="EL665" s="1398"/>
      <c r="EM665" s="1398" t="e">
        <f t="shared" si="6"/>
        <v>#VALUE!</v>
      </c>
      <c r="EN665" s="1398"/>
      <c r="EO665" s="1398"/>
      <c r="EP665" s="1398"/>
      <c r="EQ665" s="1398"/>
      <c r="ER665" s="1398" t="e">
        <f t="shared" si="7"/>
        <v>#VALUE!</v>
      </c>
      <c r="ES665" s="1398"/>
      <c r="ET665" s="1398"/>
      <c r="EU665" s="1398"/>
      <c r="EV665" s="1398"/>
      <c r="EW665" s="1398" t="e">
        <f t="shared" si="8"/>
        <v>#VALUE!</v>
      </c>
      <c r="EX665" s="1398"/>
      <c r="EY665" s="1398"/>
      <c r="EZ665" s="1398"/>
      <c r="FA665" s="139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8" t="e">
        <f t="shared" si="3"/>
        <v>#VALUE!</v>
      </c>
      <c r="DY666" s="1398"/>
      <c r="DZ666" s="1398"/>
      <c r="EA666" s="1398"/>
      <c r="EB666" s="1398"/>
      <c r="EC666" s="1398" t="e">
        <f t="shared" si="4"/>
        <v>#VALUE!</v>
      </c>
      <c r="ED666" s="1398"/>
      <c r="EE666" s="1398"/>
      <c r="EF666" s="1398"/>
      <c r="EG666" s="1398"/>
      <c r="EH666" s="1398" t="e">
        <f t="shared" si="5"/>
        <v>#VALUE!</v>
      </c>
      <c r="EI666" s="1398"/>
      <c r="EJ666" s="1398"/>
      <c r="EK666" s="1398"/>
      <c r="EL666" s="1398"/>
      <c r="EM666" s="1398" t="e">
        <f t="shared" si="6"/>
        <v>#VALUE!</v>
      </c>
      <c r="EN666" s="1398"/>
      <c r="EO666" s="1398"/>
      <c r="EP666" s="1398"/>
      <c r="EQ666" s="1398"/>
      <c r="ER666" s="1398" t="e">
        <f t="shared" si="7"/>
        <v>#VALUE!</v>
      </c>
      <c r="ES666" s="1398"/>
      <c r="ET666" s="1398"/>
      <c r="EU666" s="1398"/>
      <c r="EV666" s="1398"/>
      <c r="EW666" s="1398" t="e">
        <f t="shared" si="8"/>
        <v>#VALUE!</v>
      </c>
      <c r="EX666" s="1398"/>
      <c r="EY666" s="1398"/>
      <c r="EZ666" s="1398"/>
      <c r="FA666" s="1398"/>
    </row>
    <row r="667" spans="1:157" ht="12.95" customHeight="1">
      <c r="A667" s="55" t="s">
        <v>456</v>
      </c>
      <c r="B667" t="s">
        <v>464</v>
      </c>
      <c r="G667" s="1491" t="str">
        <f>C633</f>
        <v>Deferred Developer Fee</v>
      </c>
      <c r="H667" s="1491"/>
      <c r="I667" s="1491"/>
      <c r="J667" s="1491"/>
      <c r="K667" s="1491"/>
      <c r="L667" s="1491"/>
      <c r="M667" s="1491"/>
      <c r="N667" s="1491"/>
      <c r="O667" s="1491"/>
      <c r="P667" s="1491"/>
      <c r="Q667" s="1491"/>
      <c r="R667" s="1491"/>
      <c r="T667" s="55" t="s">
        <v>457</v>
      </c>
      <c r="U667" t="s">
        <v>464</v>
      </c>
      <c r="Z667" s="1491">
        <f>C634</f>
        <v>0</v>
      </c>
      <c r="AA667" s="1491"/>
      <c r="AB667" s="1491"/>
      <c r="AC667" s="1491"/>
      <c r="AD667" s="1491"/>
      <c r="AE667" s="1491"/>
      <c r="AF667" s="1491"/>
      <c r="AG667" s="1491"/>
      <c r="AH667" s="1491"/>
      <c r="AI667" s="1491"/>
      <c r="AJ667" s="1491"/>
      <c r="AK667" s="149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8" t="e">
        <f t="shared" si="3"/>
        <v>#VALUE!</v>
      </c>
      <c r="DY667" s="1398"/>
      <c r="DZ667" s="1398"/>
      <c r="EA667" s="1398"/>
      <c r="EB667" s="1398"/>
      <c r="EC667" s="1398" t="e">
        <f t="shared" si="4"/>
        <v>#VALUE!</v>
      </c>
      <c r="ED667" s="1398"/>
      <c r="EE667" s="1398"/>
      <c r="EF667" s="1398"/>
      <c r="EG667" s="1398"/>
      <c r="EH667" s="1398" t="e">
        <f t="shared" si="5"/>
        <v>#VALUE!</v>
      </c>
      <c r="EI667" s="1398"/>
      <c r="EJ667" s="1398"/>
      <c r="EK667" s="1398"/>
      <c r="EL667" s="1398"/>
      <c r="EM667" s="1398" t="e">
        <f t="shared" si="6"/>
        <v>#VALUE!</v>
      </c>
      <c r="EN667" s="1398"/>
      <c r="EO667" s="1398"/>
      <c r="EP667" s="1398"/>
      <c r="EQ667" s="1398"/>
      <c r="ER667" s="1398" t="e">
        <f t="shared" si="7"/>
        <v>#VALUE!</v>
      </c>
      <c r="ES667" s="1398"/>
      <c r="ET667" s="1398"/>
      <c r="EU667" s="1398"/>
      <c r="EV667" s="1398"/>
      <c r="EW667" s="1398" t="e">
        <f t="shared" si="8"/>
        <v>#VALUE!</v>
      </c>
      <c r="EX667" s="1398"/>
      <c r="EY667" s="1398"/>
      <c r="EZ667" s="1398"/>
      <c r="FA667" s="1398"/>
    </row>
    <row r="668" spans="1:157" ht="12.95" customHeight="1">
      <c r="A668" s="22"/>
      <c r="B668" t="s">
        <v>85</v>
      </c>
      <c r="G668" s="1340" t="s">
        <v>2626</v>
      </c>
      <c r="H668" s="1340"/>
      <c r="I668" s="1340"/>
      <c r="J668" s="1340"/>
      <c r="K668" s="1340"/>
      <c r="L668" s="1340"/>
      <c r="M668" s="1340"/>
      <c r="N668" s="1340"/>
      <c r="O668" s="1340"/>
      <c r="P668" s="1340"/>
      <c r="Q668" s="1340"/>
      <c r="R668" s="1340"/>
      <c r="T668" s="22"/>
      <c r="U668" t="s">
        <v>85</v>
      </c>
      <c r="Z668" s="1340"/>
      <c r="AA668" s="1340"/>
      <c r="AB668" s="1340"/>
      <c r="AC668" s="1340"/>
      <c r="AD668" s="1340"/>
      <c r="AE668" s="1340"/>
      <c r="AF668" s="1340"/>
      <c r="AG668" s="1340"/>
      <c r="AH668" s="1340"/>
      <c r="AI668" s="1340"/>
      <c r="AJ668" s="1340"/>
      <c r="AK668" s="134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8" t="e">
        <f t="shared" si="3"/>
        <v>#VALUE!</v>
      </c>
      <c r="DY668" s="1398"/>
      <c r="DZ668" s="1398"/>
      <c r="EA668" s="1398"/>
      <c r="EB668" s="1398"/>
      <c r="EC668" s="1398" t="e">
        <f t="shared" si="4"/>
        <v>#VALUE!</v>
      </c>
      <c r="ED668" s="1398"/>
      <c r="EE668" s="1398"/>
      <c r="EF668" s="1398"/>
      <c r="EG668" s="1398"/>
      <c r="EH668" s="1398" t="e">
        <f t="shared" si="5"/>
        <v>#VALUE!</v>
      </c>
      <c r="EI668" s="1398"/>
      <c r="EJ668" s="1398"/>
      <c r="EK668" s="1398"/>
      <c r="EL668" s="1398"/>
      <c r="EM668" s="1398" t="e">
        <f t="shared" si="6"/>
        <v>#VALUE!</v>
      </c>
      <c r="EN668" s="1398"/>
      <c r="EO668" s="1398"/>
      <c r="EP668" s="1398"/>
      <c r="EQ668" s="1398"/>
      <c r="ER668" s="1398" t="e">
        <f t="shared" si="7"/>
        <v>#VALUE!</v>
      </c>
      <c r="ES668" s="1398"/>
      <c r="ET668" s="1398"/>
      <c r="EU668" s="1398"/>
      <c r="EV668" s="1398"/>
      <c r="EW668" s="1398" t="e">
        <f t="shared" si="8"/>
        <v>#VALUE!</v>
      </c>
      <c r="EX668" s="1398"/>
      <c r="EY668" s="1398"/>
      <c r="EZ668" s="1398"/>
      <c r="FA668" s="1398"/>
    </row>
    <row r="669" spans="1:157" ht="12.95" customHeight="1">
      <c r="A669" s="22"/>
      <c r="B669" t="s">
        <v>581</v>
      </c>
      <c r="G669" s="1340" t="s">
        <v>2627</v>
      </c>
      <c r="H669" s="1340"/>
      <c r="I669" s="1340"/>
      <c r="J669" s="1340"/>
      <c r="K669" s="1340"/>
      <c r="L669" s="1340"/>
      <c r="M669" s="1340"/>
      <c r="N669" s="1340"/>
      <c r="O669" s="1340"/>
      <c r="P669" s="1340"/>
      <c r="Q669" s="1340"/>
      <c r="R669" s="1340"/>
      <c r="T669" s="22"/>
      <c r="U669" t="s">
        <v>581</v>
      </c>
      <c r="Z669" s="1342"/>
      <c r="AA669" s="1342"/>
      <c r="AB669" s="1342"/>
      <c r="AC669" s="1342"/>
      <c r="AD669" s="1342"/>
      <c r="AE669" s="1342"/>
      <c r="AF669" s="1342"/>
      <c r="AG669" s="1342"/>
      <c r="AH669" s="1342"/>
      <c r="AI669" s="1342"/>
      <c r="AJ669" s="1342"/>
      <c r="AK669" s="134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8" t="e">
        <f t="shared" si="3"/>
        <v>#VALUE!</v>
      </c>
      <c r="DY669" s="1398"/>
      <c r="DZ669" s="1398"/>
      <c r="EA669" s="1398"/>
      <c r="EB669" s="1398"/>
      <c r="EC669" s="1398" t="e">
        <f t="shared" si="4"/>
        <v>#VALUE!</v>
      </c>
      <c r="ED669" s="1398"/>
      <c r="EE669" s="1398"/>
      <c r="EF669" s="1398"/>
      <c r="EG669" s="1398"/>
      <c r="EH669" s="1398" t="e">
        <f t="shared" si="5"/>
        <v>#VALUE!</v>
      </c>
      <c r="EI669" s="1398"/>
      <c r="EJ669" s="1398"/>
      <c r="EK669" s="1398"/>
      <c r="EL669" s="1398"/>
      <c r="EM669" s="1398" t="e">
        <f t="shared" si="6"/>
        <v>#VALUE!</v>
      </c>
      <c r="EN669" s="1398"/>
      <c r="EO669" s="1398"/>
      <c r="EP669" s="1398"/>
      <c r="EQ669" s="1398"/>
      <c r="ER669" s="1398" t="e">
        <f t="shared" si="7"/>
        <v>#VALUE!</v>
      </c>
      <c r="ES669" s="1398"/>
      <c r="ET669" s="1398"/>
      <c r="EU669" s="1398"/>
      <c r="EV669" s="1398"/>
      <c r="EW669" s="1398" t="e">
        <f t="shared" si="8"/>
        <v>#VALUE!</v>
      </c>
      <c r="EX669" s="1398"/>
      <c r="EY669" s="1398"/>
      <c r="EZ669" s="1398"/>
      <c r="FA669" s="1398"/>
    </row>
    <row r="670" spans="1:157" ht="12.95" customHeight="1">
      <c r="A670" s="22"/>
      <c r="B670" t="s">
        <v>17</v>
      </c>
      <c r="G670" s="1340" t="s">
        <v>2637</v>
      </c>
      <c r="H670" s="1340"/>
      <c r="I670" s="1340"/>
      <c r="J670" s="1340"/>
      <c r="K670" s="1340"/>
      <c r="L670" s="1340"/>
      <c r="M670" s="1340"/>
      <c r="N670" s="1340"/>
      <c r="O670" s="1340"/>
      <c r="P670" s="1340"/>
      <c r="Q670" s="1340"/>
      <c r="R670" s="1340"/>
      <c r="T670" s="22"/>
      <c r="U670" t="s">
        <v>17</v>
      </c>
      <c r="Z670" s="1342"/>
      <c r="AA670" s="1342"/>
      <c r="AB670" s="1342"/>
      <c r="AC670" s="1342"/>
      <c r="AD670" s="1342"/>
      <c r="AE670" s="1342"/>
      <c r="AF670" s="1342"/>
      <c r="AG670" s="1342"/>
      <c r="AH670" s="1342"/>
      <c r="AI670" s="1342"/>
      <c r="AJ670" s="1342"/>
      <c r="AK670" s="134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8">
        <f>SUMIF(DX635:EB669,"&gt;0")</f>
        <v>1290.6666666666665</v>
      </c>
      <c r="DY670" s="1398"/>
      <c r="DZ670" s="1398"/>
      <c r="EA670" s="1398"/>
      <c r="EB670" s="1398"/>
      <c r="EC670" s="1398">
        <f>SUMIF(EC635:EG669,"&gt;0")</f>
        <v>1420</v>
      </c>
      <c r="ED670" s="1398"/>
      <c r="EE670" s="1398"/>
      <c r="EF670" s="1398"/>
      <c r="EG670" s="1398"/>
      <c r="EH670" s="1398">
        <f>SUMIF(EH635:EL669,"&gt;0")</f>
        <v>1904.7931034482758</v>
      </c>
      <c r="EI670" s="1398"/>
      <c r="EJ670" s="1398"/>
      <c r="EK670" s="1398"/>
      <c r="EL670" s="1398"/>
      <c r="EM670" s="1398">
        <f>SUMIF(EM635:EQ669,"&gt;0")</f>
        <v>2309.9333333333334</v>
      </c>
      <c r="EN670" s="1398"/>
      <c r="EO670" s="1398"/>
      <c r="EP670" s="1398"/>
      <c r="EQ670" s="1398"/>
      <c r="ER670" s="1398">
        <f>SUMIF(ER635:EV669,"&gt;0")</f>
        <v>0</v>
      </c>
      <c r="ES670" s="1398"/>
      <c r="ET670" s="1398"/>
      <c r="EU670" s="1398"/>
      <c r="EV670" s="1398"/>
      <c r="EW670" s="1398">
        <f>SUMIF(EW635:FA669,"&gt;0")</f>
        <v>0</v>
      </c>
      <c r="EX670" s="1398"/>
      <c r="EY670" s="1398"/>
      <c r="EZ670" s="1398"/>
      <c r="FA670" s="1398"/>
    </row>
    <row r="671" spans="1:157" ht="12.95" customHeight="1">
      <c r="A671" s="22"/>
      <c r="B671" t="s">
        <v>316</v>
      </c>
      <c r="G671" s="1495">
        <v>3105604298</v>
      </c>
      <c r="H671" s="1495"/>
      <c r="I671" s="1495"/>
      <c r="J671" s="1495"/>
      <c r="K671" s="1495"/>
      <c r="L671" s="1495"/>
      <c r="O671" s="33" t="s">
        <v>206</v>
      </c>
      <c r="P671" s="1429"/>
      <c r="Q671" s="1429"/>
      <c r="R671" s="1429"/>
      <c r="T671" s="22"/>
      <c r="U671" t="s">
        <v>316</v>
      </c>
      <c r="Z671" s="1495"/>
      <c r="AA671" s="1495"/>
      <c r="AB671" s="1495"/>
      <c r="AC671" s="1495"/>
      <c r="AD671" s="1495"/>
      <c r="AE671" s="1495"/>
      <c r="AH671" s="33" t="s">
        <v>206</v>
      </c>
      <c r="AI671" s="1429"/>
      <c r="AJ671" s="1429"/>
      <c r="AK671" s="142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39" t="s">
        <v>2321</v>
      </c>
      <c r="I672" s="1340"/>
      <c r="J672" s="1340"/>
      <c r="K672" s="1340"/>
      <c r="L672" s="1340"/>
      <c r="M672" s="1340"/>
      <c r="N672" s="1340"/>
      <c r="O672" s="1340"/>
      <c r="P672" s="1340"/>
      <c r="Q672" s="1340"/>
      <c r="R672" s="1340"/>
      <c r="T672" s="22"/>
      <c r="U672" t="s">
        <v>18</v>
      </c>
      <c r="AA672" s="1340"/>
      <c r="AB672" s="1340"/>
      <c r="AC672" s="1340"/>
      <c r="AD672" s="1340"/>
      <c r="AE672" s="1340"/>
      <c r="AF672" s="1340"/>
      <c r="AG672" s="1340"/>
      <c r="AH672" s="1340"/>
      <c r="AI672" s="1340"/>
      <c r="AJ672" s="1340"/>
      <c r="AK672" s="134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20" t="s">
        <v>670</v>
      </c>
      <c r="O673" s="1420"/>
      <c r="T673" s="22"/>
      <c r="U673" t="s">
        <v>20</v>
      </c>
      <c r="AG673" s="1420" t="s">
        <v>670</v>
      </c>
      <c r="AH673" s="1420"/>
      <c r="AZ673" s="3"/>
    </row>
    <row r="674" spans="1:52" ht="12.95" customHeight="1">
      <c r="A674" s="22"/>
      <c r="T674" s="22"/>
      <c r="AZ674" s="3"/>
    </row>
    <row r="675" spans="1:52" ht="12.95" customHeight="1">
      <c r="A675" s="55" t="s">
        <v>462</v>
      </c>
      <c r="B675" t="s">
        <v>464</v>
      </c>
      <c r="G675" s="1491">
        <f>C635</f>
        <v>0</v>
      </c>
      <c r="H675" s="1491"/>
      <c r="I675" s="1491"/>
      <c r="J675" s="1491"/>
      <c r="K675" s="1491"/>
      <c r="L675" s="1491"/>
      <c r="M675" s="1491"/>
      <c r="N675" s="1491"/>
      <c r="O675" s="1491"/>
      <c r="P675" s="1491"/>
      <c r="Q675" s="1491"/>
      <c r="R675" s="1491"/>
      <c r="T675" s="55" t="s">
        <v>647</v>
      </c>
      <c r="U675" t="s">
        <v>464</v>
      </c>
      <c r="Z675" s="1491">
        <f>C636</f>
        <v>0</v>
      </c>
      <c r="AA675" s="1491"/>
      <c r="AB675" s="1491"/>
      <c r="AC675" s="1491"/>
      <c r="AD675" s="1491"/>
      <c r="AE675" s="1491"/>
      <c r="AF675" s="1491"/>
      <c r="AG675" s="1491"/>
      <c r="AH675" s="1491"/>
      <c r="AI675" s="1491"/>
      <c r="AJ675" s="1491"/>
      <c r="AK675" s="1491"/>
      <c r="AZ675" s="3"/>
    </row>
    <row r="676" spans="1:52" ht="12.95" customHeight="1">
      <c r="A676" s="22"/>
      <c r="B676" t="s">
        <v>85</v>
      </c>
      <c r="G676" s="1340"/>
      <c r="H676" s="1340"/>
      <c r="I676" s="1340"/>
      <c r="J676" s="1340"/>
      <c r="K676" s="1340"/>
      <c r="L676" s="1340"/>
      <c r="M676" s="1340"/>
      <c r="N676" s="1340"/>
      <c r="O676" s="1340"/>
      <c r="P676" s="1340"/>
      <c r="Q676" s="1340"/>
      <c r="R676" s="1340"/>
      <c r="T676" s="22"/>
      <c r="U676" t="s">
        <v>85</v>
      </c>
      <c r="Z676" s="1340"/>
      <c r="AA676" s="1340"/>
      <c r="AB676" s="1340"/>
      <c r="AC676" s="1340"/>
      <c r="AD676" s="1340"/>
      <c r="AE676" s="1340"/>
      <c r="AF676" s="1340"/>
      <c r="AG676" s="1340"/>
      <c r="AH676" s="1340"/>
      <c r="AI676" s="1340"/>
      <c r="AJ676" s="1340"/>
      <c r="AK676" s="1340"/>
      <c r="AZ676" s="3"/>
    </row>
    <row r="677" spans="1:52" ht="12.95" customHeight="1">
      <c r="A677" s="22"/>
      <c r="B677" t="s">
        <v>581</v>
      </c>
      <c r="G677" s="1340"/>
      <c r="H677" s="1340"/>
      <c r="I677" s="1340"/>
      <c r="J677" s="1340"/>
      <c r="K677" s="1340"/>
      <c r="L677" s="1340"/>
      <c r="M677" s="1340"/>
      <c r="N677" s="1340"/>
      <c r="O677" s="1340"/>
      <c r="P677" s="1340"/>
      <c r="Q677" s="1340"/>
      <c r="R677" s="1340"/>
      <c r="T677" s="22"/>
      <c r="U677" t="s">
        <v>581</v>
      </c>
      <c r="Z677" s="1342"/>
      <c r="AA677" s="1342"/>
      <c r="AB677" s="1342"/>
      <c r="AC677" s="1342"/>
      <c r="AD677" s="1342"/>
      <c r="AE677" s="1342"/>
      <c r="AF677" s="1342"/>
      <c r="AG677" s="1342"/>
      <c r="AH677" s="1342"/>
      <c r="AI677" s="1342"/>
      <c r="AJ677" s="1342"/>
      <c r="AK677" s="1342"/>
      <c r="AZ677" s="3"/>
    </row>
    <row r="678" spans="1:52" ht="12.95" customHeight="1">
      <c r="A678" s="22"/>
      <c r="B678" t="s">
        <v>17</v>
      </c>
      <c r="G678" s="1340"/>
      <c r="H678" s="1340"/>
      <c r="I678" s="1340"/>
      <c r="J678" s="1340"/>
      <c r="K678" s="1340"/>
      <c r="L678" s="1340"/>
      <c r="M678" s="1340"/>
      <c r="N678" s="1340"/>
      <c r="O678" s="1340"/>
      <c r="P678" s="1340"/>
      <c r="Q678" s="1340"/>
      <c r="R678" s="1340"/>
      <c r="T678" s="22"/>
      <c r="U678" t="s">
        <v>17</v>
      </c>
      <c r="Z678" s="1342"/>
      <c r="AA678" s="1342"/>
      <c r="AB678" s="1342"/>
      <c r="AC678" s="1342"/>
      <c r="AD678" s="1342"/>
      <c r="AE678" s="1342"/>
      <c r="AF678" s="1342"/>
      <c r="AG678" s="1342"/>
      <c r="AH678" s="1342"/>
      <c r="AI678" s="1342"/>
      <c r="AJ678" s="1342"/>
      <c r="AK678" s="1342"/>
      <c r="AZ678" s="3"/>
    </row>
    <row r="679" spans="1:52" ht="12.95" customHeight="1">
      <c r="A679" s="22"/>
      <c r="B679" t="s">
        <v>316</v>
      </c>
      <c r="G679" s="1495"/>
      <c r="H679" s="1495"/>
      <c r="I679" s="1495"/>
      <c r="J679" s="1495"/>
      <c r="K679" s="1495"/>
      <c r="L679" s="1495"/>
      <c r="O679" s="33" t="s">
        <v>206</v>
      </c>
      <c r="P679" s="1429"/>
      <c r="Q679" s="1429"/>
      <c r="R679" s="1429"/>
      <c r="T679" s="22"/>
      <c r="U679" t="s">
        <v>316</v>
      </c>
      <c r="Z679" s="1495"/>
      <c r="AA679" s="1495"/>
      <c r="AB679" s="1495"/>
      <c r="AC679" s="1495"/>
      <c r="AD679" s="1495"/>
      <c r="AE679" s="1495"/>
      <c r="AH679" s="33" t="s">
        <v>206</v>
      </c>
      <c r="AI679" s="1429"/>
      <c r="AJ679" s="1429"/>
      <c r="AK679" s="1429"/>
      <c r="AZ679" s="3"/>
    </row>
    <row r="680" spans="1:52" ht="12.95" customHeight="1">
      <c r="A680" s="22"/>
      <c r="B680" t="s">
        <v>18</v>
      </c>
      <c r="H680" s="1340"/>
      <c r="I680" s="1340"/>
      <c r="J680" s="1340"/>
      <c r="K680" s="1340"/>
      <c r="L680" s="1340"/>
      <c r="M680" s="1340"/>
      <c r="N680" s="1340"/>
      <c r="O680" s="1340"/>
      <c r="P680" s="1340"/>
      <c r="Q680" s="1340"/>
      <c r="R680" s="1340"/>
      <c r="T680" s="22"/>
      <c r="U680" t="s">
        <v>18</v>
      </c>
      <c r="AA680" s="1340"/>
      <c r="AB680" s="1340"/>
      <c r="AC680" s="1340"/>
      <c r="AD680" s="1340"/>
      <c r="AE680" s="1340"/>
      <c r="AF680" s="1340"/>
      <c r="AG680" s="1340"/>
      <c r="AH680" s="1340"/>
      <c r="AI680" s="1340"/>
      <c r="AJ680" s="1340"/>
      <c r="AK680" s="1340"/>
      <c r="AZ680" s="3"/>
    </row>
    <row r="681" spans="1:52" ht="12.95" customHeight="1">
      <c r="A681" s="22"/>
      <c r="B681" t="s">
        <v>20</v>
      </c>
      <c r="N681" s="1420" t="s">
        <v>670</v>
      </c>
      <c r="O681" s="1420"/>
      <c r="T681" s="22"/>
      <c r="U681" t="s">
        <v>20</v>
      </c>
      <c r="AG681" s="1420" t="s">
        <v>670</v>
      </c>
      <c r="AH681" s="1420"/>
      <c r="AZ681" s="3"/>
    </row>
    <row r="682" spans="1:52" ht="12.95" customHeight="1">
      <c r="A682" s="22"/>
      <c r="T682" s="22"/>
      <c r="AZ682" s="3"/>
    </row>
    <row r="683" spans="1:52" ht="12.95" customHeight="1">
      <c r="A683" s="55" t="s">
        <v>362</v>
      </c>
      <c r="B683" t="s">
        <v>464</v>
      </c>
      <c r="G683" s="1491">
        <f>C637</f>
        <v>0</v>
      </c>
      <c r="H683" s="1491"/>
      <c r="I683" s="1491"/>
      <c r="J683" s="1491"/>
      <c r="K683" s="1491"/>
      <c r="L683" s="1491"/>
      <c r="M683" s="1491"/>
      <c r="N683" s="1491"/>
      <c r="O683" s="1491"/>
      <c r="P683" s="1491"/>
      <c r="Q683" s="1491"/>
      <c r="R683" s="1491"/>
      <c r="T683" s="55" t="s">
        <v>363</v>
      </c>
      <c r="U683" t="s">
        <v>464</v>
      </c>
      <c r="Z683" s="1491">
        <f>C638</f>
        <v>0</v>
      </c>
      <c r="AA683" s="1491"/>
      <c r="AB683" s="1491"/>
      <c r="AC683" s="1491"/>
      <c r="AD683" s="1491"/>
      <c r="AE683" s="1491"/>
      <c r="AF683" s="1491"/>
      <c r="AG683" s="1491"/>
      <c r="AH683" s="1491"/>
      <c r="AI683" s="1491"/>
      <c r="AJ683" s="1491"/>
      <c r="AK683" s="1491"/>
      <c r="AZ683" s="3"/>
    </row>
    <row r="684" spans="1:52" ht="12.95" customHeight="1">
      <c r="B684" t="s">
        <v>85</v>
      </c>
      <c r="G684" s="1340"/>
      <c r="H684" s="1340"/>
      <c r="I684" s="1340"/>
      <c r="J684" s="1340"/>
      <c r="K684" s="1340"/>
      <c r="L684" s="1340"/>
      <c r="M684" s="1340"/>
      <c r="N684" s="1340"/>
      <c r="O684" s="1340"/>
      <c r="P684" s="1340"/>
      <c r="Q684" s="1340"/>
      <c r="R684" s="1340"/>
      <c r="T684" s="22"/>
      <c r="U684" t="s">
        <v>85</v>
      </c>
      <c r="Z684" s="1340"/>
      <c r="AA684" s="1340"/>
      <c r="AB684" s="1340"/>
      <c r="AC684" s="1340"/>
      <c r="AD684" s="1340"/>
      <c r="AE684" s="1340"/>
      <c r="AF684" s="1340"/>
      <c r="AG684" s="1340"/>
      <c r="AH684" s="1340"/>
      <c r="AI684" s="1340"/>
      <c r="AJ684" s="1340"/>
      <c r="AK684" s="1340"/>
      <c r="AZ684" s="3"/>
    </row>
    <row r="685" spans="1:52" ht="12.95" customHeight="1">
      <c r="B685" t="s">
        <v>581</v>
      </c>
      <c r="G685" s="1340"/>
      <c r="H685" s="1340"/>
      <c r="I685" s="1340"/>
      <c r="J685" s="1340"/>
      <c r="K685" s="1340"/>
      <c r="L685" s="1340"/>
      <c r="M685" s="1340"/>
      <c r="N685" s="1340"/>
      <c r="O685" s="1340"/>
      <c r="P685" s="1340"/>
      <c r="Q685" s="1340"/>
      <c r="R685" s="1340"/>
      <c r="U685" t="s">
        <v>581</v>
      </c>
      <c r="Z685" s="1342"/>
      <c r="AA685" s="1342"/>
      <c r="AB685" s="1342"/>
      <c r="AC685" s="1342"/>
      <c r="AD685" s="1342"/>
      <c r="AE685" s="1342"/>
      <c r="AF685" s="1342"/>
      <c r="AG685" s="1342"/>
      <c r="AH685" s="1342"/>
      <c r="AI685" s="1342"/>
      <c r="AJ685" s="1342"/>
      <c r="AK685" s="1342"/>
      <c r="AZ685" s="3"/>
    </row>
    <row r="686" spans="1:52" ht="12.95" customHeight="1">
      <c r="B686" t="s">
        <v>17</v>
      </c>
      <c r="G686" s="1340"/>
      <c r="H686" s="1340"/>
      <c r="I686" s="1340"/>
      <c r="J686" s="1340"/>
      <c r="K686" s="1340"/>
      <c r="L686" s="1340"/>
      <c r="M686" s="1340"/>
      <c r="N686" s="1340"/>
      <c r="O686" s="1340"/>
      <c r="P686" s="1340"/>
      <c r="Q686" s="1340"/>
      <c r="R686" s="1340"/>
      <c r="U686" t="s">
        <v>17</v>
      </c>
      <c r="Z686" s="1342"/>
      <c r="AA686" s="1342"/>
      <c r="AB686" s="1342"/>
      <c r="AC686" s="1342"/>
      <c r="AD686" s="1342"/>
      <c r="AE686" s="1342"/>
      <c r="AF686" s="1342"/>
      <c r="AG686" s="1342"/>
      <c r="AH686" s="1342"/>
      <c r="AI686" s="1342"/>
      <c r="AJ686" s="1342"/>
      <c r="AK686" s="1342"/>
      <c r="AZ686" s="3"/>
    </row>
    <row r="687" spans="1:52" ht="12.95" customHeight="1">
      <c r="B687" t="s">
        <v>316</v>
      </c>
      <c r="G687" s="1495"/>
      <c r="H687" s="1495"/>
      <c r="I687" s="1495"/>
      <c r="J687" s="1495"/>
      <c r="K687" s="1495"/>
      <c r="L687" s="1495"/>
      <c r="O687" s="33" t="s">
        <v>206</v>
      </c>
      <c r="P687" s="1429"/>
      <c r="Q687" s="1429"/>
      <c r="R687" s="1429"/>
      <c r="U687" t="s">
        <v>316</v>
      </c>
      <c r="Z687" s="1495"/>
      <c r="AA687" s="1495"/>
      <c r="AB687" s="1495"/>
      <c r="AC687" s="1495"/>
      <c r="AD687" s="1495"/>
      <c r="AE687" s="1495"/>
      <c r="AH687" s="33" t="s">
        <v>206</v>
      </c>
      <c r="AI687" s="1429"/>
      <c r="AJ687" s="1429"/>
      <c r="AK687" s="1429"/>
      <c r="AZ687" s="3"/>
    </row>
    <row r="688" spans="1:52" ht="12.95" customHeight="1">
      <c r="B688" t="s">
        <v>18</v>
      </c>
      <c r="H688" s="1340"/>
      <c r="I688" s="1340"/>
      <c r="J688" s="1340"/>
      <c r="K688" s="1340"/>
      <c r="L688" s="1340"/>
      <c r="M688" s="1340"/>
      <c r="N688" s="1340"/>
      <c r="O688" s="1340"/>
      <c r="P688" s="1340"/>
      <c r="Q688" s="1340"/>
      <c r="R688" s="1340"/>
      <c r="U688" t="s">
        <v>18</v>
      </c>
      <c r="AA688" s="1340"/>
      <c r="AB688" s="1340"/>
      <c r="AC688" s="1340"/>
      <c r="AD688" s="1340"/>
      <c r="AE688" s="1340"/>
      <c r="AF688" s="1340"/>
      <c r="AG688" s="1340"/>
      <c r="AH688" s="1340"/>
      <c r="AI688" s="1340"/>
      <c r="AJ688" s="1340"/>
      <c r="AK688" s="1340"/>
      <c r="AZ688" s="3"/>
    </row>
    <row r="689" spans="1:67" ht="12.95" customHeight="1">
      <c r="B689" t="s">
        <v>20</v>
      </c>
      <c r="N689" s="1420" t="s">
        <v>670</v>
      </c>
      <c r="O689" s="1420"/>
      <c r="U689" t="s">
        <v>20</v>
      </c>
      <c r="AG689" s="1420" t="s">
        <v>670</v>
      </c>
      <c r="AH689" s="1420"/>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20" t="s">
        <v>670</v>
      </c>
      <c r="AF693" s="1420"/>
      <c r="AZ693" s="3"/>
    </row>
    <row r="694" spans="1:67" ht="12.95" customHeight="1">
      <c r="B694" s="135"/>
      <c r="C694" s="135"/>
      <c r="D694" s="136" t="s">
        <v>438</v>
      </c>
      <c r="E694" s="135"/>
      <c r="F694" s="135"/>
      <c r="G694" s="135"/>
      <c r="H694" s="135"/>
      <c r="AE694" s="1420" t="s">
        <v>670</v>
      </c>
      <c r="AF694" s="1420"/>
      <c r="AZ694" s="3"/>
    </row>
    <row r="695" spans="1:67" ht="12.95" customHeight="1">
      <c r="B695" s="135"/>
      <c r="C695" s="135"/>
      <c r="D695" s="136" t="s">
        <v>921</v>
      </c>
      <c r="E695" s="135"/>
      <c r="F695" s="135"/>
      <c r="G695" s="135"/>
      <c r="H695" s="135"/>
      <c r="AE695" s="1558"/>
      <c r="AF695" s="1558"/>
      <c r="AG695" s="1558"/>
      <c r="AH695" s="1558"/>
      <c r="AI695" s="1558"/>
    </row>
    <row r="696" spans="1:67" ht="12.95" customHeight="1">
      <c r="B696" s="135"/>
      <c r="C696" s="135"/>
      <c r="D696" s="317" t="s">
        <v>984</v>
      </c>
      <c r="E696" s="135"/>
      <c r="F696" s="135"/>
      <c r="G696" s="135"/>
      <c r="H696" s="135"/>
      <c r="AE696" s="1534"/>
      <c r="AF696" s="1534"/>
      <c r="AG696" s="1534"/>
      <c r="AH696" s="1534"/>
      <c r="AI696" s="1534"/>
    </row>
    <row r="697" spans="1:67" ht="12.95" customHeight="1">
      <c r="B697" s="135"/>
      <c r="C697" s="135"/>
    </row>
    <row r="698" spans="1:67" ht="12.95" customHeight="1">
      <c r="B698" s="135"/>
      <c r="C698" s="135"/>
      <c r="D698" s="136" t="s">
        <v>817</v>
      </c>
      <c r="E698" s="135"/>
      <c r="F698" s="135"/>
      <c r="G698" s="135"/>
      <c r="H698" s="135"/>
      <c r="AE698" s="1558"/>
      <c r="AF698" s="1558"/>
      <c r="AG698" s="1558"/>
      <c r="AH698" s="1558"/>
      <c r="AI698" s="1558"/>
    </row>
    <row r="699" spans="1:67" ht="12.95" customHeight="1">
      <c r="B699" s="135"/>
      <c r="C699" s="135"/>
      <c r="D699" s="136" t="s">
        <v>436</v>
      </c>
      <c r="E699" s="135"/>
      <c r="F699" s="135"/>
      <c r="G699" s="135"/>
      <c r="H699" s="135"/>
      <c r="AE699" s="1686">
        <f>[1]EVERYTHING!$I$29</f>
        <v>0.29699999999999999</v>
      </c>
      <c r="AF699" s="1686"/>
      <c r="AG699" s="1686"/>
      <c r="AH699" s="1686"/>
      <c r="AI699" s="1686"/>
    </row>
    <row r="700" spans="1:67" ht="12.95" customHeight="1">
      <c r="B700" s="135"/>
      <c r="C700" s="135"/>
      <c r="D700" s="136" t="s">
        <v>437</v>
      </c>
      <c r="E700" s="135"/>
      <c r="F700" s="135"/>
      <c r="G700" s="135"/>
      <c r="H700" s="135"/>
      <c r="W700" s="1491" t="str">
        <f>H335</f>
        <v>California Municipal Finance Authority</v>
      </c>
      <c r="X700" s="1491"/>
      <c r="Y700" s="1491"/>
      <c r="Z700" s="1491"/>
      <c r="AA700" s="1491"/>
      <c r="AB700" s="1491"/>
      <c r="AC700" s="1491"/>
      <c r="AD700" s="1491"/>
      <c r="AE700" s="1491"/>
      <c r="AF700" s="1491"/>
      <c r="AG700" s="1491"/>
      <c r="AH700" s="1491"/>
      <c r="AI700" s="1491"/>
      <c r="AJ700" s="1491"/>
      <c r="AK700" s="149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20" t="s">
        <v>670</v>
      </c>
      <c r="AF702" s="1420"/>
      <c r="AZ702" s="4" t="s">
        <v>324</v>
      </c>
    </row>
    <row r="703" spans="1:67" ht="12.95" customHeight="1">
      <c r="B703" s="135"/>
      <c r="C703" s="135"/>
      <c r="D703" s="136" t="s">
        <v>443</v>
      </c>
      <c r="E703" s="135"/>
      <c r="F703" s="135"/>
      <c r="G703" s="135"/>
      <c r="H703" s="135"/>
      <c r="W703" s="1340"/>
      <c r="X703" s="1340"/>
      <c r="Y703" s="1340"/>
      <c r="Z703" s="1340"/>
      <c r="AA703" s="1340"/>
      <c r="AB703" s="1340"/>
      <c r="AC703" s="1340"/>
      <c r="AD703" s="1340"/>
      <c r="AE703" s="1340"/>
      <c r="AF703" s="1340"/>
      <c r="AG703" s="1340"/>
      <c r="AH703" s="1340"/>
      <c r="AI703" s="1340"/>
      <c r="AJ703" s="1340"/>
      <c r="AK703" s="1340"/>
      <c r="AZ703" s="4" t="s">
        <v>325</v>
      </c>
    </row>
    <row r="704" spans="1:67" ht="12.95" customHeight="1">
      <c r="B704" s="135"/>
      <c r="C704" s="135"/>
      <c r="D704" s="136" t="s">
        <v>87</v>
      </c>
      <c r="E704" s="135"/>
      <c r="F704" s="135"/>
      <c r="G704" s="135"/>
      <c r="H704" s="135"/>
      <c r="J704" s="1340"/>
      <c r="K704" s="1340"/>
      <c r="L704" s="1340"/>
      <c r="M704" s="1340"/>
      <c r="N704" s="1340"/>
      <c r="O704" s="1340"/>
      <c r="P704" s="1340"/>
      <c r="Q704" s="1340"/>
      <c r="R704" s="1340"/>
      <c r="S704" s="1340"/>
      <c r="T704" s="1340"/>
      <c r="U704" s="1340"/>
      <c r="V704" s="1340"/>
      <c r="W704" s="1340"/>
      <c r="X704" s="1340"/>
      <c r="AZ704" s="4" t="s">
        <v>163</v>
      </c>
      <c r="BB704" s="34"/>
      <c r="BC704" s="34"/>
      <c r="BD704" s="34"/>
      <c r="BE704" s="3"/>
      <c r="BF704" s="3"/>
      <c r="BJ704" s="3"/>
      <c r="BK704" s="3"/>
      <c r="BL704" s="3"/>
      <c r="BM704" s="3"/>
      <c r="BN704" s="34"/>
      <c r="BO704" s="34"/>
    </row>
    <row r="705" spans="1:185" ht="12.95" customHeight="1">
      <c r="B705" s="135"/>
      <c r="C705" s="135"/>
      <c r="D705" s="136" t="s">
        <v>88</v>
      </c>
      <c r="J705" s="1495"/>
      <c r="K705" s="1495"/>
      <c r="L705" s="1495"/>
      <c r="M705" s="1495"/>
      <c r="N705" s="1495"/>
      <c r="O705" s="1495"/>
      <c r="P705" s="4" t="s">
        <v>206</v>
      </c>
      <c r="Q705" s="4"/>
      <c r="R705" s="1429"/>
      <c r="S705" s="1429"/>
      <c r="T705" s="142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40" t="s">
        <v>307</v>
      </c>
      <c r="X706" s="1340"/>
      <c r="Y706" s="1340"/>
      <c r="Z706" s="1340"/>
      <c r="AA706" s="1340"/>
      <c r="AB706" s="1340"/>
      <c r="AC706" s="1340"/>
      <c r="AD706" s="1340"/>
      <c r="AE706" s="1340"/>
      <c r="AF706" s="1340"/>
      <c r="AG706" s="1340"/>
      <c r="AH706" s="1340"/>
      <c r="AI706" s="1340"/>
      <c r="AJ706" s="1340"/>
      <c r="AK706" s="134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40" t="s">
        <v>334</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77" t="s">
        <v>389</v>
      </c>
      <c r="C714" s="1378"/>
      <c r="D714" s="1378"/>
      <c r="E714" s="1378"/>
      <c r="F714" s="1379"/>
      <c r="G714" s="1377" t="s">
        <v>285</v>
      </c>
      <c r="H714" s="1378"/>
      <c r="I714" s="1378"/>
      <c r="J714" s="1379"/>
      <c r="K714" s="1526" t="s">
        <v>1680</v>
      </c>
      <c r="L714" s="1527"/>
      <c r="M714" s="1527"/>
      <c r="N714" s="1528"/>
      <c r="O714" s="1377" t="s">
        <v>448</v>
      </c>
      <c r="P714" s="1378"/>
      <c r="Q714" s="1378"/>
      <c r="R714" s="1378"/>
      <c r="S714" s="1379"/>
      <c r="T714" s="1501" t="s">
        <v>1950</v>
      </c>
      <c r="U714" s="1378"/>
      <c r="V714" s="1378"/>
      <c r="W714" s="1379"/>
      <c r="X714" s="1501" t="s">
        <v>1952</v>
      </c>
      <c r="Y714" s="1378"/>
      <c r="Z714" s="1378"/>
      <c r="AA714" s="1378"/>
      <c r="AB714" s="1379"/>
      <c r="AC714" s="1501" t="s">
        <v>1951</v>
      </c>
      <c r="AD714" s="1378"/>
      <c r="AE714" s="1378"/>
      <c r="AF714" s="1378"/>
      <c r="AG714" s="1379"/>
      <c r="AH714" s="1501" t="s">
        <v>1953</v>
      </c>
      <c r="AI714" s="1378"/>
      <c r="AJ714" s="1379"/>
      <c r="AK714" s="1501" t="s">
        <v>1980</v>
      </c>
      <c r="AL714" s="1378"/>
      <c r="AM714" s="1378"/>
      <c r="AN714" s="1378"/>
      <c r="AO714" s="13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80"/>
      <c r="C715" s="1381"/>
      <c r="D715" s="1381"/>
      <c r="E715" s="1381"/>
      <c r="F715" s="1382"/>
      <c r="G715" s="1380"/>
      <c r="H715" s="1381"/>
      <c r="I715" s="1381"/>
      <c r="J715" s="1382"/>
      <c r="K715" s="1529"/>
      <c r="L715" s="1530"/>
      <c r="M715" s="1530"/>
      <c r="N715" s="1531"/>
      <c r="O715" s="1380"/>
      <c r="P715" s="1381"/>
      <c r="Q715" s="1381"/>
      <c r="R715" s="1381"/>
      <c r="S715" s="1382"/>
      <c r="T715" s="1380"/>
      <c r="U715" s="1381"/>
      <c r="V715" s="1381"/>
      <c r="W715" s="1382"/>
      <c r="X715" s="1380"/>
      <c r="Y715" s="1381"/>
      <c r="Z715" s="1381"/>
      <c r="AA715" s="1381"/>
      <c r="AB715" s="1382"/>
      <c r="AC715" s="1380"/>
      <c r="AD715" s="1381"/>
      <c r="AE715" s="1381"/>
      <c r="AF715" s="1381"/>
      <c r="AG715" s="1382"/>
      <c r="AH715" s="1380"/>
      <c r="AI715" s="1381"/>
      <c r="AJ715" s="1382"/>
      <c r="AK715" s="1380"/>
      <c r="AL715" s="1381"/>
      <c r="AM715" s="1381"/>
      <c r="AN715" s="1381"/>
      <c r="AO715" s="13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80"/>
      <c r="C716" s="1381"/>
      <c r="D716" s="1381"/>
      <c r="E716" s="1381"/>
      <c r="F716" s="1382"/>
      <c r="G716" s="1380"/>
      <c r="H716" s="1381"/>
      <c r="I716" s="1381"/>
      <c r="J716" s="1382"/>
      <c r="K716" s="1529"/>
      <c r="L716" s="1530"/>
      <c r="M716" s="1530"/>
      <c r="N716" s="1531"/>
      <c r="O716" s="1380"/>
      <c r="P716" s="1381"/>
      <c r="Q716" s="1381"/>
      <c r="R716" s="1381"/>
      <c r="S716" s="1382"/>
      <c r="T716" s="1380"/>
      <c r="U716" s="1381"/>
      <c r="V716" s="1381"/>
      <c r="W716" s="1382"/>
      <c r="X716" s="1380"/>
      <c r="Y716" s="1381"/>
      <c r="Z716" s="1381"/>
      <c r="AA716" s="1381"/>
      <c r="AB716" s="1382"/>
      <c r="AC716" s="1380"/>
      <c r="AD716" s="1381"/>
      <c r="AE716" s="1381"/>
      <c r="AF716" s="1381"/>
      <c r="AG716" s="1382"/>
      <c r="AH716" s="1380"/>
      <c r="AI716" s="1381"/>
      <c r="AJ716" s="1382"/>
      <c r="AK716" s="1380"/>
      <c r="AL716" s="1381"/>
      <c r="AM716" s="1381"/>
      <c r="AN716" s="1381"/>
      <c r="AO716" s="1382"/>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83"/>
      <c r="C717" s="1384"/>
      <c r="D717" s="1384"/>
      <c r="E717" s="1384"/>
      <c r="F717" s="1385"/>
      <c r="G717" s="1383"/>
      <c r="H717" s="1384"/>
      <c r="I717" s="1384"/>
      <c r="J717" s="1385"/>
      <c r="K717" s="1529"/>
      <c r="L717" s="1530"/>
      <c r="M717" s="1530"/>
      <c r="N717" s="1531"/>
      <c r="O717" s="1383"/>
      <c r="P717" s="1384"/>
      <c r="Q717" s="1384"/>
      <c r="R717" s="1384"/>
      <c r="S717" s="1385"/>
      <c r="T717" s="1383"/>
      <c r="U717" s="1384"/>
      <c r="V717" s="1384"/>
      <c r="W717" s="1385"/>
      <c r="X717" s="1383"/>
      <c r="Y717" s="1384"/>
      <c r="Z717" s="1384"/>
      <c r="AA717" s="1384"/>
      <c r="AB717" s="1385"/>
      <c r="AC717" s="1383"/>
      <c r="AD717" s="1384"/>
      <c r="AE717" s="1384"/>
      <c r="AF717" s="1384"/>
      <c r="AG717" s="1385"/>
      <c r="AH717" s="1383"/>
      <c r="AI717" s="1384"/>
      <c r="AJ717" s="1385"/>
      <c r="AK717" s="1383"/>
      <c r="AL717" s="1384"/>
      <c r="AM717" s="1384"/>
      <c r="AN717" s="1384"/>
      <c r="AO717" s="1385"/>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44"/>
      <c r="CJ717" s="1346"/>
      <c r="CK717" s="121" t="s">
        <v>476</v>
      </c>
      <c r="CL717" s="122"/>
      <c r="CM717" s="1344"/>
      <c r="CN717" s="1346"/>
      <c r="CO717" s="3"/>
      <c r="CP717" s="1687" t="s">
        <v>634</v>
      </c>
      <c r="CQ717" s="1688"/>
      <c r="CR717" s="1688"/>
      <c r="CS717" s="1688"/>
      <c r="CT717" s="1689"/>
      <c r="CU717" s="1685" t="s">
        <v>325</v>
      </c>
      <c r="CV717" s="1685"/>
      <c r="CW717" s="1685"/>
      <c r="CX717" s="1685"/>
      <c r="CY717" s="1685"/>
      <c r="CZ717" s="1685" t="s">
        <v>163</v>
      </c>
      <c r="DA717" s="1685"/>
      <c r="DB717" s="1685"/>
      <c r="DC717" s="1685"/>
      <c r="DD717" s="1685"/>
      <c r="DE717" s="1685" t="s">
        <v>164</v>
      </c>
      <c r="DF717" s="1685"/>
      <c r="DG717" s="1685"/>
      <c r="DH717" s="1685"/>
      <c r="DI717" s="1685"/>
      <c r="DJ717" s="1685" t="s">
        <v>461</v>
      </c>
      <c r="DK717" s="1685"/>
      <c r="DL717" s="1685"/>
      <c r="DM717" s="1685"/>
      <c r="DN717" s="1685"/>
      <c r="DO717" s="1685" t="s">
        <v>30</v>
      </c>
      <c r="DP717" s="1685"/>
      <c r="DQ717" s="1685"/>
      <c r="DR717" s="1685"/>
      <c r="DS717" s="1685"/>
      <c r="DT717" s="89"/>
      <c r="DU717" s="1685" t="s">
        <v>634</v>
      </c>
      <c r="DV717" s="1685"/>
      <c r="DW717" s="1685"/>
      <c r="DX717" s="1685"/>
      <c r="DY717" s="1685"/>
      <c r="DZ717" s="1685" t="s">
        <v>325</v>
      </c>
      <c r="EA717" s="1685"/>
      <c r="EB717" s="1685"/>
      <c r="EC717" s="1685"/>
      <c r="ED717" s="1685"/>
      <c r="EE717" s="1685" t="s">
        <v>163</v>
      </c>
      <c r="EF717" s="1685"/>
      <c r="EG717" s="1685"/>
      <c r="EH717" s="1685"/>
      <c r="EI717" s="1685"/>
      <c r="EJ717" s="1685" t="s">
        <v>164</v>
      </c>
      <c r="EK717" s="1685"/>
      <c r="EL717" s="1685"/>
      <c r="EM717" s="1685"/>
      <c r="EN717" s="1685"/>
      <c r="EO717" s="1685" t="s">
        <v>461</v>
      </c>
      <c r="EP717" s="1685"/>
      <c r="EQ717" s="1685"/>
      <c r="ER717" s="1685"/>
      <c r="ES717" s="1685"/>
      <c r="ET717" s="1685" t="s">
        <v>30</v>
      </c>
      <c r="EU717" s="1685"/>
      <c r="EV717" s="1685"/>
      <c r="EW717" s="1685"/>
      <c r="EX717" s="1685"/>
      <c r="EY717" s="4"/>
      <c r="EZ717" s="1685" t="s">
        <v>634</v>
      </c>
      <c r="FA717" s="1685"/>
      <c r="FB717" s="1685"/>
      <c r="FC717" s="1685"/>
      <c r="FD717" s="1685"/>
      <c r="FE717" s="1685" t="s">
        <v>325</v>
      </c>
      <c r="FF717" s="1685"/>
      <c r="FG717" s="1685"/>
      <c r="FH717" s="1685"/>
      <c r="FI717" s="1685"/>
      <c r="FJ717" s="1685" t="s">
        <v>163</v>
      </c>
      <c r="FK717" s="1685"/>
      <c r="FL717" s="1685"/>
      <c r="FM717" s="1685"/>
      <c r="FN717" s="1685"/>
      <c r="FO717" s="1685" t="s">
        <v>164</v>
      </c>
      <c r="FP717" s="1685"/>
      <c r="FQ717" s="1685"/>
      <c r="FR717" s="1685"/>
      <c r="FS717" s="1685"/>
      <c r="FT717" s="1685" t="s">
        <v>461</v>
      </c>
      <c r="FU717" s="1685"/>
      <c r="FV717" s="1685"/>
      <c r="FW717" s="1685"/>
      <c r="FX717" s="1685"/>
      <c r="FY717" s="1685" t="s">
        <v>30</v>
      </c>
      <c r="FZ717" s="1685"/>
      <c r="GA717" s="1685"/>
      <c r="GB717" s="1685"/>
      <c r="GC717" s="1685"/>
    </row>
    <row r="718" spans="1:185" ht="12.95" customHeight="1">
      <c r="A718" s="4"/>
      <c r="B718" s="1360" t="s">
        <v>324</v>
      </c>
      <c r="C718" s="1361"/>
      <c r="D718" s="1361"/>
      <c r="E718" s="1361"/>
      <c r="F718" s="1362"/>
      <c r="G718" s="1498">
        <v>10</v>
      </c>
      <c r="H718" s="1499"/>
      <c r="I718" s="1499"/>
      <c r="J718" s="1500"/>
      <c r="K718" s="1393">
        <v>450</v>
      </c>
      <c r="L718" s="1394"/>
      <c r="M718" s="1394"/>
      <c r="N718" s="1395"/>
      <c r="O718" s="1389">
        <v>952</v>
      </c>
      <c r="P718" s="1390"/>
      <c r="Q718" s="1390"/>
      <c r="R718" s="1390"/>
      <c r="S718" s="1391"/>
      <c r="T718" s="1389">
        <v>63</v>
      </c>
      <c r="U718" s="1390"/>
      <c r="V718" s="1390"/>
      <c r="W718" s="1391"/>
      <c r="X718" s="1371">
        <f t="shared" ref="X718:X741" si="9">O718+T718</f>
        <v>1015</v>
      </c>
      <c r="Y718" s="1372"/>
      <c r="Z718" s="1372"/>
      <c r="AA718" s="1372"/>
      <c r="AB718" s="1373"/>
      <c r="AC718" s="1625">
        <v>0.3</v>
      </c>
      <c r="AD718" s="1626"/>
      <c r="AE718" s="1626"/>
      <c r="AF718" s="1626"/>
      <c r="AG718" s="1627"/>
      <c r="AH718" s="1426">
        <f>IF($AC718&gt;0,($X718/$AZ718), "")</f>
        <v>0.29994089834515364</v>
      </c>
      <c r="AI718" s="1427"/>
      <c r="AJ718" s="1428"/>
      <c r="AK718" s="1360" t="s">
        <v>1044</v>
      </c>
      <c r="AL718" s="1361"/>
      <c r="AM718" s="1361"/>
      <c r="AN718" s="1361"/>
      <c r="AO718" s="1362"/>
      <c r="AP718" s="3"/>
      <c r="AQ718" s="3"/>
      <c r="AR718" s="3"/>
      <c r="AS718" s="3"/>
      <c r="AZ718" s="118">
        <f t="shared" ref="AZ718:AZ752" si="10">IF($G718=0,"N/A",VLOOKUP($T$189,TC_Rent,(MATCH($B718,bedrooms,FALSE)),FALSE))</f>
        <v>3384</v>
      </c>
      <c r="BA718" s="3"/>
      <c r="BB718" s="3"/>
      <c r="BC718" s="3"/>
      <c r="BD718" s="3"/>
      <c r="BE718" s="204"/>
      <c r="BF718" s="293">
        <f t="shared" ref="BF718:BF752" si="11">G718</f>
        <v>10</v>
      </c>
      <c r="BG718" s="297">
        <f t="shared" ref="BG718:BG752" si="12">IF($BF$753=0,0,BF718/$BF$753)</f>
        <v>8.8495575221238937E-2</v>
      </c>
      <c r="BH718" s="298">
        <f t="shared" ref="BH718:BH752" si="13">IF(BG718=0,"",BG718*AC718)</f>
        <v>2.6548672566371681E-2</v>
      </c>
      <c r="BI718" s="3"/>
      <c r="BJ718" s="3"/>
      <c r="BK718" s="3"/>
      <c r="BL718" s="3"/>
      <c r="BM718" s="3"/>
      <c r="BN718" s="3"/>
      <c r="BS718" s="293">
        <f t="shared" ref="BS718:BS752" si="14">G718</f>
        <v>10</v>
      </c>
      <c r="BT718" s="297">
        <f t="shared" ref="BT718:BT752" si="15">IF($BS$753=0,0,BS718/$BS$753)</f>
        <v>8.8495575221238937E-2</v>
      </c>
      <c r="BU718" s="298">
        <f t="shared" ref="BU718:BU752" si="16">IF(BT718=0,"",BT718*AH718)</f>
        <v>2.6543442331429527E-2</v>
      </c>
      <c r="CC718" s="3"/>
      <c r="CD718" s="3"/>
      <c r="CE718" s="3"/>
      <c r="CF718" s="3"/>
      <c r="CG718" s="1347">
        <f>IF(AND(AC718&lt;=0.5,AC718&gt;=0.36),1,0)</f>
        <v>0</v>
      </c>
      <c r="CH718" s="1349"/>
      <c r="CI718" s="1344">
        <f>IF(CG718=1,G718,0)</f>
        <v>0</v>
      </c>
      <c r="CJ718" s="1346"/>
      <c r="CK718" s="1347">
        <f t="shared" ref="CK718:CK752" si="17">IF(AND(AC718&lt;=0.35,AC718&gt;0),1,0)</f>
        <v>1</v>
      </c>
      <c r="CL718" s="1349"/>
      <c r="CM718" s="1344">
        <f t="shared" ref="CM718:CM752" si="18">IF(CK718=1,G718,0)</f>
        <v>10</v>
      </c>
      <c r="CN718" s="1346"/>
      <c r="CO718" s="3"/>
      <c r="CP718" s="1336">
        <f t="shared" ref="CP718:CP752" si="19">IF(B718="SRO/Studio",G718,0)</f>
        <v>10</v>
      </c>
      <c r="CQ718" s="1337"/>
      <c r="CR718" s="1337"/>
      <c r="CS718" s="1337"/>
      <c r="CT718" s="1338"/>
      <c r="CU718" s="1332">
        <f t="shared" ref="CU718:CU752" si="20">IF(B718="1 Bedroom",G718,0)</f>
        <v>0</v>
      </c>
      <c r="CV718" s="1332"/>
      <c r="CW718" s="1332"/>
      <c r="CX718" s="1332"/>
      <c r="CY718" s="1332"/>
      <c r="CZ718" s="1332">
        <f t="shared" ref="CZ718:CZ752" si="21">IF(B718="2 Bedrooms",G718,0)</f>
        <v>0</v>
      </c>
      <c r="DA718" s="1332"/>
      <c r="DB718" s="1332"/>
      <c r="DC718" s="1332"/>
      <c r="DD718" s="1332"/>
      <c r="DE718" s="1332">
        <f t="shared" ref="DE718:DE752" si="22">IF(B718="3 Bedrooms",G718,0)</f>
        <v>0</v>
      </c>
      <c r="DF718" s="1332"/>
      <c r="DG718" s="1332"/>
      <c r="DH718" s="1332"/>
      <c r="DI718" s="1332"/>
      <c r="DJ718" s="1332">
        <f t="shared" ref="DJ718:DJ752" si="23">IF(B718="4 Bedrooms",G718,0)</f>
        <v>0</v>
      </c>
      <c r="DK718" s="1332"/>
      <c r="DL718" s="1332"/>
      <c r="DM718" s="1332"/>
      <c r="DN718" s="1332"/>
      <c r="DO718" s="1332">
        <f t="shared" ref="DO718:DO752" si="24">IF(B718="5 Bedrooms",G718,0)</f>
        <v>0</v>
      </c>
      <c r="DP718" s="1332"/>
      <c r="DQ718" s="1332"/>
      <c r="DR718" s="1332"/>
      <c r="DS718" s="1332"/>
      <c r="DT718" s="6"/>
      <c r="DU718" s="1397">
        <f t="shared" ref="DU718:DU752" si="25">IF(AND(B718="SRO/Studio",AC718&lt;=0.3),G718,0)</f>
        <v>10</v>
      </c>
      <c r="DV718" s="1397"/>
      <c r="DW718" s="1397"/>
      <c r="DX718" s="1397"/>
      <c r="DY718" s="1397"/>
      <c r="DZ718" s="1397">
        <f t="shared" ref="DZ718:DZ752" si="26">IF(AND(B718="1 Bedroom",AC718&lt;=0.3),G718,0)</f>
        <v>0</v>
      </c>
      <c r="EA718" s="1397"/>
      <c r="EB718" s="1397"/>
      <c r="EC718" s="1397"/>
      <c r="ED718" s="1397"/>
      <c r="EE718" s="1397">
        <f t="shared" ref="EE718:EE752" si="27">IF(AND(B718="2 Bedrooms",AC718&lt;=0.3),G718,0)</f>
        <v>0</v>
      </c>
      <c r="EF718" s="1397"/>
      <c r="EG718" s="1397"/>
      <c r="EH718" s="1397"/>
      <c r="EI718" s="1397"/>
      <c r="EJ718" s="1397">
        <f t="shared" ref="EJ718:EJ752" si="28">IF(AND(B718="3 Bedrooms",AC718&lt;=0.3),G718,0)</f>
        <v>0</v>
      </c>
      <c r="EK718" s="1397"/>
      <c r="EL718" s="1397"/>
      <c r="EM718" s="1397"/>
      <c r="EN718" s="1397"/>
      <c r="EO718" s="1397">
        <f t="shared" ref="EO718:EO752" si="29">IF(AND(B718="4 Bedrooms",AC718&lt;=0.3),G718,0)</f>
        <v>0</v>
      </c>
      <c r="EP718" s="1397"/>
      <c r="EQ718" s="1397"/>
      <c r="ER718" s="1397"/>
      <c r="ES718" s="1397"/>
      <c r="ET718" s="1397">
        <f t="shared" ref="ET718:ET752" si="30">IF(AND(B718="5 Bedrooms",AC718&lt;=0.3),G718,0)</f>
        <v>0</v>
      </c>
      <c r="EU718" s="1397"/>
      <c r="EV718" s="1397"/>
      <c r="EW718" s="1397"/>
      <c r="EX718" s="1397"/>
      <c r="EY718" s="4"/>
      <c r="EZ718" s="1347">
        <f t="shared" ref="EZ718:EZ752" si="31">IF(CP718&gt;0,O718,"")</f>
        <v>952</v>
      </c>
      <c r="FA718" s="1348"/>
      <c r="FB718" s="1348"/>
      <c r="FC718" s="1348"/>
      <c r="FD718" s="1349"/>
      <c r="FE718" s="1347" t="str">
        <f t="shared" ref="FE718:FE752" si="32">IF(CU718&gt;0,O718,"")</f>
        <v/>
      </c>
      <c r="FF718" s="1348"/>
      <c r="FG718" s="1348"/>
      <c r="FH718" s="1348"/>
      <c r="FI718" s="1349"/>
      <c r="FJ718" s="1347" t="str">
        <f t="shared" ref="FJ718:FJ752" si="33">IF(CZ718&gt;0,O718,"")</f>
        <v/>
      </c>
      <c r="FK718" s="1348"/>
      <c r="FL718" s="1348"/>
      <c r="FM718" s="1348"/>
      <c r="FN718" s="1349"/>
      <c r="FO718" s="1347" t="str">
        <f t="shared" ref="FO718:FO752" si="34">IF(DE718&gt;0,O718,"")</f>
        <v/>
      </c>
      <c r="FP718" s="1348"/>
      <c r="FQ718" s="1348"/>
      <c r="FR718" s="1348"/>
      <c r="FS718" s="1349"/>
      <c r="FT718" s="1347" t="str">
        <f t="shared" ref="FT718:FT752" si="35">IF(DJ718&gt;0,O718,"")</f>
        <v/>
      </c>
      <c r="FU718" s="1348"/>
      <c r="FV718" s="1348"/>
      <c r="FW718" s="1348"/>
      <c r="FX718" s="1349"/>
      <c r="FY718" s="1347" t="str">
        <f t="shared" ref="FY718:FY752" si="36">IF(DO718&gt;0,O718,"")</f>
        <v/>
      </c>
      <c r="FZ718" s="1348"/>
      <c r="GA718" s="1348"/>
      <c r="GB718" s="1348"/>
      <c r="GC718" s="1349"/>
    </row>
    <row r="719" spans="1:185" ht="12.95" customHeight="1">
      <c r="A719" s="4"/>
      <c r="B719" s="1360" t="s">
        <v>324</v>
      </c>
      <c r="C719" s="1361"/>
      <c r="D719" s="1361"/>
      <c r="E719" s="1361"/>
      <c r="F719" s="1362"/>
      <c r="G719" s="1498">
        <v>10</v>
      </c>
      <c r="H719" s="1499"/>
      <c r="I719" s="1499"/>
      <c r="J719" s="1500"/>
      <c r="K719" s="1393">
        <v>450</v>
      </c>
      <c r="L719" s="1394"/>
      <c r="M719" s="1394"/>
      <c r="N719" s="1395"/>
      <c r="O719" s="1389">
        <v>1291</v>
      </c>
      <c r="P719" s="1390"/>
      <c r="Q719" s="1390"/>
      <c r="R719" s="1390"/>
      <c r="S719" s="1391"/>
      <c r="T719" s="1389">
        <v>63</v>
      </c>
      <c r="U719" s="1390"/>
      <c r="V719" s="1390"/>
      <c r="W719" s="1391"/>
      <c r="X719" s="1371">
        <f t="shared" si="9"/>
        <v>1354</v>
      </c>
      <c r="Y719" s="1372"/>
      <c r="Z719" s="1372"/>
      <c r="AA719" s="1372"/>
      <c r="AB719" s="1373"/>
      <c r="AC719" s="1625">
        <v>0.4</v>
      </c>
      <c r="AD719" s="1626"/>
      <c r="AE719" s="1626"/>
      <c r="AF719" s="1626"/>
      <c r="AG719" s="1627"/>
      <c r="AH719" s="1426">
        <f t="shared" ref="AH719:AH752" si="37">IF($AC719&gt;0,($X719/$AZ719), "")</f>
        <v>0.40011820330969267</v>
      </c>
      <c r="AI719" s="1427"/>
      <c r="AJ719" s="1428"/>
      <c r="AK719" s="1360" t="s">
        <v>592</v>
      </c>
      <c r="AL719" s="1361"/>
      <c r="AM719" s="1361"/>
      <c r="AN719" s="1361"/>
      <c r="AO719" s="1362"/>
      <c r="AP719" s="3"/>
      <c r="AQ719" s="3"/>
      <c r="AR719" s="3"/>
      <c r="AS719" s="3"/>
      <c r="AZ719" s="118">
        <f t="shared" si="10"/>
        <v>3384</v>
      </c>
      <c r="BA719" s="3"/>
      <c r="BB719" s="3"/>
      <c r="BC719" s="3"/>
      <c r="BD719" s="3"/>
      <c r="BE719" s="204"/>
      <c r="BF719" s="294">
        <f t="shared" si="11"/>
        <v>10</v>
      </c>
      <c r="BG719" s="297">
        <f t="shared" si="12"/>
        <v>8.8495575221238937E-2</v>
      </c>
      <c r="BH719" s="298">
        <f t="shared" si="13"/>
        <v>3.5398230088495575E-2</v>
      </c>
      <c r="BI719" s="3"/>
      <c r="BJ719" s="3"/>
      <c r="BK719" s="3"/>
      <c r="BL719" s="3"/>
      <c r="BM719" s="3"/>
      <c r="BN719" s="3"/>
      <c r="BS719" s="294">
        <f t="shared" si="14"/>
        <v>10</v>
      </c>
      <c r="BT719" s="297">
        <f t="shared" si="15"/>
        <v>8.8495575221238937E-2</v>
      </c>
      <c r="BU719" s="298">
        <f t="shared" si="16"/>
        <v>3.5408690558379884E-2</v>
      </c>
      <c r="CC719" s="3"/>
      <c r="CD719" s="3"/>
      <c r="CE719" s="3"/>
      <c r="CF719" s="3"/>
      <c r="CG719" s="1347">
        <f t="shared" ref="CG719:CG752" si="38">IF(AND(AC719&lt;=0.5,AC719&gt;=0.36),1,0)</f>
        <v>1</v>
      </c>
      <c r="CH719" s="1349"/>
      <c r="CI719" s="1344">
        <f t="shared" ref="CI719:CI752" si="39">IF(CG719=1,G719,0)</f>
        <v>10</v>
      </c>
      <c r="CJ719" s="1346"/>
      <c r="CK719" s="1347">
        <f t="shared" si="17"/>
        <v>0</v>
      </c>
      <c r="CL719" s="1349"/>
      <c r="CM719" s="1344">
        <f t="shared" si="18"/>
        <v>0</v>
      </c>
      <c r="CN719" s="1346"/>
      <c r="CO719" s="3"/>
      <c r="CP719" s="1336">
        <f t="shared" si="19"/>
        <v>10</v>
      </c>
      <c r="CQ719" s="1337"/>
      <c r="CR719" s="1337"/>
      <c r="CS719" s="1337"/>
      <c r="CT719" s="1338"/>
      <c r="CU719" s="1332">
        <f t="shared" si="20"/>
        <v>0</v>
      </c>
      <c r="CV719" s="1332"/>
      <c r="CW719" s="1332"/>
      <c r="CX719" s="1332"/>
      <c r="CY719" s="1332"/>
      <c r="CZ719" s="1332">
        <f t="shared" si="21"/>
        <v>0</v>
      </c>
      <c r="DA719" s="1332"/>
      <c r="DB719" s="1332"/>
      <c r="DC719" s="1332"/>
      <c r="DD719" s="1332"/>
      <c r="DE719" s="1332">
        <f t="shared" si="22"/>
        <v>0</v>
      </c>
      <c r="DF719" s="1332"/>
      <c r="DG719" s="1332"/>
      <c r="DH719" s="1332"/>
      <c r="DI719" s="1332"/>
      <c r="DJ719" s="1332">
        <f t="shared" si="23"/>
        <v>0</v>
      </c>
      <c r="DK719" s="1332"/>
      <c r="DL719" s="1332"/>
      <c r="DM719" s="1332"/>
      <c r="DN719" s="1332"/>
      <c r="DO719" s="1332">
        <f t="shared" si="24"/>
        <v>0</v>
      </c>
      <c r="DP719" s="1332"/>
      <c r="DQ719" s="1332"/>
      <c r="DR719" s="1332"/>
      <c r="DS719" s="1332"/>
      <c r="DT719" s="6"/>
      <c r="DU719" s="1397">
        <f t="shared" si="25"/>
        <v>0</v>
      </c>
      <c r="DV719" s="1397"/>
      <c r="DW719" s="1397"/>
      <c r="DX719" s="1397"/>
      <c r="DY719" s="1397"/>
      <c r="DZ719" s="1397">
        <f t="shared" si="26"/>
        <v>0</v>
      </c>
      <c r="EA719" s="1397"/>
      <c r="EB719" s="1397"/>
      <c r="EC719" s="1397"/>
      <c r="ED719" s="1397"/>
      <c r="EE719" s="1397">
        <f t="shared" si="27"/>
        <v>0</v>
      </c>
      <c r="EF719" s="1397"/>
      <c r="EG719" s="1397"/>
      <c r="EH719" s="1397"/>
      <c r="EI719" s="1397"/>
      <c r="EJ719" s="1397">
        <f t="shared" si="28"/>
        <v>0</v>
      </c>
      <c r="EK719" s="1397"/>
      <c r="EL719" s="1397"/>
      <c r="EM719" s="1397"/>
      <c r="EN719" s="1397"/>
      <c r="EO719" s="1397">
        <f t="shared" si="29"/>
        <v>0</v>
      </c>
      <c r="EP719" s="1397"/>
      <c r="EQ719" s="1397"/>
      <c r="ER719" s="1397"/>
      <c r="ES719" s="1397"/>
      <c r="ET719" s="1397">
        <f t="shared" si="30"/>
        <v>0</v>
      </c>
      <c r="EU719" s="1397"/>
      <c r="EV719" s="1397"/>
      <c r="EW719" s="1397"/>
      <c r="EX719" s="1397"/>
      <c r="EY719" s="4"/>
      <c r="EZ719" s="1347">
        <f t="shared" si="31"/>
        <v>1291</v>
      </c>
      <c r="FA719" s="1348"/>
      <c r="FB719" s="1348"/>
      <c r="FC719" s="1348"/>
      <c r="FD719" s="1349"/>
      <c r="FE719" s="1347" t="str">
        <f t="shared" si="32"/>
        <v/>
      </c>
      <c r="FF719" s="1348"/>
      <c r="FG719" s="1348"/>
      <c r="FH719" s="1348"/>
      <c r="FI719" s="1349"/>
      <c r="FJ719" s="1347" t="str">
        <f t="shared" si="33"/>
        <v/>
      </c>
      <c r="FK719" s="1348"/>
      <c r="FL719" s="1348"/>
      <c r="FM719" s="1348"/>
      <c r="FN719" s="1349"/>
      <c r="FO719" s="1347" t="str">
        <f t="shared" si="34"/>
        <v/>
      </c>
      <c r="FP719" s="1348"/>
      <c r="FQ719" s="1348"/>
      <c r="FR719" s="1348"/>
      <c r="FS719" s="1349"/>
      <c r="FT719" s="1347" t="str">
        <f t="shared" si="35"/>
        <v/>
      </c>
      <c r="FU719" s="1348"/>
      <c r="FV719" s="1348"/>
      <c r="FW719" s="1348"/>
      <c r="FX719" s="1349"/>
      <c r="FY719" s="1347" t="str">
        <f t="shared" si="36"/>
        <v/>
      </c>
      <c r="FZ719" s="1348"/>
      <c r="GA719" s="1348"/>
      <c r="GB719" s="1348"/>
      <c r="GC719" s="1349"/>
    </row>
    <row r="720" spans="1:185" ht="12.95" customHeight="1">
      <c r="A720" s="4"/>
      <c r="B720" s="1360" t="s">
        <v>324</v>
      </c>
      <c r="C720" s="1361"/>
      <c r="D720" s="1361"/>
      <c r="E720" s="1361"/>
      <c r="F720" s="1362"/>
      <c r="G720" s="1498">
        <v>10</v>
      </c>
      <c r="H720" s="1499"/>
      <c r="I720" s="1499"/>
      <c r="J720" s="1500"/>
      <c r="K720" s="1393">
        <v>450</v>
      </c>
      <c r="L720" s="1394"/>
      <c r="M720" s="1394"/>
      <c r="N720" s="1395"/>
      <c r="O720" s="1389">
        <v>1629</v>
      </c>
      <c r="P720" s="1390"/>
      <c r="Q720" s="1390"/>
      <c r="R720" s="1390"/>
      <c r="S720" s="1391"/>
      <c r="T720" s="1389">
        <v>63</v>
      </c>
      <c r="U720" s="1390"/>
      <c r="V720" s="1390"/>
      <c r="W720" s="1391"/>
      <c r="X720" s="1371">
        <f t="shared" si="9"/>
        <v>1692</v>
      </c>
      <c r="Y720" s="1372"/>
      <c r="Z720" s="1372"/>
      <c r="AA720" s="1372"/>
      <c r="AB720" s="1373"/>
      <c r="AC720" s="1625">
        <v>0.5</v>
      </c>
      <c r="AD720" s="1626"/>
      <c r="AE720" s="1626"/>
      <c r="AF720" s="1626"/>
      <c r="AG720" s="1627"/>
      <c r="AH720" s="1426">
        <f t="shared" si="37"/>
        <v>0.5</v>
      </c>
      <c r="AI720" s="1427"/>
      <c r="AJ720" s="1428"/>
      <c r="AK720" s="1360" t="s">
        <v>592</v>
      </c>
      <c r="AL720" s="1361"/>
      <c r="AM720" s="1361"/>
      <c r="AN720" s="1361"/>
      <c r="AO720" s="1362"/>
      <c r="AP720" s="3"/>
      <c r="AQ720" s="3"/>
      <c r="AR720" s="3"/>
      <c r="AS720" s="3"/>
      <c r="AZ720" s="118">
        <f t="shared" si="10"/>
        <v>3384</v>
      </c>
      <c r="BA720" s="3"/>
      <c r="BB720" s="3"/>
      <c r="BC720" s="3"/>
      <c r="BD720" s="3"/>
      <c r="BE720" s="204"/>
      <c r="BF720" s="294">
        <f t="shared" si="11"/>
        <v>10</v>
      </c>
      <c r="BG720" s="297">
        <f t="shared" si="12"/>
        <v>8.8495575221238937E-2</v>
      </c>
      <c r="BH720" s="298">
        <f t="shared" si="13"/>
        <v>4.4247787610619468E-2</v>
      </c>
      <c r="BI720" s="3"/>
      <c r="BJ720" s="3"/>
      <c r="BK720" s="3"/>
      <c r="BL720" s="3"/>
      <c r="BM720" s="3"/>
      <c r="BN720" s="3"/>
      <c r="BS720" s="294">
        <f t="shared" si="14"/>
        <v>10</v>
      </c>
      <c r="BT720" s="297">
        <f t="shared" si="15"/>
        <v>8.8495575221238937E-2</v>
      </c>
      <c r="BU720" s="298">
        <f t="shared" si="16"/>
        <v>4.4247787610619468E-2</v>
      </c>
      <c r="CC720" s="3"/>
      <c r="CD720" s="3"/>
      <c r="CE720" s="3"/>
      <c r="CF720" s="3"/>
      <c r="CG720" s="1347">
        <f t="shared" si="38"/>
        <v>1</v>
      </c>
      <c r="CH720" s="1349"/>
      <c r="CI720" s="1344">
        <f t="shared" si="39"/>
        <v>10</v>
      </c>
      <c r="CJ720" s="1346"/>
      <c r="CK720" s="1347">
        <f t="shared" si="17"/>
        <v>0</v>
      </c>
      <c r="CL720" s="1349"/>
      <c r="CM720" s="1344">
        <f t="shared" si="18"/>
        <v>0</v>
      </c>
      <c r="CN720" s="1346"/>
      <c r="CO720" s="3"/>
      <c r="CP720" s="1336">
        <f t="shared" si="19"/>
        <v>10</v>
      </c>
      <c r="CQ720" s="1337"/>
      <c r="CR720" s="1337"/>
      <c r="CS720" s="1337"/>
      <c r="CT720" s="1338"/>
      <c r="CU720" s="1332">
        <f t="shared" si="20"/>
        <v>0</v>
      </c>
      <c r="CV720" s="1332"/>
      <c r="CW720" s="1332"/>
      <c r="CX720" s="1332"/>
      <c r="CY720" s="1332"/>
      <c r="CZ720" s="1332">
        <f t="shared" si="21"/>
        <v>0</v>
      </c>
      <c r="DA720" s="1332"/>
      <c r="DB720" s="1332"/>
      <c r="DC720" s="1332"/>
      <c r="DD720" s="1332"/>
      <c r="DE720" s="1332">
        <f t="shared" si="22"/>
        <v>0</v>
      </c>
      <c r="DF720" s="1332"/>
      <c r="DG720" s="1332"/>
      <c r="DH720" s="1332"/>
      <c r="DI720" s="1332"/>
      <c r="DJ720" s="1332">
        <f t="shared" si="23"/>
        <v>0</v>
      </c>
      <c r="DK720" s="1332"/>
      <c r="DL720" s="1332"/>
      <c r="DM720" s="1332"/>
      <c r="DN720" s="1332"/>
      <c r="DO720" s="1332">
        <f t="shared" si="24"/>
        <v>0</v>
      </c>
      <c r="DP720" s="1332"/>
      <c r="DQ720" s="1332"/>
      <c r="DR720" s="1332"/>
      <c r="DS720" s="1332"/>
      <c r="DT720" s="6"/>
      <c r="DU720" s="1397">
        <f t="shared" si="25"/>
        <v>0</v>
      </c>
      <c r="DV720" s="1397"/>
      <c r="DW720" s="1397"/>
      <c r="DX720" s="1397"/>
      <c r="DY720" s="1397"/>
      <c r="DZ720" s="1397">
        <f t="shared" si="26"/>
        <v>0</v>
      </c>
      <c r="EA720" s="1397"/>
      <c r="EB720" s="1397"/>
      <c r="EC720" s="1397"/>
      <c r="ED720" s="1397"/>
      <c r="EE720" s="1397">
        <f t="shared" si="27"/>
        <v>0</v>
      </c>
      <c r="EF720" s="1397"/>
      <c r="EG720" s="1397"/>
      <c r="EH720" s="1397"/>
      <c r="EI720" s="1397"/>
      <c r="EJ720" s="1397">
        <f t="shared" si="28"/>
        <v>0</v>
      </c>
      <c r="EK720" s="1397"/>
      <c r="EL720" s="1397"/>
      <c r="EM720" s="1397"/>
      <c r="EN720" s="1397"/>
      <c r="EO720" s="1397">
        <f t="shared" si="29"/>
        <v>0</v>
      </c>
      <c r="EP720" s="1397"/>
      <c r="EQ720" s="1397"/>
      <c r="ER720" s="1397"/>
      <c r="ES720" s="1397"/>
      <c r="ET720" s="1397">
        <f t="shared" si="30"/>
        <v>0</v>
      </c>
      <c r="EU720" s="1397"/>
      <c r="EV720" s="1397"/>
      <c r="EW720" s="1397"/>
      <c r="EX720" s="1397"/>
      <c r="EZ720" s="1347">
        <f t="shared" si="31"/>
        <v>1629</v>
      </c>
      <c r="FA720" s="1348"/>
      <c r="FB720" s="1348"/>
      <c r="FC720" s="1348"/>
      <c r="FD720" s="1349"/>
      <c r="FE720" s="1347" t="str">
        <f t="shared" si="32"/>
        <v/>
      </c>
      <c r="FF720" s="1348"/>
      <c r="FG720" s="1348"/>
      <c r="FH720" s="1348"/>
      <c r="FI720" s="1349"/>
      <c r="FJ720" s="1347" t="str">
        <f t="shared" si="33"/>
        <v/>
      </c>
      <c r="FK720" s="1348"/>
      <c r="FL720" s="1348"/>
      <c r="FM720" s="1348"/>
      <c r="FN720" s="1349"/>
      <c r="FO720" s="1347" t="str">
        <f t="shared" si="34"/>
        <v/>
      </c>
      <c r="FP720" s="1348"/>
      <c r="FQ720" s="1348"/>
      <c r="FR720" s="1348"/>
      <c r="FS720" s="1349"/>
      <c r="FT720" s="1347" t="str">
        <f t="shared" si="35"/>
        <v/>
      </c>
      <c r="FU720" s="1348"/>
      <c r="FV720" s="1348"/>
      <c r="FW720" s="1348"/>
      <c r="FX720" s="1349"/>
      <c r="FY720" s="1347" t="str">
        <f t="shared" si="36"/>
        <v/>
      </c>
      <c r="FZ720" s="1348"/>
      <c r="GA720" s="1348"/>
      <c r="GB720" s="1348"/>
      <c r="GC720" s="1349"/>
    </row>
    <row r="721" spans="1:185" ht="12.95" customHeight="1">
      <c r="B721" s="1360" t="s">
        <v>325</v>
      </c>
      <c r="C721" s="1361"/>
      <c r="D721" s="1361"/>
      <c r="E721" s="1361"/>
      <c r="F721" s="1362"/>
      <c r="G721" s="1498">
        <v>10</v>
      </c>
      <c r="H721" s="1499"/>
      <c r="I721" s="1499"/>
      <c r="J721" s="1500"/>
      <c r="K721" s="1393">
        <v>615</v>
      </c>
      <c r="L721" s="1394"/>
      <c r="M721" s="1394"/>
      <c r="N721" s="1395"/>
      <c r="O721" s="1389">
        <v>1012</v>
      </c>
      <c r="P721" s="1390"/>
      <c r="Q721" s="1390"/>
      <c r="R721" s="1390"/>
      <c r="S721" s="1391"/>
      <c r="T721" s="1389">
        <v>76</v>
      </c>
      <c r="U721" s="1390"/>
      <c r="V721" s="1390"/>
      <c r="W721" s="1391"/>
      <c r="X721" s="1371">
        <f t="shared" si="9"/>
        <v>1088</v>
      </c>
      <c r="Y721" s="1372"/>
      <c r="Z721" s="1372"/>
      <c r="AA721" s="1372"/>
      <c r="AB721" s="1373"/>
      <c r="AC721" s="1625">
        <v>0.3</v>
      </c>
      <c r="AD721" s="1626"/>
      <c r="AE721" s="1626"/>
      <c r="AF721" s="1626"/>
      <c r="AG721" s="1627"/>
      <c r="AH721" s="1426">
        <f t="shared" si="37"/>
        <v>0.30005515719801434</v>
      </c>
      <c r="AI721" s="1427"/>
      <c r="AJ721" s="1428"/>
      <c r="AK721" s="1360" t="s">
        <v>1044</v>
      </c>
      <c r="AL721" s="1361"/>
      <c r="AM721" s="1361"/>
      <c r="AN721" s="1361"/>
      <c r="AO721" s="1362"/>
      <c r="AP721" s="3"/>
      <c r="AQ721" s="3"/>
      <c r="AR721" s="3"/>
      <c r="AS721" s="3"/>
      <c r="AY721" s="116"/>
      <c r="AZ721" s="118">
        <f t="shared" si="10"/>
        <v>3626</v>
      </c>
      <c r="BA721" s="3"/>
      <c r="BB721" s="3"/>
      <c r="BC721" s="3"/>
      <c r="BD721" s="3"/>
      <c r="BE721" s="204"/>
      <c r="BF721" s="294">
        <f t="shared" si="11"/>
        <v>10</v>
      </c>
      <c r="BG721" s="297">
        <f t="shared" si="12"/>
        <v>8.8495575221238937E-2</v>
      </c>
      <c r="BH721" s="298">
        <f t="shared" si="13"/>
        <v>2.6548672566371681E-2</v>
      </c>
      <c r="BI721" s="3"/>
      <c r="BJ721" s="3"/>
      <c r="BK721" s="3"/>
      <c r="BL721" s="3"/>
      <c r="BM721" s="3"/>
      <c r="BN721" s="3"/>
      <c r="BS721" s="294">
        <f t="shared" si="14"/>
        <v>10</v>
      </c>
      <c r="BT721" s="297">
        <f t="shared" si="15"/>
        <v>8.8495575221238937E-2</v>
      </c>
      <c r="BU721" s="298">
        <f t="shared" si="16"/>
        <v>2.6553553734337553E-2</v>
      </c>
      <c r="CC721" s="3"/>
      <c r="CD721" s="3"/>
      <c r="CE721" s="3"/>
      <c r="CF721" s="3"/>
      <c r="CG721" s="1347">
        <f t="shared" si="38"/>
        <v>0</v>
      </c>
      <c r="CH721" s="1349"/>
      <c r="CI721" s="1344">
        <f t="shared" si="39"/>
        <v>0</v>
      </c>
      <c r="CJ721" s="1346"/>
      <c r="CK721" s="1347">
        <f t="shared" si="17"/>
        <v>1</v>
      </c>
      <c r="CL721" s="1349"/>
      <c r="CM721" s="1344">
        <f t="shared" si="18"/>
        <v>10</v>
      </c>
      <c r="CN721" s="1346"/>
      <c r="CO721" s="3"/>
      <c r="CP721" s="1336">
        <f t="shared" si="19"/>
        <v>0</v>
      </c>
      <c r="CQ721" s="1337"/>
      <c r="CR721" s="1337"/>
      <c r="CS721" s="1337"/>
      <c r="CT721" s="1338"/>
      <c r="CU721" s="1332">
        <f t="shared" si="20"/>
        <v>10</v>
      </c>
      <c r="CV721" s="1332"/>
      <c r="CW721" s="1332"/>
      <c r="CX721" s="1332"/>
      <c r="CY721" s="1332"/>
      <c r="CZ721" s="1332">
        <f t="shared" si="21"/>
        <v>0</v>
      </c>
      <c r="DA721" s="1332"/>
      <c r="DB721" s="1332"/>
      <c r="DC721" s="1332"/>
      <c r="DD721" s="1332"/>
      <c r="DE721" s="1332">
        <f t="shared" si="22"/>
        <v>0</v>
      </c>
      <c r="DF721" s="1332"/>
      <c r="DG721" s="1332"/>
      <c r="DH721" s="1332"/>
      <c r="DI721" s="1332"/>
      <c r="DJ721" s="1332">
        <f t="shared" si="23"/>
        <v>0</v>
      </c>
      <c r="DK721" s="1332"/>
      <c r="DL721" s="1332"/>
      <c r="DM721" s="1332"/>
      <c r="DN721" s="1332"/>
      <c r="DO721" s="1332">
        <f t="shared" si="24"/>
        <v>0</v>
      </c>
      <c r="DP721" s="1332"/>
      <c r="DQ721" s="1332"/>
      <c r="DR721" s="1332"/>
      <c r="DS721" s="1332"/>
      <c r="DT721" s="6"/>
      <c r="DU721" s="1397">
        <f t="shared" si="25"/>
        <v>0</v>
      </c>
      <c r="DV721" s="1397"/>
      <c r="DW721" s="1397"/>
      <c r="DX721" s="1397"/>
      <c r="DY721" s="1397"/>
      <c r="DZ721" s="1397">
        <f t="shared" si="26"/>
        <v>10</v>
      </c>
      <c r="EA721" s="1397"/>
      <c r="EB721" s="1397"/>
      <c r="EC721" s="1397"/>
      <c r="ED721" s="1397"/>
      <c r="EE721" s="1397">
        <f t="shared" si="27"/>
        <v>0</v>
      </c>
      <c r="EF721" s="1397"/>
      <c r="EG721" s="1397"/>
      <c r="EH721" s="1397"/>
      <c r="EI721" s="1397"/>
      <c r="EJ721" s="1397">
        <f t="shared" si="28"/>
        <v>0</v>
      </c>
      <c r="EK721" s="1397"/>
      <c r="EL721" s="1397"/>
      <c r="EM721" s="1397"/>
      <c r="EN721" s="1397"/>
      <c r="EO721" s="1397">
        <f t="shared" si="29"/>
        <v>0</v>
      </c>
      <c r="EP721" s="1397"/>
      <c r="EQ721" s="1397"/>
      <c r="ER721" s="1397"/>
      <c r="ES721" s="1397"/>
      <c r="ET721" s="1397">
        <f t="shared" si="30"/>
        <v>0</v>
      </c>
      <c r="EU721" s="1397"/>
      <c r="EV721" s="1397"/>
      <c r="EW721" s="1397"/>
      <c r="EX721" s="1397"/>
      <c r="EZ721" s="1347" t="str">
        <f t="shared" si="31"/>
        <v/>
      </c>
      <c r="FA721" s="1348"/>
      <c r="FB721" s="1348"/>
      <c r="FC721" s="1348"/>
      <c r="FD721" s="1349"/>
      <c r="FE721" s="1347">
        <f t="shared" si="32"/>
        <v>1012</v>
      </c>
      <c r="FF721" s="1348"/>
      <c r="FG721" s="1348"/>
      <c r="FH721" s="1348"/>
      <c r="FI721" s="1349"/>
      <c r="FJ721" s="1347" t="str">
        <f t="shared" si="33"/>
        <v/>
      </c>
      <c r="FK721" s="1348"/>
      <c r="FL721" s="1348"/>
      <c r="FM721" s="1348"/>
      <c r="FN721" s="1349"/>
      <c r="FO721" s="1347" t="str">
        <f t="shared" si="34"/>
        <v/>
      </c>
      <c r="FP721" s="1348"/>
      <c r="FQ721" s="1348"/>
      <c r="FR721" s="1348"/>
      <c r="FS721" s="1349"/>
      <c r="FT721" s="1347" t="str">
        <f t="shared" si="35"/>
        <v/>
      </c>
      <c r="FU721" s="1348"/>
      <c r="FV721" s="1348"/>
      <c r="FW721" s="1348"/>
      <c r="FX721" s="1349"/>
      <c r="FY721" s="1347" t="str">
        <f t="shared" si="36"/>
        <v/>
      </c>
      <c r="FZ721" s="1348"/>
      <c r="GA721" s="1348"/>
      <c r="GB721" s="1348"/>
      <c r="GC721" s="1349"/>
    </row>
    <row r="722" spans="1:185" ht="12.95" customHeight="1">
      <c r="B722" s="1360" t="s">
        <v>325</v>
      </c>
      <c r="C722" s="1361"/>
      <c r="D722" s="1361"/>
      <c r="E722" s="1361"/>
      <c r="F722" s="1362"/>
      <c r="G722" s="1498">
        <v>5</v>
      </c>
      <c r="H722" s="1499"/>
      <c r="I722" s="1499"/>
      <c r="J722" s="1500"/>
      <c r="K722" s="1393">
        <v>615</v>
      </c>
      <c r="L722" s="1394"/>
      <c r="M722" s="1394"/>
      <c r="N722" s="1395"/>
      <c r="O722" s="1389">
        <v>1375</v>
      </c>
      <c r="P722" s="1390"/>
      <c r="Q722" s="1390"/>
      <c r="R722" s="1390"/>
      <c r="S722" s="1391"/>
      <c r="T722" s="1389">
        <v>76</v>
      </c>
      <c r="U722" s="1390"/>
      <c r="V722" s="1390"/>
      <c r="W722" s="1391"/>
      <c r="X722" s="1371">
        <f t="shared" si="9"/>
        <v>1451</v>
      </c>
      <c r="Y722" s="1372"/>
      <c r="Z722" s="1372"/>
      <c r="AA722" s="1372"/>
      <c r="AB722" s="1373"/>
      <c r="AC722" s="1625">
        <v>0.4</v>
      </c>
      <c r="AD722" s="1626"/>
      <c r="AE722" s="1626"/>
      <c r="AF722" s="1626"/>
      <c r="AG722" s="1627"/>
      <c r="AH722" s="1426">
        <f t="shared" si="37"/>
        <v>0.40016547159404303</v>
      </c>
      <c r="AI722" s="1427"/>
      <c r="AJ722" s="1428"/>
      <c r="AK722" s="1360" t="s">
        <v>592</v>
      </c>
      <c r="AL722" s="1361"/>
      <c r="AM722" s="1361"/>
      <c r="AN722" s="1361"/>
      <c r="AO722" s="1362"/>
      <c r="AP722" s="3"/>
      <c r="AQ722" s="3"/>
      <c r="AR722" s="3"/>
      <c r="AS722" s="3"/>
      <c r="AY722" s="116"/>
      <c r="AZ722" s="118">
        <f t="shared" si="10"/>
        <v>3626</v>
      </c>
      <c r="BA722" s="3"/>
      <c r="BB722" s="3"/>
      <c r="BC722" s="3"/>
      <c r="BD722" s="3"/>
      <c r="BE722" s="204"/>
      <c r="BF722" s="294">
        <f t="shared" si="11"/>
        <v>5</v>
      </c>
      <c r="BG722" s="297">
        <f t="shared" si="12"/>
        <v>4.4247787610619468E-2</v>
      </c>
      <c r="BH722" s="298">
        <f t="shared" si="13"/>
        <v>1.7699115044247787E-2</v>
      </c>
      <c r="BI722" s="3"/>
      <c r="BJ722" s="3"/>
      <c r="BK722" s="3"/>
      <c r="BL722" s="3"/>
      <c r="BM722" s="3"/>
      <c r="BN722" s="3"/>
      <c r="BS722" s="294">
        <f t="shared" si="14"/>
        <v>5</v>
      </c>
      <c r="BT722" s="297">
        <f t="shared" si="15"/>
        <v>4.4247787610619468E-2</v>
      </c>
      <c r="BU722" s="298">
        <f t="shared" si="16"/>
        <v>1.7706436796196594E-2</v>
      </c>
      <c r="CC722" s="3"/>
      <c r="CD722" s="3"/>
      <c r="CE722" s="3"/>
      <c r="CF722" s="3"/>
      <c r="CG722" s="1347">
        <f t="shared" si="38"/>
        <v>1</v>
      </c>
      <c r="CH722" s="1349"/>
      <c r="CI722" s="1344">
        <f t="shared" si="39"/>
        <v>5</v>
      </c>
      <c r="CJ722" s="1346"/>
      <c r="CK722" s="1347">
        <f t="shared" si="17"/>
        <v>0</v>
      </c>
      <c r="CL722" s="1349"/>
      <c r="CM722" s="1344">
        <f t="shared" si="18"/>
        <v>0</v>
      </c>
      <c r="CN722" s="1346"/>
      <c r="CO722" s="3"/>
      <c r="CP722" s="1336">
        <f t="shared" si="19"/>
        <v>0</v>
      </c>
      <c r="CQ722" s="1337"/>
      <c r="CR722" s="1337"/>
      <c r="CS722" s="1337"/>
      <c r="CT722" s="1338"/>
      <c r="CU722" s="1332">
        <f t="shared" si="20"/>
        <v>5</v>
      </c>
      <c r="CV722" s="1332"/>
      <c r="CW722" s="1332"/>
      <c r="CX722" s="1332"/>
      <c r="CY722" s="1332"/>
      <c r="CZ722" s="1332">
        <f t="shared" si="21"/>
        <v>0</v>
      </c>
      <c r="DA722" s="1332"/>
      <c r="DB722" s="1332"/>
      <c r="DC722" s="1332"/>
      <c r="DD722" s="1332"/>
      <c r="DE722" s="1332">
        <f t="shared" si="22"/>
        <v>0</v>
      </c>
      <c r="DF722" s="1332"/>
      <c r="DG722" s="1332"/>
      <c r="DH722" s="1332"/>
      <c r="DI722" s="1332"/>
      <c r="DJ722" s="1332">
        <f t="shared" si="23"/>
        <v>0</v>
      </c>
      <c r="DK722" s="1332"/>
      <c r="DL722" s="1332"/>
      <c r="DM722" s="1332"/>
      <c r="DN722" s="1332"/>
      <c r="DO722" s="1332">
        <f t="shared" si="24"/>
        <v>0</v>
      </c>
      <c r="DP722" s="1332"/>
      <c r="DQ722" s="1332"/>
      <c r="DR722" s="1332"/>
      <c r="DS722" s="1332"/>
      <c r="DT722" s="6"/>
      <c r="DU722" s="1397">
        <f t="shared" si="25"/>
        <v>0</v>
      </c>
      <c r="DV722" s="1397"/>
      <c r="DW722" s="1397"/>
      <c r="DX722" s="1397"/>
      <c r="DY722" s="1397"/>
      <c r="DZ722" s="1397">
        <f t="shared" si="26"/>
        <v>0</v>
      </c>
      <c r="EA722" s="1397"/>
      <c r="EB722" s="1397"/>
      <c r="EC722" s="1397"/>
      <c r="ED722" s="1397"/>
      <c r="EE722" s="1397">
        <f t="shared" si="27"/>
        <v>0</v>
      </c>
      <c r="EF722" s="1397"/>
      <c r="EG722" s="1397"/>
      <c r="EH722" s="1397"/>
      <c r="EI722" s="1397"/>
      <c r="EJ722" s="1397">
        <f t="shared" si="28"/>
        <v>0</v>
      </c>
      <c r="EK722" s="1397"/>
      <c r="EL722" s="1397"/>
      <c r="EM722" s="1397"/>
      <c r="EN722" s="1397"/>
      <c r="EO722" s="1397">
        <f t="shared" si="29"/>
        <v>0</v>
      </c>
      <c r="EP722" s="1397"/>
      <c r="EQ722" s="1397"/>
      <c r="ER722" s="1397"/>
      <c r="ES722" s="1397"/>
      <c r="ET722" s="1397">
        <f t="shared" si="30"/>
        <v>0</v>
      </c>
      <c r="EU722" s="1397"/>
      <c r="EV722" s="1397"/>
      <c r="EW722" s="1397"/>
      <c r="EX722" s="1397"/>
      <c r="EZ722" s="1347" t="str">
        <f t="shared" si="31"/>
        <v/>
      </c>
      <c r="FA722" s="1348"/>
      <c r="FB722" s="1348"/>
      <c r="FC722" s="1348"/>
      <c r="FD722" s="1349"/>
      <c r="FE722" s="1347">
        <f t="shared" si="32"/>
        <v>1375</v>
      </c>
      <c r="FF722" s="1348"/>
      <c r="FG722" s="1348"/>
      <c r="FH722" s="1348"/>
      <c r="FI722" s="1349"/>
      <c r="FJ722" s="1347" t="str">
        <f t="shared" si="33"/>
        <v/>
      </c>
      <c r="FK722" s="1348"/>
      <c r="FL722" s="1348"/>
      <c r="FM722" s="1348"/>
      <c r="FN722" s="1349"/>
      <c r="FO722" s="1347" t="str">
        <f t="shared" si="34"/>
        <v/>
      </c>
      <c r="FP722" s="1348"/>
      <c r="FQ722" s="1348"/>
      <c r="FR722" s="1348"/>
      <c r="FS722" s="1349"/>
      <c r="FT722" s="1347" t="str">
        <f t="shared" si="35"/>
        <v/>
      </c>
      <c r="FU722" s="1348"/>
      <c r="FV722" s="1348"/>
      <c r="FW722" s="1348"/>
      <c r="FX722" s="1349"/>
      <c r="FY722" s="1347" t="str">
        <f t="shared" si="36"/>
        <v/>
      </c>
      <c r="FZ722" s="1348"/>
      <c r="GA722" s="1348"/>
      <c r="GB722" s="1348"/>
      <c r="GC722" s="1349"/>
    </row>
    <row r="723" spans="1:185" ht="12.95" customHeight="1">
      <c r="B723" s="1360" t="s">
        <v>325</v>
      </c>
      <c r="C723" s="1361"/>
      <c r="D723" s="1361"/>
      <c r="E723" s="1361"/>
      <c r="F723" s="1362"/>
      <c r="G723" s="1498">
        <v>5</v>
      </c>
      <c r="H723" s="1499"/>
      <c r="I723" s="1499"/>
      <c r="J723" s="1500"/>
      <c r="K723" s="1393">
        <v>615</v>
      </c>
      <c r="L723" s="1394"/>
      <c r="M723" s="1394"/>
      <c r="N723" s="1395"/>
      <c r="O723" s="1389">
        <v>1737</v>
      </c>
      <c r="P723" s="1390"/>
      <c r="Q723" s="1390"/>
      <c r="R723" s="1390"/>
      <c r="S723" s="1391"/>
      <c r="T723" s="1389">
        <v>76</v>
      </c>
      <c r="U723" s="1390"/>
      <c r="V723" s="1390"/>
      <c r="W723" s="1391"/>
      <c r="X723" s="1371">
        <f t="shared" si="9"/>
        <v>1813</v>
      </c>
      <c r="Y723" s="1372"/>
      <c r="Z723" s="1372"/>
      <c r="AA723" s="1372"/>
      <c r="AB723" s="1373"/>
      <c r="AC723" s="1625">
        <v>0.5</v>
      </c>
      <c r="AD723" s="1626"/>
      <c r="AE723" s="1626"/>
      <c r="AF723" s="1626"/>
      <c r="AG723" s="1627"/>
      <c r="AH723" s="1426">
        <f t="shared" si="37"/>
        <v>0.5</v>
      </c>
      <c r="AI723" s="1427"/>
      <c r="AJ723" s="1428"/>
      <c r="AK723" s="1360" t="s">
        <v>592</v>
      </c>
      <c r="AL723" s="1361"/>
      <c r="AM723" s="1361"/>
      <c r="AN723" s="1361"/>
      <c r="AO723" s="1362"/>
      <c r="AP723" s="3"/>
      <c r="AQ723" s="3"/>
      <c r="AR723" s="3"/>
      <c r="AS723" s="3"/>
      <c r="AY723" s="116"/>
      <c r="AZ723" s="118">
        <f t="shared" si="10"/>
        <v>3626</v>
      </c>
      <c r="BA723" s="3"/>
      <c r="BB723" s="3"/>
      <c r="BC723" s="3"/>
      <c r="BD723" s="3"/>
      <c r="BE723" s="204"/>
      <c r="BF723" s="294">
        <f t="shared" si="11"/>
        <v>5</v>
      </c>
      <c r="BG723" s="297">
        <f t="shared" si="12"/>
        <v>4.4247787610619468E-2</v>
      </c>
      <c r="BH723" s="298">
        <f t="shared" si="13"/>
        <v>2.2123893805309734E-2</v>
      </c>
      <c r="BI723" s="3"/>
      <c r="BJ723" s="3"/>
      <c r="BK723" s="3"/>
      <c r="BL723" s="3"/>
      <c r="BM723" s="3"/>
      <c r="BN723" s="3"/>
      <c r="BS723" s="294">
        <f t="shared" si="14"/>
        <v>5</v>
      </c>
      <c r="BT723" s="297">
        <f t="shared" si="15"/>
        <v>4.4247787610619468E-2</v>
      </c>
      <c r="BU723" s="298">
        <f t="shared" si="16"/>
        <v>2.2123893805309734E-2</v>
      </c>
      <c r="CC723" s="3"/>
      <c r="CD723" s="3"/>
      <c r="CE723" s="3"/>
      <c r="CF723" s="3"/>
      <c r="CG723" s="1347">
        <f t="shared" si="38"/>
        <v>1</v>
      </c>
      <c r="CH723" s="1349"/>
      <c r="CI723" s="1344">
        <f t="shared" si="39"/>
        <v>5</v>
      </c>
      <c r="CJ723" s="1346"/>
      <c r="CK723" s="1347">
        <f t="shared" si="17"/>
        <v>0</v>
      </c>
      <c r="CL723" s="1349"/>
      <c r="CM723" s="1344">
        <f t="shared" si="18"/>
        <v>0</v>
      </c>
      <c r="CN723" s="1346"/>
      <c r="CO723" s="3"/>
      <c r="CP723" s="1336">
        <f t="shared" si="19"/>
        <v>0</v>
      </c>
      <c r="CQ723" s="1337"/>
      <c r="CR723" s="1337"/>
      <c r="CS723" s="1337"/>
      <c r="CT723" s="1338"/>
      <c r="CU723" s="1332">
        <f t="shared" si="20"/>
        <v>5</v>
      </c>
      <c r="CV723" s="1332"/>
      <c r="CW723" s="1332"/>
      <c r="CX723" s="1332"/>
      <c r="CY723" s="1332"/>
      <c r="CZ723" s="1332">
        <f t="shared" si="21"/>
        <v>0</v>
      </c>
      <c r="DA723" s="1332"/>
      <c r="DB723" s="1332"/>
      <c r="DC723" s="1332"/>
      <c r="DD723" s="1332"/>
      <c r="DE723" s="1332">
        <f t="shared" si="22"/>
        <v>0</v>
      </c>
      <c r="DF723" s="1332"/>
      <c r="DG723" s="1332"/>
      <c r="DH723" s="1332"/>
      <c r="DI723" s="1332"/>
      <c r="DJ723" s="1332">
        <f t="shared" si="23"/>
        <v>0</v>
      </c>
      <c r="DK723" s="1332"/>
      <c r="DL723" s="1332"/>
      <c r="DM723" s="1332"/>
      <c r="DN723" s="1332"/>
      <c r="DO723" s="1332">
        <f t="shared" si="24"/>
        <v>0</v>
      </c>
      <c r="DP723" s="1332"/>
      <c r="DQ723" s="1332"/>
      <c r="DR723" s="1332"/>
      <c r="DS723" s="1332"/>
      <c r="DT723" s="6"/>
      <c r="DU723" s="1397">
        <f t="shared" si="25"/>
        <v>0</v>
      </c>
      <c r="DV723" s="1397"/>
      <c r="DW723" s="1397"/>
      <c r="DX723" s="1397"/>
      <c r="DY723" s="1397"/>
      <c r="DZ723" s="1397">
        <f t="shared" si="26"/>
        <v>0</v>
      </c>
      <c r="EA723" s="1397"/>
      <c r="EB723" s="1397"/>
      <c r="EC723" s="1397"/>
      <c r="ED723" s="1397"/>
      <c r="EE723" s="1397">
        <f t="shared" si="27"/>
        <v>0</v>
      </c>
      <c r="EF723" s="1397"/>
      <c r="EG723" s="1397"/>
      <c r="EH723" s="1397"/>
      <c r="EI723" s="1397"/>
      <c r="EJ723" s="1397">
        <f t="shared" si="28"/>
        <v>0</v>
      </c>
      <c r="EK723" s="1397"/>
      <c r="EL723" s="1397"/>
      <c r="EM723" s="1397"/>
      <c r="EN723" s="1397"/>
      <c r="EO723" s="1397">
        <f t="shared" si="29"/>
        <v>0</v>
      </c>
      <c r="EP723" s="1397"/>
      <c r="EQ723" s="1397"/>
      <c r="ER723" s="1397"/>
      <c r="ES723" s="1397"/>
      <c r="ET723" s="1397">
        <f t="shared" si="30"/>
        <v>0</v>
      </c>
      <c r="EU723" s="1397"/>
      <c r="EV723" s="1397"/>
      <c r="EW723" s="1397"/>
      <c r="EX723" s="1397"/>
      <c r="EZ723" s="1347" t="str">
        <f t="shared" si="31"/>
        <v/>
      </c>
      <c r="FA723" s="1348"/>
      <c r="FB723" s="1348"/>
      <c r="FC723" s="1348"/>
      <c r="FD723" s="1349"/>
      <c r="FE723" s="1347">
        <f t="shared" si="32"/>
        <v>1737</v>
      </c>
      <c r="FF723" s="1348"/>
      <c r="FG723" s="1348"/>
      <c r="FH723" s="1348"/>
      <c r="FI723" s="1349"/>
      <c r="FJ723" s="1347" t="str">
        <f t="shared" si="33"/>
        <v/>
      </c>
      <c r="FK723" s="1348"/>
      <c r="FL723" s="1348"/>
      <c r="FM723" s="1348"/>
      <c r="FN723" s="1349"/>
      <c r="FO723" s="1347" t="str">
        <f t="shared" si="34"/>
        <v/>
      </c>
      <c r="FP723" s="1348"/>
      <c r="FQ723" s="1348"/>
      <c r="FR723" s="1348"/>
      <c r="FS723" s="1349"/>
      <c r="FT723" s="1347" t="str">
        <f t="shared" si="35"/>
        <v/>
      </c>
      <c r="FU723" s="1348"/>
      <c r="FV723" s="1348"/>
      <c r="FW723" s="1348"/>
      <c r="FX723" s="1349"/>
      <c r="FY723" s="1347" t="str">
        <f t="shared" si="36"/>
        <v/>
      </c>
      <c r="FZ723" s="1348"/>
      <c r="GA723" s="1348"/>
      <c r="GB723" s="1348"/>
      <c r="GC723" s="1349"/>
    </row>
    <row r="724" spans="1:185" ht="12.95" customHeight="1">
      <c r="B724" s="1360" t="s">
        <v>325</v>
      </c>
      <c r="C724" s="1361"/>
      <c r="D724" s="1361"/>
      <c r="E724" s="1361"/>
      <c r="F724" s="1362"/>
      <c r="G724" s="1498">
        <v>4</v>
      </c>
      <c r="H724" s="1499"/>
      <c r="I724" s="1499"/>
      <c r="J724" s="1500"/>
      <c r="K724" s="1393">
        <v>615</v>
      </c>
      <c r="L724" s="1394"/>
      <c r="M724" s="1394"/>
      <c r="N724" s="1395"/>
      <c r="O724" s="1389">
        <v>2100</v>
      </c>
      <c r="P724" s="1390"/>
      <c r="Q724" s="1390"/>
      <c r="R724" s="1390"/>
      <c r="S724" s="1391"/>
      <c r="T724" s="1389">
        <v>76</v>
      </c>
      <c r="U724" s="1390"/>
      <c r="V724" s="1390"/>
      <c r="W724" s="1391"/>
      <c r="X724" s="1371">
        <f t="shared" si="9"/>
        <v>2176</v>
      </c>
      <c r="Y724" s="1372"/>
      <c r="Z724" s="1372"/>
      <c r="AA724" s="1372"/>
      <c r="AB724" s="1373"/>
      <c r="AC724" s="1625">
        <v>0.6</v>
      </c>
      <c r="AD724" s="1626"/>
      <c r="AE724" s="1626"/>
      <c r="AF724" s="1626"/>
      <c r="AG724" s="1627"/>
      <c r="AH724" s="1426">
        <f t="shared" si="37"/>
        <v>0.60011031439602869</v>
      </c>
      <c r="AI724" s="1427"/>
      <c r="AJ724" s="1428"/>
      <c r="AK724" s="1360" t="s">
        <v>592</v>
      </c>
      <c r="AL724" s="1361"/>
      <c r="AM724" s="1361"/>
      <c r="AN724" s="1361"/>
      <c r="AO724" s="1362"/>
      <c r="AP724" s="3"/>
      <c r="AQ724" s="3"/>
      <c r="AR724" s="3"/>
      <c r="AS724" s="3"/>
      <c r="AY724" s="116"/>
      <c r="AZ724" s="118">
        <f t="shared" si="10"/>
        <v>3626</v>
      </c>
      <c r="BA724" s="3"/>
      <c r="BB724" s="3"/>
      <c r="BC724" s="3"/>
      <c r="BD724" s="3"/>
      <c r="BE724" s="204"/>
      <c r="BF724" s="294">
        <f t="shared" si="11"/>
        <v>4</v>
      </c>
      <c r="BG724" s="297">
        <f t="shared" si="12"/>
        <v>3.5398230088495575E-2</v>
      </c>
      <c r="BH724" s="298">
        <f t="shared" si="13"/>
        <v>2.1238938053097345E-2</v>
      </c>
      <c r="BI724" s="3"/>
      <c r="BJ724" s="3"/>
      <c r="BK724" s="3"/>
      <c r="BL724" s="3"/>
      <c r="BM724" s="3"/>
      <c r="BN724" s="3"/>
      <c r="BS724" s="294">
        <f t="shared" si="14"/>
        <v>4</v>
      </c>
      <c r="BT724" s="297">
        <f t="shared" si="15"/>
        <v>3.5398230088495575E-2</v>
      </c>
      <c r="BU724" s="298">
        <f t="shared" si="16"/>
        <v>2.1242842987470041E-2</v>
      </c>
      <c r="CC724" s="3"/>
      <c r="CE724" s="3"/>
      <c r="CF724" s="3"/>
      <c r="CG724" s="1347">
        <f t="shared" si="38"/>
        <v>0</v>
      </c>
      <c r="CH724" s="1349"/>
      <c r="CI724" s="1344">
        <f t="shared" si="39"/>
        <v>0</v>
      </c>
      <c r="CJ724" s="1346"/>
      <c r="CK724" s="1347">
        <f t="shared" si="17"/>
        <v>0</v>
      </c>
      <c r="CL724" s="1349"/>
      <c r="CM724" s="1344">
        <f t="shared" si="18"/>
        <v>0</v>
      </c>
      <c r="CN724" s="1346"/>
      <c r="CO724" s="3"/>
      <c r="CP724" s="1336">
        <f t="shared" si="19"/>
        <v>0</v>
      </c>
      <c r="CQ724" s="1337"/>
      <c r="CR724" s="1337"/>
      <c r="CS724" s="1337"/>
      <c r="CT724" s="1338"/>
      <c r="CU724" s="1332">
        <f t="shared" si="20"/>
        <v>4</v>
      </c>
      <c r="CV724" s="1332"/>
      <c r="CW724" s="1332"/>
      <c r="CX724" s="1332"/>
      <c r="CY724" s="1332"/>
      <c r="CZ724" s="1332">
        <f t="shared" si="21"/>
        <v>0</v>
      </c>
      <c r="DA724" s="1332"/>
      <c r="DB724" s="1332"/>
      <c r="DC724" s="1332"/>
      <c r="DD724" s="1332"/>
      <c r="DE724" s="1332">
        <f t="shared" si="22"/>
        <v>0</v>
      </c>
      <c r="DF724" s="1332"/>
      <c r="DG724" s="1332"/>
      <c r="DH724" s="1332"/>
      <c r="DI724" s="1332"/>
      <c r="DJ724" s="1332">
        <f t="shared" si="23"/>
        <v>0</v>
      </c>
      <c r="DK724" s="1332"/>
      <c r="DL724" s="1332"/>
      <c r="DM724" s="1332"/>
      <c r="DN724" s="1332"/>
      <c r="DO724" s="1332">
        <f t="shared" si="24"/>
        <v>0</v>
      </c>
      <c r="DP724" s="1332"/>
      <c r="DQ724" s="1332"/>
      <c r="DR724" s="1332"/>
      <c r="DS724" s="1332"/>
      <c r="DT724" s="6"/>
      <c r="DU724" s="1397">
        <f t="shared" si="25"/>
        <v>0</v>
      </c>
      <c r="DV724" s="1397"/>
      <c r="DW724" s="1397"/>
      <c r="DX724" s="1397"/>
      <c r="DY724" s="1397"/>
      <c r="DZ724" s="1397">
        <f t="shared" si="26"/>
        <v>0</v>
      </c>
      <c r="EA724" s="1397"/>
      <c r="EB724" s="1397"/>
      <c r="EC724" s="1397"/>
      <c r="ED724" s="1397"/>
      <c r="EE724" s="1397">
        <f t="shared" si="27"/>
        <v>0</v>
      </c>
      <c r="EF724" s="1397"/>
      <c r="EG724" s="1397"/>
      <c r="EH724" s="1397"/>
      <c r="EI724" s="1397"/>
      <c r="EJ724" s="1397">
        <f t="shared" si="28"/>
        <v>0</v>
      </c>
      <c r="EK724" s="1397"/>
      <c r="EL724" s="1397"/>
      <c r="EM724" s="1397"/>
      <c r="EN724" s="1397"/>
      <c r="EO724" s="1397">
        <f t="shared" si="29"/>
        <v>0</v>
      </c>
      <c r="EP724" s="1397"/>
      <c r="EQ724" s="1397"/>
      <c r="ER724" s="1397"/>
      <c r="ES724" s="1397"/>
      <c r="ET724" s="1397">
        <f t="shared" si="30"/>
        <v>0</v>
      </c>
      <c r="EU724" s="1397"/>
      <c r="EV724" s="1397"/>
      <c r="EW724" s="1397"/>
      <c r="EX724" s="1397"/>
      <c r="EZ724" s="1347" t="str">
        <f t="shared" si="31"/>
        <v/>
      </c>
      <c r="FA724" s="1348"/>
      <c r="FB724" s="1348"/>
      <c r="FC724" s="1348"/>
      <c r="FD724" s="1349"/>
      <c r="FE724" s="1347">
        <f t="shared" si="32"/>
        <v>2100</v>
      </c>
      <c r="FF724" s="1348"/>
      <c r="FG724" s="1348"/>
      <c r="FH724" s="1348"/>
      <c r="FI724" s="1349"/>
      <c r="FJ724" s="1347" t="str">
        <f t="shared" si="33"/>
        <v/>
      </c>
      <c r="FK724" s="1348"/>
      <c r="FL724" s="1348"/>
      <c r="FM724" s="1348"/>
      <c r="FN724" s="1349"/>
      <c r="FO724" s="1347" t="str">
        <f t="shared" si="34"/>
        <v/>
      </c>
      <c r="FP724" s="1348"/>
      <c r="FQ724" s="1348"/>
      <c r="FR724" s="1348"/>
      <c r="FS724" s="1349"/>
      <c r="FT724" s="1347" t="str">
        <f t="shared" si="35"/>
        <v/>
      </c>
      <c r="FU724" s="1348"/>
      <c r="FV724" s="1348"/>
      <c r="FW724" s="1348"/>
      <c r="FX724" s="1349"/>
      <c r="FY724" s="1347" t="str">
        <f t="shared" si="36"/>
        <v/>
      </c>
      <c r="FZ724" s="1348"/>
      <c r="GA724" s="1348"/>
      <c r="GB724" s="1348"/>
      <c r="GC724" s="1349"/>
    </row>
    <row r="725" spans="1:185" ht="12.95" customHeight="1">
      <c r="B725" s="1360" t="s">
        <v>163</v>
      </c>
      <c r="C725" s="1361"/>
      <c r="D725" s="1361"/>
      <c r="E725" s="1361"/>
      <c r="F725" s="1362"/>
      <c r="G725" s="1498">
        <v>6</v>
      </c>
      <c r="H725" s="1499"/>
      <c r="I725" s="1499"/>
      <c r="J725" s="1500"/>
      <c r="K725" s="1393">
        <v>930</v>
      </c>
      <c r="L725" s="1394"/>
      <c r="M725" s="1394"/>
      <c r="N725" s="1395"/>
      <c r="O725" s="1389">
        <v>1199</v>
      </c>
      <c r="P725" s="1390"/>
      <c r="Q725" s="1390"/>
      <c r="R725" s="1390"/>
      <c r="S725" s="1391"/>
      <c r="T725" s="1389">
        <v>106</v>
      </c>
      <c r="U725" s="1390"/>
      <c r="V725" s="1390"/>
      <c r="W725" s="1391"/>
      <c r="X725" s="1371">
        <f t="shared" si="9"/>
        <v>1305</v>
      </c>
      <c r="Y725" s="1372"/>
      <c r="Z725" s="1372"/>
      <c r="AA725" s="1372"/>
      <c r="AB725" s="1373"/>
      <c r="AC725" s="1625">
        <v>0.3</v>
      </c>
      <c r="AD725" s="1626"/>
      <c r="AE725" s="1626"/>
      <c r="AF725" s="1626"/>
      <c r="AG725" s="1627"/>
      <c r="AH725" s="1426">
        <f t="shared" si="37"/>
        <v>0.29986213235294118</v>
      </c>
      <c r="AI725" s="1427"/>
      <c r="AJ725" s="1428"/>
      <c r="AK725" s="1360" t="s">
        <v>1044</v>
      </c>
      <c r="AL725" s="1361"/>
      <c r="AM725" s="1361"/>
      <c r="AN725" s="1361"/>
      <c r="AO725" s="1362"/>
      <c r="AP725" s="3"/>
      <c r="AQ725" s="3"/>
      <c r="AR725" s="3"/>
      <c r="AS725" s="3"/>
      <c r="AY725" s="1085"/>
      <c r="AZ725" s="118">
        <f t="shared" si="10"/>
        <v>4352</v>
      </c>
      <c r="BA725" s="3"/>
      <c r="BB725" s="3"/>
      <c r="BC725" s="3"/>
      <c r="BD725" s="3"/>
      <c r="BE725" s="204"/>
      <c r="BF725" s="294">
        <f t="shared" si="11"/>
        <v>6</v>
      </c>
      <c r="BG725" s="297">
        <f t="shared" si="12"/>
        <v>5.3097345132743362E-2</v>
      </c>
      <c r="BH725" s="298">
        <f t="shared" si="13"/>
        <v>1.5929203539823009E-2</v>
      </c>
      <c r="BI725" s="3"/>
      <c r="BJ725" s="3"/>
      <c r="BK725" s="3"/>
      <c r="BL725" s="3"/>
      <c r="BM725" s="3"/>
      <c r="BN725" s="3"/>
      <c r="BS725" s="294">
        <f t="shared" si="14"/>
        <v>6</v>
      </c>
      <c r="BT725" s="297">
        <f t="shared" si="15"/>
        <v>5.3097345132743362E-2</v>
      </c>
      <c r="BU725" s="298">
        <f t="shared" si="16"/>
        <v>1.5921883133784488E-2</v>
      </c>
      <c r="BV725" s="292"/>
      <c r="BW725" s="3"/>
      <c r="BX725" s="3"/>
      <c r="BY725" s="3"/>
      <c r="BZ725" s="3"/>
      <c r="CA725" s="3"/>
      <c r="CB725" s="3"/>
      <c r="CC725" s="3"/>
      <c r="CE725" s="3"/>
      <c r="CF725" s="3"/>
      <c r="CG725" s="1347">
        <f t="shared" si="38"/>
        <v>0</v>
      </c>
      <c r="CH725" s="1349"/>
      <c r="CI725" s="1344">
        <f t="shared" si="39"/>
        <v>0</v>
      </c>
      <c r="CJ725" s="1346"/>
      <c r="CK725" s="1347">
        <f t="shared" si="17"/>
        <v>1</v>
      </c>
      <c r="CL725" s="1349"/>
      <c r="CM725" s="1344">
        <f t="shared" si="18"/>
        <v>6</v>
      </c>
      <c r="CN725" s="1346"/>
      <c r="CO725" s="3"/>
      <c r="CP725" s="1336">
        <f t="shared" si="19"/>
        <v>0</v>
      </c>
      <c r="CQ725" s="1337"/>
      <c r="CR725" s="1337"/>
      <c r="CS725" s="1337"/>
      <c r="CT725" s="1338"/>
      <c r="CU725" s="1332">
        <f t="shared" si="20"/>
        <v>0</v>
      </c>
      <c r="CV725" s="1332"/>
      <c r="CW725" s="1332"/>
      <c r="CX725" s="1332"/>
      <c r="CY725" s="1332"/>
      <c r="CZ725" s="1332">
        <f t="shared" si="21"/>
        <v>6</v>
      </c>
      <c r="DA725" s="1332"/>
      <c r="DB725" s="1332"/>
      <c r="DC725" s="1332"/>
      <c r="DD725" s="1332"/>
      <c r="DE725" s="1332">
        <f t="shared" si="22"/>
        <v>0</v>
      </c>
      <c r="DF725" s="1332"/>
      <c r="DG725" s="1332"/>
      <c r="DH725" s="1332"/>
      <c r="DI725" s="1332"/>
      <c r="DJ725" s="1332">
        <f t="shared" si="23"/>
        <v>0</v>
      </c>
      <c r="DK725" s="1332"/>
      <c r="DL725" s="1332"/>
      <c r="DM725" s="1332"/>
      <c r="DN725" s="1332"/>
      <c r="DO725" s="1332">
        <f t="shared" si="24"/>
        <v>0</v>
      </c>
      <c r="DP725" s="1332"/>
      <c r="DQ725" s="1332"/>
      <c r="DR725" s="1332"/>
      <c r="DS725" s="1332"/>
      <c r="DT725" s="6"/>
      <c r="DU725" s="1397">
        <f t="shared" si="25"/>
        <v>0</v>
      </c>
      <c r="DV725" s="1397"/>
      <c r="DW725" s="1397"/>
      <c r="DX725" s="1397"/>
      <c r="DY725" s="1397"/>
      <c r="DZ725" s="1397">
        <f t="shared" si="26"/>
        <v>0</v>
      </c>
      <c r="EA725" s="1397"/>
      <c r="EB725" s="1397"/>
      <c r="EC725" s="1397"/>
      <c r="ED725" s="1397"/>
      <c r="EE725" s="1397">
        <f t="shared" si="27"/>
        <v>6</v>
      </c>
      <c r="EF725" s="1397"/>
      <c r="EG725" s="1397"/>
      <c r="EH725" s="1397"/>
      <c r="EI725" s="1397"/>
      <c r="EJ725" s="1397">
        <f t="shared" si="28"/>
        <v>0</v>
      </c>
      <c r="EK725" s="1397"/>
      <c r="EL725" s="1397"/>
      <c r="EM725" s="1397"/>
      <c r="EN725" s="1397"/>
      <c r="EO725" s="1397">
        <f t="shared" si="29"/>
        <v>0</v>
      </c>
      <c r="EP725" s="1397"/>
      <c r="EQ725" s="1397"/>
      <c r="ER725" s="1397"/>
      <c r="ES725" s="1397"/>
      <c r="ET725" s="1397">
        <f t="shared" si="30"/>
        <v>0</v>
      </c>
      <c r="EU725" s="1397"/>
      <c r="EV725" s="1397"/>
      <c r="EW725" s="1397"/>
      <c r="EX725" s="1397"/>
      <c r="EZ725" s="1347" t="str">
        <f t="shared" si="31"/>
        <v/>
      </c>
      <c r="FA725" s="1348"/>
      <c r="FB725" s="1348"/>
      <c r="FC725" s="1348"/>
      <c r="FD725" s="1349"/>
      <c r="FE725" s="1347" t="str">
        <f t="shared" si="32"/>
        <v/>
      </c>
      <c r="FF725" s="1348"/>
      <c r="FG725" s="1348"/>
      <c r="FH725" s="1348"/>
      <c r="FI725" s="1349"/>
      <c r="FJ725" s="1347">
        <f t="shared" si="33"/>
        <v>1199</v>
      </c>
      <c r="FK725" s="1348"/>
      <c r="FL725" s="1348"/>
      <c r="FM725" s="1348"/>
      <c r="FN725" s="1349"/>
      <c r="FO725" s="1347" t="str">
        <f t="shared" si="34"/>
        <v/>
      </c>
      <c r="FP725" s="1348"/>
      <c r="FQ725" s="1348"/>
      <c r="FR725" s="1348"/>
      <c r="FS725" s="1349"/>
      <c r="FT725" s="1347" t="str">
        <f t="shared" si="35"/>
        <v/>
      </c>
      <c r="FU725" s="1348"/>
      <c r="FV725" s="1348"/>
      <c r="FW725" s="1348"/>
      <c r="FX725" s="1349"/>
      <c r="FY725" s="1347" t="str">
        <f t="shared" si="36"/>
        <v/>
      </c>
      <c r="FZ725" s="1348"/>
      <c r="GA725" s="1348"/>
      <c r="GB725" s="1348"/>
      <c r="GC725" s="1349"/>
    </row>
    <row r="726" spans="1:185" ht="12.95" customHeight="1">
      <c r="B726" s="1360" t="s">
        <v>163</v>
      </c>
      <c r="C726" s="1361"/>
      <c r="D726" s="1361"/>
      <c r="E726" s="1361"/>
      <c r="F726" s="1362"/>
      <c r="G726" s="1498">
        <v>6</v>
      </c>
      <c r="H726" s="1499"/>
      <c r="I726" s="1499"/>
      <c r="J726" s="1500"/>
      <c r="K726" s="1393">
        <v>930</v>
      </c>
      <c r="L726" s="1394"/>
      <c r="M726" s="1394"/>
      <c r="N726" s="1395"/>
      <c r="O726" s="1389">
        <v>1635</v>
      </c>
      <c r="P726" s="1390"/>
      <c r="Q726" s="1390"/>
      <c r="R726" s="1390"/>
      <c r="S726" s="1391"/>
      <c r="T726" s="1389">
        <v>106</v>
      </c>
      <c r="U726" s="1390"/>
      <c r="V726" s="1390"/>
      <c r="W726" s="1391"/>
      <c r="X726" s="1371">
        <f t="shared" si="9"/>
        <v>1741</v>
      </c>
      <c r="Y726" s="1372"/>
      <c r="Z726" s="1372"/>
      <c r="AA726" s="1372"/>
      <c r="AB726" s="1373"/>
      <c r="AC726" s="1625">
        <v>0.4</v>
      </c>
      <c r="AD726" s="1626"/>
      <c r="AE726" s="1626"/>
      <c r="AF726" s="1626"/>
      <c r="AG726" s="1627"/>
      <c r="AH726" s="1426">
        <f t="shared" si="37"/>
        <v>0.40004595588235292</v>
      </c>
      <c r="AI726" s="1427"/>
      <c r="AJ726" s="1428"/>
      <c r="AK726" s="1360" t="s">
        <v>592</v>
      </c>
      <c r="AL726" s="1361"/>
      <c r="AM726" s="1361"/>
      <c r="AN726" s="1361"/>
      <c r="AO726" s="1362"/>
      <c r="AP726" s="3"/>
      <c r="AQ726" s="3"/>
      <c r="AR726" s="3"/>
      <c r="AS726" s="3"/>
      <c r="AY726" s="1085"/>
      <c r="AZ726" s="118">
        <f t="shared" si="10"/>
        <v>4352</v>
      </c>
      <c r="BA726" s="3"/>
      <c r="BB726" s="3"/>
      <c r="BC726" s="3"/>
      <c r="BD726" s="3"/>
      <c r="BE726" s="204"/>
      <c r="BF726" s="294">
        <f t="shared" si="11"/>
        <v>6</v>
      </c>
      <c r="BG726" s="297">
        <f t="shared" si="12"/>
        <v>5.3097345132743362E-2</v>
      </c>
      <c r="BH726" s="298">
        <f t="shared" si="13"/>
        <v>2.1238938053097345E-2</v>
      </c>
      <c r="BI726" s="3"/>
      <c r="BJ726" s="3"/>
      <c r="BK726" s="3"/>
      <c r="BL726" s="3"/>
      <c r="BM726" s="3"/>
      <c r="BN726" s="3"/>
      <c r="BS726" s="294">
        <f t="shared" si="14"/>
        <v>6</v>
      </c>
      <c r="BT726" s="297">
        <f t="shared" si="15"/>
        <v>5.3097345132743362E-2</v>
      </c>
      <c r="BU726" s="298">
        <f t="shared" si="16"/>
        <v>2.1241378188443516E-2</v>
      </c>
      <c r="BV726" s="3"/>
      <c r="BW726" s="3"/>
      <c r="BX726" s="3"/>
      <c r="BY726" s="3"/>
      <c r="BZ726" s="3"/>
      <c r="CA726" s="3"/>
      <c r="CB726" s="3"/>
      <c r="CC726" s="3"/>
      <c r="CE726" s="3"/>
      <c r="CF726" s="3"/>
      <c r="CG726" s="1347">
        <f t="shared" si="38"/>
        <v>1</v>
      </c>
      <c r="CH726" s="1349"/>
      <c r="CI726" s="1344">
        <f t="shared" si="39"/>
        <v>6</v>
      </c>
      <c r="CJ726" s="1346"/>
      <c r="CK726" s="1347">
        <f t="shared" si="17"/>
        <v>0</v>
      </c>
      <c r="CL726" s="1349"/>
      <c r="CM726" s="1344">
        <f t="shared" si="18"/>
        <v>0</v>
      </c>
      <c r="CN726" s="1346"/>
      <c r="CO726" s="3"/>
      <c r="CP726" s="1336">
        <f t="shared" si="19"/>
        <v>0</v>
      </c>
      <c r="CQ726" s="1337"/>
      <c r="CR726" s="1337"/>
      <c r="CS726" s="1337"/>
      <c r="CT726" s="1338"/>
      <c r="CU726" s="1332">
        <f t="shared" si="20"/>
        <v>0</v>
      </c>
      <c r="CV726" s="1332"/>
      <c r="CW726" s="1332"/>
      <c r="CX726" s="1332"/>
      <c r="CY726" s="1332"/>
      <c r="CZ726" s="1332">
        <f t="shared" si="21"/>
        <v>6</v>
      </c>
      <c r="DA726" s="1332"/>
      <c r="DB726" s="1332"/>
      <c r="DC726" s="1332"/>
      <c r="DD726" s="1332"/>
      <c r="DE726" s="1332">
        <f t="shared" si="22"/>
        <v>0</v>
      </c>
      <c r="DF726" s="1332"/>
      <c r="DG726" s="1332"/>
      <c r="DH726" s="1332"/>
      <c r="DI726" s="1332"/>
      <c r="DJ726" s="1332">
        <f t="shared" si="23"/>
        <v>0</v>
      </c>
      <c r="DK726" s="1332"/>
      <c r="DL726" s="1332"/>
      <c r="DM726" s="1332"/>
      <c r="DN726" s="1332"/>
      <c r="DO726" s="1332">
        <f t="shared" si="24"/>
        <v>0</v>
      </c>
      <c r="DP726" s="1332"/>
      <c r="DQ726" s="1332"/>
      <c r="DR726" s="1332"/>
      <c r="DS726" s="1332"/>
      <c r="DT726" s="6"/>
      <c r="DU726" s="1397">
        <f t="shared" si="25"/>
        <v>0</v>
      </c>
      <c r="DV726" s="1397"/>
      <c r="DW726" s="1397"/>
      <c r="DX726" s="1397"/>
      <c r="DY726" s="1397"/>
      <c r="DZ726" s="1397">
        <f t="shared" si="26"/>
        <v>0</v>
      </c>
      <c r="EA726" s="1397"/>
      <c r="EB726" s="1397"/>
      <c r="EC726" s="1397"/>
      <c r="ED726" s="1397"/>
      <c r="EE726" s="1397">
        <f t="shared" si="27"/>
        <v>0</v>
      </c>
      <c r="EF726" s="1397"/>
      <c r="EG726" s="1397"/>
      <c r="EH726" s="1397"/>
      <c r="EI726" s="1397"/>
      <c r="EJ726" s="1397">
        <f t="shared" si="28"/>
        <v>0</v>
      </c>
      <c r="EK726" s="1397"/>
      <c r="EL726" s="1397"/>
      <c r="EM726" s="1397"/>
      <c r="EN726" s="1397"/>
      <c r="EO726" s="1397">
        <f t="shared" si="29"/>
        <v>0</v>
      </c>
      <c r="EP726" s="1397"/>
      <c r="EQ726" s="1397"/>
      <c r="ER726" s="1397"/>
      <c r="ES726" s="1397"/>
      <c r="ET726" s="1397">
        <f t="shared" si="30"/>
        <v>0</v>
      </c>
      <c r="EU726" s="1397"/>
      <c r="EV726" s="1397"/>
      <c r="EW726" s="1397"/>
      <c r="EX726" s="1397"/>
      <c r="EY726" s="4"/>
      <c r="EZ726" s="1347" t="str">
        <f t="shared" si="31"/>
        <v/>
      </c>
      <c r="FA726" s="1348"/>
      <c r="FB726" s="1348"/>
      <c r="FC726" s="1348"/>
      <c r="FD726" s="1349"/>
      <c r="FE726" s="1347" t="str">
        <f t="shared" si="32"/>
        <v/>
      </c>
      <c r="FF726" s="1348"/>
      <c r="FG726" s="1348"/>
      <c r="FH726" s="1348"/>
      <c r="FI726" s="1349"/>
      <c r="FJ726" s="1347">
        <f t="shared" si="33"/>
        <v>1635</v>
      </c>
      <c r="FK726" s="1348"/>
      <c r="FL726" s="1348"/>
      <c r="FM726" s="1348"/>
      <c r="FN726" s="1349"/>
      <c r="FO726" s="1347" t="str">
        <f t="shared" si="34"/>
        <v/>
      </c>
      <c r="FP726" s="1348"/>
      <c r="FQ726" s="1348"/>
      <c r="FR726" s="1348"/>
      <c r="FS726" s="1349"/>
      <c r="FT726" s="1347" t="str">
        <f t="shared" si="35"/>
        <v/>
      </c>
      <c r="FU726" s="1348"/>
      <c r="FV726" s="1348"/>
      <c r="FW726" s="1348"/>
      <c r="FX726" s="1349"/>
      <c r="FY726" s="1347" t="str">
        <f t="shared" si="36"/>
        <v/>
      </c>
      <c r="FZ726" s="1348"/>
      <c r="GA726" s="1348"/>
      <c r="GB726" s="1348"/>
      <c r="GC726" s="1349"/>
    </row>
    <row r="727" spans="1:185" ht="12.95" customHeight="1">
      <c r="A727" s="4"/>
      <c r="B727" s="1360" t="s">
        <v>163</v>
      </c>
      <c r="C727" s="1361"/>
      <c r="D727" s="1361"/>
      <c r="E727" s="1361"/>
      <c r="F727" s="1362"/>
      <c r="G727" s="1498">
        <v>10</v>
      </c>
      <c r="H727" s="1499"/>
      <c r="I727" s="1499"/>
      <c r="J727" s="1500"/>
      <c r="K727" s="1393">
        <v>930</v>
      </c>
      <c r="L727" s="1394"/>
      <c r="M727" s="1394"/>
      <c r="N727" s="1395"/>
      <c r="O727" s="1389">
        <v>2070</v>
      </c>
      <c r="P727" s="1390"/>
      <c r="Q727" s="1390"/>
      <c r="R727" s="1390"/>
      <c r="S727" s="1391"/>
      <c r="T727" s="1389">
        <v>106</v>
      </c>
      <c r="U727" s="1390"/>
      <c r="V727" s="1390"/>
      <c r="W727" s="1391"/>
      <c r="X727" s="1371">
        <f t="shared" si="9"/>
        <v>2176</v>
      </c>
      <c r="Y727" s="1372"/>
      <c r="Z727" s="1372"/>
      <c r="AA727" s="1372"/>
      <c r="AB727" s="1373"/>
      <c r="AC727" s="1625">
        <v>0.5</v>
      </c>
      <c r="AD727" s="1626"/>
      <c r="AE727" s="1626"/>
      <c r="AF727" s="1626"/>
      <c r="AG727" s="1627"/>
      <c r="AH727" s="1426">
        <f t="shared" si="37"/>
        <v>0.5</v>
      </c>
      <c r="AI727" s="1427"/>
      <c r="AJ727" s="1428"/>
      <c r="AK727" s="1360" t="s">
        <v>592</v>
      </c>
      <c r="AL727" s="1361"/>
      <c r="AM727" s="1361"/>
      <c r="AN727" s="1361"/>
      <c r="AO727" s="1362"/>
      <c r="AP727" s="3"/>
      <c r="AQ727" s="3"/>
      <c r="AR727" s="3"/>
      <c r="AS727" s="3"/>
      <c r="AY727" s="1085"/>
      <c r="AZ727" s="118">
        <f t="shared" si="10"/>
        <v>4352</v>
      </c>
      <c r="BA727" s="3"/>
      <c r="BB727" s="3"/>
      <c r="BC727" s="3"/>
      <c r="BD727" s="3"/>
      <c r="BE727" s="204"/>
      <c r="BF727" s="294">
        <f t="shared" si="11"/>
        <v>10</v>
      </c>
      <c r="BG727" s="297">
        <f t="shared" si="12"/>
        <v>8.8495575221238937E-2</v>
      </c>
      <c r="BH727" s="298">
        <f t="shared" si="13"/>
        <v>4.4247787610619468E-2</v>
      </c>
      <c r="BI727" s="3"/>
      <c r="BJ727" s="3"/>
      <c r="BK727" s="3"/>
      <c r="BL727" s="3"/>
      <c r="BM727" s="3"/>
      <c r="BN727" s="3"/>
      <c r="BS727" s="294">
        <f t="shared" si="14"/>
        <v>10</v>
      </c>
      <c r="BT727" s="297">
        <f t="shared" si="15"/>
        <v>8.8495575221238937E-2</v>
      </c>
      <c r="BU727" s="298">
        <f t="shared" si="16"/>
        <v>4.4247787610619468E-2</v>
      </c>
      <c r="BV727" s="3"/>
      <c r="BW727" s="3"/>
      <c r="BX727" s="3"/>
      <c r="BY727" s="3"/>
      <c r="BZ727" s="3"/>
      <c r="CA727" s="3"/>
      <c r="CB727" s="3"/>
      <c r="CC727" s="3"/>
      <c r="CE727" s="3"/>
      <c r="CF727" s="3"/>
      <c r="CG727" s="1347">
        <f t="shared" si="38"/>
        <v>1</v>
      </c>
      <c r="CH727" s="1349"/>
      <c r="CI727" s="1344">
        <f t="shared" si="39"/>
        <v>10</v>
      </c>
      <c r="CJ727" s="1346"/>
      <c r="CK727" s="1347">
        <f t="shared" si="17"/>
        <v>0</v>
      </c>
      <c r="CL727" s="1349"/>
      <c r="CM727" s="1344">
        <f t="shared" si="18"/>
        <v>0</v>
      </c>
      <c r="CN727" s="1346"/>
      <c r="CO727" s="3"/>
      <c r="CP727" s="1336">
        <f t="shared" si="19"/>
        <v>0</v>
      </c>
      <c r="CQ727" s="1337"/>
      <c r="CR727" s="1337"/>
      <c r="CS727" s="1337"/>
      <c r="CT727" s="1338"/>
      <c r="CU727" s="1332">
        <f t="shared" si="20"/>
        <v>0</v>
      </c>
      <c r="CV727" s="1332"/>
      <c r="CW727" s="1332"/>
      <c r="CX727" s="1332"/>
      <c r="CY727" s="1332"/>
      <c r="CZ727" s="1332">
        <f t="shared" si="21"/>
        <v>10</v>
      </c>
      <c r="DA727" s="1332"/>
      <c r="DB727" s="1332"/>
      <c r="DC727" s="1332"/>
      <c r="DD727" s="1332"/>
      <c r="DE727" s="1332">
        <f t="shared" si="22"/>
        <v>0</v>
      </c>
      <c r="DF727" s="1332"/>
      <c r="DG727" s="1332"/>
      <c r="DH727" s="1332"/>
      <c r="DI727" s="1332"/>
      <c r="DJ727" s="1332">
        <f t="shared" si="23"/>
        <v>0</v>
      </c>
      <c r="DK727" s="1332"/>
      <c r="DL727" s="1332"/>
      <c r="DM727" s="1332"/>
      <c r="DN727" s="1332"/>
      <c r="DO727" s="1332">
        <f t="shared" si="24"/>
        <v>0</v>
      </c>
      <c r="DP727" s="1332"/>
      <c r="DQ727" s="1332"/>
      <c r="DR727" s="1332"/>
      <c r="DS727" s="1332"/>
      <c r="DT727" s="6"/>
      <c r="DU727" s="1397">
        <f t="shared" si="25"/>
        <v>0</v>
      </c>
      <c r="DV727" s="1397"/>
      <c r="DW727" s="1397"/>
      <c r="DX727" s="1397"/>
      <c r="DY727" s="1397"/>
      <c r="DZ727" s="1397">
        <f t="shared" si="26"/>
        <v>0</v>
      </c>
      <c r="EA727" s="1397"/>
      <c r="EB727" s="1397"/>
      <c r="EC727" s="1397"/>
      <c r="ED727" s="1397"/>
      <c r="EE727" s="1397">
        <f t="shared" si="27"/>
        <v>0</v>
      </c>
      <c r="EF727" s="1397"/>
      <c r="EG727" s="1397"/>
      <c r="EH727" s="1397"/>
      <c r="EI727" s="1397"/>
      <c r="EJ727" s="1397">
        <f t="shared" si="28"/>
        <v>0</v>
      </c>
      <c r="EK727" s="1397"/>
      <c r="EL727" s="1397"/>
      <c r="EM727" s="1397"/>
      <c r="EN727" s="1397"/>
      <c r="EO727" s="1397">
        <f t="shared" si="29"/>
        <v>0</v>
      </c>
      <c r="EP727" s="1397"/>
      <c r="EQ727" s="1397"/>
      <c r="ER727" s="1397"/>
      <c r="ES727" s="1397"/>
      <c r="ET727" s="1397">
        <f t="shared" si="30"/>
        <v>0</v>
      </c>
      <c r="EU727" s="1397"/>
      <c r="EV727" s="1397"/>
      <c r="EW727" s="1397"/>
      <c r="EX727" s="1397"/>
      <c r="EY727" s="4"/>
      <c r="EZ727" s="1347" t="str">
        <f t="shared" si="31"/>
        <v/>
      </c>
      <c r="FA727" s="1348"/>
      <c r="FB727" s="1348"/>
      <c r="FC727" s="1348"/>
      <c r="FD727" s="1349"/>
      <c r="FE727" s="1347" t="str">
        <f t="shared" si="32"/>
        <v/>
      </c>
      <c r="FF727" s="1348"/>
      <c r="FG727" s="1348"/>
      <c r="FH727" s="1348"/>
      <c r="FI727" s="1349"/>
      <c r="FJ727" s="1347">
        <f t="shared" si="33"/>
        <v>2070</v>
      </c>
      <c r="FK727" s="1348"/>
      <c r="FL727" s="1348"/>
      <c r="FM727" s="1348"/>
      <c r="FN727" s="1349"/>
      <c r="FO727" s="1347" t="str">
        <f t="shared" si="34"/>
        <v/>
      </c>
      <c r="FP727" s="1348"/>
      <c r="FQ727" s="1348"/>
      <c r="FR727" s="1348"/>
      <c r="FS727" s="1349"/>
      <c r="FT727" s="1347" t="str">
        <f t="shared" si="35"/>
        <v/>
      </c>
      <c r="FU727" s="1348"/>
      <c r="FV727" s="1348"/>
      <c r="FW727" s="1348"/>
      <c r="FX727" s="1349"/>
      <c r="FY727" s="1347" t="str">
        <f t="shared" si="36"/>
        <v/>
      </c>
      <c r="FZ727" s="1348"/>
      <c r="GA727" s="1348"/>
      <c r="GB727" s="1348"/>
      <c r="GC727" s="1349"/>
    </row>
    <row r="728" spans="1:185" ht="12.95" customHeight="1">
      <c r="A728" s="4"/>
      <c r="B728" s="1360" t="s">
        <v>163</v>
      </c>
      <c r="C728" s="1361"/>
      <c r="D728" s="1361"/>
      <c r="E728" s="1361"/>
      <c r="F728" s="1362"/>
      <c r="G728" s="1498">
        <v>7</v>
      </c>
      <c r="H728" s="1499"/>
      <c r="I728" s="1499"/>
      <c r="J728" s="1500"/>
      <c r="K728" s="1393">
        <v>930</v>
      </c>
      <c r="L728" s="1394"/>
      <c r="M728" s="1394"/>
      <c r="N728" s="1395"/>
      <c r="O728" s="1389">
        <v>2505</v>
      </c>
      <c r="P728" s="1390"/>
      <c r="Q728" s="1390"/>
      <c r="R728" s="1390"/>
      <c r="S728" s="1391"/>
      <c r="T728" s="1389">
        <v>106</v>
      </c>
      <c r="U728" s="1390"/>
      <c r="V728" s="1390"/>
      <c r="W728" s="1391"/>
      <c r="X728" s="1371">
        <f t="shared" si="9"/>
        <v>2611</v>
      </c>
      <c r="Y728" s="1372"/>
      <c r="Z728" s="1372"/>
      <c r="AA728" s="1372"/>
      <c r="AB728" s="1373"/>
      <c r="AC728" s="1625">
        <v>0.6</v>
      </c>
      <c r="AD728" s="1626"/>
      <c r="AE728" s="1626"/>
      <c r="AF728" s="1626"/>
      <c r="AG728" s="1627"/>
      <c r="AH728" s="1426">
        <f t="shared" si="37"/>
        <v>0.59995404411764708</v>
      </c>
      <c r="AI728" s="1427"/>
      <c r="AJ728" s="1428"/>
      <c r="AK728" s="1360" t="s">
        <v>592</v>
      </c>
      <c r="AL728" s="1361"/>
      <c r="AM728" s="1361"/>
      <c r="AN728" s="1361"/>
      <c r="AO728" s="1362"/>
      <c r="AP728" s="3"/>
      <c r="AQ728" s="3"/>
      <c r="AR728" s="3"/>
      <c r="AS728" s="3"/>
      <c r="AY728" s="1085"/>
      <c r="AZ728" s="118">
        <f t="shared" si="10"/>
        <v>4352</v>
      </c>
      <c r="BA728" s="3"/>
      <c r="BB728" s="3"/>
      <c r="BC728" s="3"/>
      <c r="BD728" s="3"/>
      <c r="BE728" s="204"/>
      <c r="BF728" s="294">
        <f t="shared" si="11"/>
        <v>7</v>
      </c>
      <c r="BG728" s="297">
        <f t="shared" si="12"/>
        <v>6.1946902654867256E-2</v>
      </c>
      <c r="BH728" s="298">
        <f t="shared" si="13"/>
        <v>3.7168141592920353E-2</v>
      </c>
      <c r="BI728" s="3"/>
      <c r="BJ728" s="3"/>
      <c r="BK728" s="3"/>
      <c r="BL728" s="3"/>
      <c r="BM728" s="3"/>
      <c r="BN728" s="3"/>
      <c r="BS728" s="294">
        <f t="shared" si="14"/>
        <v>7</v>
      </c>
      <c r="BT728" s="297">
        <f t="shared" si="15"/>
        <v>6.1946902654867256E-2</v>
      </c>
      <c r="BU728" s="298">
        <f t="shared" si="16"/>
        <v>3.7165294768349816E-2</v>
      </c>
      <c r="BV728" s="3"/>
      <c r="BW728" s="3"/>
      <c r="BX728" s="3"/>
      <c r="BY728" s="3"/>
      <c r="BZ728" s="3"/>
      <c r="CA728" s="3"/>
      <c r="CB728" s="3"/>
      <c r="CC728" s="3"/>
      <c r="CE728" s="3"/>
      <c r="CF728" s="3"/>
      <c r="CG728" s="1347">
        <f t="shared" si="38"/>
        <v>0</v>
      </c>
      <c r="CH728" s="1349"/>
      <c r="CI728" s="1344">
        <f t="shared" si="39"/>
        <v>0</v>
      </c>
      <c r="CJ728" s="1346"/>
      <c r="CK728" s="1347">
        <f t="shared" si="17"/>
        <v>0</v>
      </c>
      <c r="CL728" s="1349"/>
      <c r="CM728" s="1344">
        <f t="shared" si="18"/>
        <v>0</v>
      </c>
      <c r="CN728" s="1346"/>
      <c r="CO728" s="3"/>
      <c r="CP728" s="1336">
        <f t="shared" si="19"/>
        <v>0</v>
      </c>
      <c r="CQ728" s="1337"/>
      <c r="CR728" s="1337"/>
      <c r="CS728" s="1337"/>
      <c r="CT728" s="1338"/>
      <c r="CU728" s="1332">
        <f t="shared" si="20"/>
        <v>0</v>
      </c>
      <c r="CV728" s="1332"/>
      <c r="CW728" s="1332"/>
      <c r="CX728" s="1332"/>
      <c r="CY728" s="1332"/>
      <c r="CZ728" s="1332">
        <f t="shared" si="21"/>
        <v>7</v>
      </c>
      <c r="DA728" s="1332"/>
      <c r="DB728" s="1332"/>
      <c r="DC728" s="1332"/>
      <c r="DD728" s="1332"/>
      <c r="DE728" s="1332">
        <f t="shared" si="22"/>
        <v>0</v>
      </c>
      <c r="DF728" s="1332"/>
      <c r="DG728" s="1332"/>
      <c r="DH728" s="1332"/>
      <c r="DI728" s="1332"/>
      <c r="DJ728" s="1332">
        <f t="shared" si="23"/>
        <v>0</v>
      </c>
      <c r="DK728" s="1332"/>
      <c r="DL728" s="1332"/>
      <c r="DM728" s="1332"/>
      <c r="DN728" s="1332"/>
      <c r="DO728" s="1332">
        <f t="shared" si="24"/>
        <v>0</v>
      </c>
      <c r="DP728" s="1332"/>
      <c r="DQ728" s="1332"/>
      <c r="DR728" s="1332"/>
      <c r="DS728" s="1332"/>
      <c r="DT728" s="6"/>
      <c r="DU728" s="1397">
        <f t="shared" si="25"/>
        <v>0</v>
      </c>
      <c r="DV728" s="1397"/>
      <c r="DW728" s="1397"/>
      <c r="DX728" s="1397"/>
      <c r="DY728" s="1397"/>
      <c r="DZ728" s="1397">
        <f t="shared" si="26"/>
        <v>0</v>
      </c>
      <c r="EA728" s="1397"/>
      <c r="EB728" s="1397"/>
      <c r="EC728" s="1397"/>
      <c r="ED728" s="1397"/>
      <c r="EE728" s="1397">
        <f t="shared" si="27"/>
        <v>0</v>
      </c>
      <c r="EF728" s="1397"/>
      <c r="EG728" s="1397"/>
      <c r="EH728" s="1397"/>
      <c r="EI728" s="1397"/>
      <c r="EJ728" s="1397">
        <f t="shared" si="28"/>
        <v>0</v>
      </c>
      <c r="EK728" s="1397"/>
      <c r="EL728" s="1397"/>
      <c r="EM728" s="1397"/>
      <c r="EN728" s="1397"/>
      <c r="EO728" s="1397">
        <f t="shared" si="29"/>
        <v>0</v>
      </c>
      <c r="EP728" s="1397"/>
      <c r="EQ728" s="1397"/>
      <c r="ER728" s="1397"/>
      <c r="ES728" s="1397"/>
      <c r="ET728" s="1397">
        <f t="shared" si="30"/>
        <v>0</v>
      </c>
      <c r="EU728" s="1397"/>
      <c r="EV728" s="1397"/>
      <c r="EW728" s="1397"/>
      <c r="EX728" s="1397"/>
      <c r="EY728" s="4"/>
      <c r="EZ728" s="1347" t="str">
        <f t="shared" si="31"/>
        <v/>
      </c>
      <c r="FA728" s="1348"/>
      <c r="FB728" s="1348"/>
      <c r="FC728" s="1348"/>
      <c r="FD728" s="1349"/>
      <c r="FE728" s="1347" t="str">
        <f t="shared" si="32"/>
        <v/>
      </c>
      <c r="FF728" s="1348"/>
      <c r="FG728" s="1348"/>
      <c r="FH728" s="1348"/>
      <c r="FI728" s="1349"/>
      <c r="FJ728" s="1347">
        <f t="shared" si="33"/>
        <v>2505</v>
      </c>
      <c r="FK728" s="1348"/>
      <c r="FL728" s="1348"/>
      <c r="FM728" s="1348"/>
      <c r="FN728" s="1349"/>
      <c r="FO728" s="1347" t="str">
        <f t="shared" si="34"/>
        <v/>
      </c>
      <c r="FP728" s="1348"/>
      <c r="FQ728" s="1348"/>
      <c r="FR728" s="1348"/>
      <c r="FS728" s="1349"/>
      <c r="FT728" s="1347" t="str">
        <f t="shared" si="35"/>
        <v/>
      </c>
      <c r="FU728" s="1348"/>
      <c r="FV728" s="1348"/>
      <c r="FW728" s="1348"/>
      <c r="FX728" s="1349"/>
      <c r="FY728" s="1347" t="str">
        <f t="shared" si="36"/>
        <v/>
      </c>
      <c r="FZ728" s="1348"/>
      <c r="GA728" s="1348"/>
      <c r="GB728" s="1348"/>
      <c r="GC728" s="1349"/>
    </row>
    <row r="729" spans="1:185" ht="12.95" customHeight="1">
      <c r="A729" s="4"/>
      <c r="B729" s="1360" t="s">
        <v>164</v>
      </c>
      <c r="C729" s="1361"/>
      <c r="D729" s="1361"/>
      <c r="E729" s="1361"/>
      <c r="F729" s="1362"/>
      <c r="G729" s="1498">
        <v>3</v>
      </c>
      <c r="H729" s="1499"/>
      <c r="I729" s="1499"/>
      <c r="J729" s="1500"/>
      <c r="K729" s="1393">
        <v>1085</v>
      </c>
      <c r="L729" s="1394"/>
      <c r="M729" s="1394"/>
      <c r="N729" s="1395"/>
      <c r="O729" s="1389">
        <v>1371</v>
      </c>
      <c r="P729" s="1390"/>
      <c r="Q729" s="1390"/>
      <c r="R729" s="1390"/>
      <c r="S729" s="1391"/>
      <c r="T729" s="1389">
        <v>137</v>
      </c>
      <c r="U729" s="1390"/>
      <c r="V729" s="1390"/>
      <c r="W729" s="1391"/>
      <c r="X729" s="1371">
        <f t="shared" si="9"/>
        <v>1508</v>
      </c>
      <c r="Y729" s="1372"/>
      <c r="Z729" s="1372"/>
      <c r="AA729" s="1372"/>
      <c r="AB729" s="1373"/>
      <c r="AC729" s="1625">
        <v>0.3</v>
      </c>
      <c r="AD729" s="1626"/>
      <c r="AE729" s="1626"/>
      <c r="AF729" s="1626"/>
      <c r="AG729" s="1627"/>
      <c r="AH729" s="1426">
        <f t="shared" si="37"/>
        <v>0.29992044550517105</v>
      </c>
      <c r="AI729" s="1427"/>
      <c r="AJ729" s="1428"/>
      <c r="AK729" s="1360" t="s">
        <v>1044</v>
      </c>
      <c r="AL729" s="1361"/>
      <c r="AM729" s="1361"/>
      <c r="AN729" s="1361"/>
      <c r="AO729" s="1362"/>
      <c r="AP729" s="3"/>
      <c r="AQ729" s="3"/>
      <c r="AR729" s="3"/>
      <c r="AS729" s="3"/>
      <c r="AY729" s="1085"/>
      <c r="AZ729" s="118">
        <f t="shared" si="10"/>
        <v>5028</v>
      </c>
      <c r="BA729" s="3"/>
      <c r="BB729" s="3"/>
      <c r="BC729" s="3"/>
      <c r="BD729" s="3"/>
      <c r="BE729" s="204"/>
      <c r="BF729" s="294">
        <f t="shared" si="11"/>
        <v>3</v>
      </c>
      <c r="BG729" s="297">
        <f t="shared" si="12"/>
        <v>2.6548672566371681E-2</v>
      </c>
      <c r="BH729" s="298">
        <f t="shared" si="13"/>
        <v>7.9646017699115043E-3</v>
      </c>
      <c r="BI729" s="3"/>
      <c r="BJ729" s="3"/>
      <c r="BK729" s="3"/>
      <c r="BL729" s="3"/>
      <c r="BM729" s="3"/>
      <c r="BN729" s="3"/>
      <c r="BS729" s="294">
        <f t="shared" si="14"/>
        <v>3</v>
      </c>
      <c r="BT729" s="297">
        <f t="shared" si="15"/>
        <v>2.6548672566371681E-2</v>
      </c>
      <c r="BU729" s="298">
        <f t="shared" si="16"/>
        <v>7.9624897036771076E-3</v>
      </c>
      <c r="BV729" s="3"/>
      <c r="BW729" s="3"/>
      <c r="BX729" s="3"/>
      <c r="BY729" s="3"/>
      <c r="BZ729" s="3"/>
      <c r="CA729" s="3"/>
      <c r="CB729" s="3"/>
      <c r="CC729" s="3"/>
      <c r="CE729" s="3"/>
      <c r="CF729" s="3"/>
      <c r="CG729" s="1347">
        <f t="shared" si="38"/>
        <v>0</v>
      </c>
      <c r="CH729" s="1349"/>
      <c r="CI729" s="1344">
        <f t="shared" si="39"/>
        <v>0</v>
      </c>
      <c r="CJ729" s="1346"/>
      <c r="CK729" s="1347">
        <f t="shared" si="17"/>
        <v>1</v>
      </c>
      <c r="CL729" s="1349"/>
      <c r="CM729" s="1344">
        <f t="shared" si="18"/>
        <v>3</v>
      </c>
      <c r="CN729" s="1346"/>
      <c r="CO729" s="3"/>
      <c r="CP729" s="1336">
        <f t="shared" si="19"/>
        <v>0</v>
      </c>
      <c r="CQ729" s="1337"/>
      <c r="CR729" s="1337"/>
      <c r="CS729" s="1337"/>
      <c r="CT729" s="1338"/>
      <c r="CU729" s="1332">
        <f t="shared" si="20"/>
        <v>0</v>
      </c>
      <c r="CV729" s="1332"/>
      <c r="CW729" s="1332"/>
      <c r="CX729" s="1332"/>
      <c r="CY729" s="1332"/>
      <c r="CZ729" s="1332">
        <f t="shared" si="21"/>
        <v>0</v>
      </c>
      <c r="DA729" s="1332"/>
      <c r="DB729" s="1332"/>
      <c r="DC729" s="1332"/>
      <c r="DD729" s="1332"/>
      <c r="DE729" s="1332">
        <f t="shared" si="22"/>
        <v>3</v>
      </c>
      <c r="DF729" s="1332"/>
      <c r="DG729" s="1332"/>
      <c r="DH729" s="1332"/>
      <c r="DI729" s="1332"/>
      <c r="DJ729" s="1332">
        <f t="shared" si="23"/>
        <v>0</v>
      </c>
      <c r="DK729" s="1332"/>
      <c r="DL729" s="1332"/>
      <c r="DM729" s="1332"/>
      <c r="DN729" s="1332"/>
      <c r="DO729" s="1332">
        <f t="shared" si="24"/>
        <v>0</v>
      </c>
      <c r="DP729" s="1332"/>
      <c r="DQ729" s="1332"/>
      <c r="DR729" s="1332"/>
      <c r="DS729" s="1332"/>
      <c r="DT729" s="6"/>
      <c r="DU729" s="1397">
        <f t="shared" si="25"/>
        <v>0</v>
      </c>
      <c r="DV729" s="1397"/>
      <c r="DW729" s="1397"/>
      <c r="DX729" s="1397"/>
      <c r="DY729" s="1397"/>
      <c r="DZ729" s="1397">
        <f t="shared" si="26"/>
        <v>0</v>
      </c>
      <c r="EA729" s="1397"/>
      <c r="EB729" s="1397"/>
      <c r="EC729" s="1397"/>
      <c r="ED729" s="1397"/>
      <c r="EE729" s="1397">
        <f t="shared" si="27"/>
        <v>0</v>
      </c>
      <c r="EF729" s="1397"/>
      <c r="EG729" s="1397"/>
      <c r="EH729" s="1397"/>
      <c r="EI729" s="1397"/>
      <c r="EJ729" s="1397">
        <f t="shared" si="28"/>
        <v>3</v>
      </c>
      <c r="EK729" s="1397"/>
      <c r="EL729" s="1397"/>
      <c r="EM729" s="1397"/>
      <c r="EN729" s="1397"/>
      <c r="EO729" s="1397">
        <f t="shared" si="29"/>
        <v>0</v>
      </c>
      <c r="EP729" s="1397"/>
      <c r="EQ729" s="1397"/>
      <c r="ER729" s="1397"/>
      <c r="ES729" s="1397"/>
      <c r="ET729" s="1397">
        <f t="shared" si="30"/>
        <v>0</v>
      </c>
      <c r="EU729" s="1397"/>
      <c r="EV729" s="1397"/>
      <c r="EW729" s="1397"/>
      <c r="EX729" s="1397"/>
      <c r="EZ729" s="1347" t="str">
        <f t="shared" si="31"/>
        <v/>
      </c>
      <c r="FA729" s="1348"/>
      <c r="FB729" s="1348"/>
      <c r="FC729" s="1348"/>
      <c r="FD729" s="1349"/>
      <c r="FE729" s="1347" t="str">
        <f t="shared" si="32"/>
        <v/>
      </c>
      <c r="FF729" s="1348"/>
      <c r="FG729" s="1348"/>
      <c r="FH729" s="1348"/>
      <c r="FI729" s="1349"/>
      <c r="FJ729" s="1347" t="str">
        <f t="shared" si="33"/>
        <v/>
      </c>
      <c r="FK729" s="1348"/>
      <c r="FL729" s="1348"/>
      <c r="FM729" s="1348"/>
      <c r="FN729" s="1349"/>
      <c r="FO729" s="1347">
        <f t="shared" si="34"/>
        <v>1371</v>
      </c>
      <c r="FP729" s="1348"/>
      <c r="FQ729" s="1348"/>
      <c r="FR729" s="1348"/>
      <c r="FS729" s="1349"/>
      <c r="FT729" s="1347" t="str">
        <f t="shared" si="35"/>
        <v/>
      </c>
      <c r="FU729" s="1348"/>
      <c r="FV729" s="1348"/>
      <c r="FW729" s="1348"/>
      <c r="FX729" s="1349"/>
      <c r="FY729" s="1347" t="str">
        <f t="shared" si="36"/>
        <v/>
      </c>
      <c r="FZ729" s="1348"/>
      <c r="GA729" s="1348"/>
      <c r="GB729" s="1348"/>
      <c r="GC729" s="1349"/>
    </row>
    <row r="730" spans="1:185" ht="12.95" customHeight="1">
      <c r="B730" s="1360" t="s">
        <v>164</v>
      </c>
      <c r="C730" s="1361"/>
      <c r="D730" s="1361"/>
      <c r="E730" s="1361"/>
      <c r="F730" s="1362"/>
      <c r="G730" s="1498">
        <v>6</v>
      </c>
      <c r="H730" s="1499"/>
      <c r="I730" s="1499"/>
      <c r="J730" s="1500"/>
      <c r="K730" s="1393">
        <v>1085</v>
      </c>
      <c r="L730" s="1394"/>
      <c r="M730" s="1394"/>
      <c r="N730" s="1395"/>
      <c r="O730" s="1389">
        <v>1874</v>
      </c>
      <c r="P730" s="1390"/>
      <c r="Q730" s="1390"/>
      <c r="R730" s="1390"/>
      <c r="S730" s="1391"/>
      <c r="T730" s="1389">
        <v>137</v>
      </c>
      <c r="U730" s="1390"/>
      <c r="V730" s="1390"/>
      <c r="W730" s="1391"/>
      <c r="X730" s="1371">
        <f t="shared" si="9"/>
        <v>2011</v>
      </c>
      <c r="Y730" s="1372"/>
      <c r="Z730" s="1372"/>
      <c r="AA730" s="1372"/>
      <c r="AB730" s="1373"/>
      <c r="AC730" s="1625">
        <v>0.4</v>
      </c>
      <c r="AD730" s="1626"/>
      <c r="AE730" s="1626"/>
      <c r="AF730" s="1626"/>
      <c r="AG730" s="1627"/>
      <c r="AH730" s="1426">
        <f t="shared" si="37"/>
        <v>0.39996022275258553</v>
      </c>
      <c r="AI730" s="1427"/>
      <c r="AJ730" s="1428"/>
      <c r="AK730" s="1360" t="s">
        <v>592</v>
      </c>
      <c r="AL730" s="1361"/>
      <c r="AM730" s="1361"/>
      <c r="AN730" s="1361"/>
      <c r="AO730" s="1362"/>
      <c r="AP730" s="3"/>
      <c r="AQ730" s="3"/>
      <c r="AR730" s="3"/>
      <c r="AS730" s="3"/>
      <c r="AY730" s="1085"/>
      <c r="AZ730" s="118">
        <f t="shared" si="10"/>
        <v>5028</v>
      </c>
      <c r="BA730" s="3"/>
      <c r="BB730" s="3"/>
      <c r="BC730" s="3"/>
      <c r="BD730" s="3"/>
      <c r="BE730" s="204"/>
      <c r="BF730" s="294">
        <f t="shared" si="11"/>
        <v>6</v>
      </c>
      <c r="BG730" s="297">
        <f t="shared" si="12"/>
        <v>5.3097345132743362E-2</v>
      </c>
      <c r="BH730" s="298">
        <f t="shared" si="13"/>
        <v>2.1238938053097345E-2</v>
      </c>
      <c r="BI730" s="3"/>
      <c r="BJ730" s="3"/>
      <c r="BK730" s="3"/>
      <c r="BL730" s="3"/>
      <c r="BM730" s="3"/>
      <c r="BN730" s="3"/>
      <c r="BS730" s="294">
        <f t="shared" si="14"/>
        <v>6</v>
      </c>
      <c r="BT730" s="297">
        <f t="shared" si="15"/>
        <v>5.3097345132743362E-2</v>
      </c>
      <c r="BU730" s="298">
        <f t="shared" si="16"/>
        <v>2.1236825986862946E-2</v>
      </c>
      <c r="BV730" s="3"/>
      <c r="BW730" s="3"/>
      <c r="BX730" s="3"/>
      <c r="BY730" s="3"/>
      <c r="BZ730" s="3"/>
      <c r="CA730" s="3"/>
      <c r="CB730" s="3"/>
      <c r="CC730" s="3"/>
      <c r="CE730" s="3"/>
      <c r="CF730" s="3"/>
      <c r="CG730" s="1347">
        <f t="shared" si="38"/>
        <v>1</v>
      </c>
      <c r="CH730" s="1349"/>
      <c r="CI730" s="1344">
        <f t="shared" si="39"/>
        <v>6</v>
      </c>
      <c r="CJ730" s="1346"/>
      <c r="CK730" s="1347">
        <f t="shared" si="17"/>
        <v>0</v>
      </c>
      <c r="CL730" s="1349"/>
      <c r="CM730" s="1344">
        <f t="shared" si="18"/>
        <v>0</v>
      </c>
      <c r="CN730" s="1346"/>
      <c r="CO730" s="3"/>
      <c r="CP730" s="1336">
        <f t="shared" si="19"/>
        <v>0</v>
      </c>
      <c r="CQ730" s="1337"/>
      <c r="CR730" s="1337"/>
      <c r="CS730" s="1337"/>
      <c r="CT730" s="1338"/>
      <c r="CU730" s="1332">
        <f t="shared" si="20"/>
        <v>0</v>
      </c>
      <c r="CV730" s="1332"/>
      <c r="CW730" s="1332"/>
      <c r="CX730" s="1332"/>
      <c r="CY730" s="1332"/>
      <c r="CZ730" s="1332">
        <f t="shared" si="21"/>
        <v>0</v>
      </c>
      <c r="DA730" s="1332"/>
      <c r="DB730" s="1332"/>
      <c r="DC730" s="1332"/>
      <c r="DD730" s="1332"/>
      <c r="DE730" s="1332">
        <f t="shared" si="22"/>
        <v>6</v>
      </c>
      <c r="DF730" s="1332"/>
      <c r="DG730" s="1332"/>
      <c r="DH730" s="1332"/>
      <c r="DI730" s="1332"/>
      <c r="DJ730" s="1332">
        <f t="shared" si="23"/>
        <v>0</v>
      </c>
      <c r="DK730" s="1332"/>
      <c r="DL730" s="1332"/>
      <c r="DM730" s="1332"/>
      <c r="DN730" s="1332"/>
      <c r="DO730" s="1332">
        <f t="shared" si="24"/>
        <v>0</v>
      </c>
      <c r="DP730" s="1332"/>
      <c r="DQ730" s="1332"/>
      <c r="DR730" s="1332"/>
      <c r="DS730" s="1332"/>
      <c r="DT730" s="6"/>
      <c r="DU730" s="1397">
        <f t="shared" si="25"/>
        <v>0</v>
      </c>
      <c r="DV730" s="1397"/>
      <c r="DW730" s="1397"/>
      <c r="DX730" s="1397"/>
      <c r="DY730" s="1397"/>
      <c r="DZ730" s="1397">
        <f t="shared" si="26"/>
        <v>0</v>
      </c>
      <c r="EA730" s="1397"/>
      <c r="EB730" s="1397"/>
      <c r="EC730" s="1397"/>
      <c r="ED730" s="1397"/>
      <c r="EE730" s="1397">
        <f t="shared" si="27"/>
        <v>0</v>
      </c>
      <c r="EF730" s="1397"/>
      <c r="EG730" s="1397"/>
      <c r="EH730" s="1397"/>
      <c r="EI730" s="1397"/>
      <c r="EJ730" s="1397">
        <f t="shared" si="28"/>
        <v>0</v>
      </c>
      <c r="EK730" s="1397"/>
      <c r="EL730" s="1397"/>
      <c r="EM730" s="1397"/>
      <c r="EN730" s="1397"/>
      <c r="EO730" s="1397">
        <f t="shared" si="29"/>
        <v>0</v>
      </c>
      <c r="EP730" s="1397"/>
      <c r="EQ730" s="1397"/>
      <c r="ER730" s="1397"/>
      <c r="ES730" s="1397"/>
      <c r="ET730" s="1397">
        <f t="shared" si="30"/>
        <v>0</v>
      </c>
      <c r="EU730" s="1397"/>
      <c r="EV730" s="1397"/>
      <c r="EW730" s="1397"/>
      <c r="EX730" s="1397"/>
      <c r="EZ730" s="1347" t="str">
        <f t="shared" si="31"/>
        <v/>
      </c>
      <c r="FA730" s="1348"/>
      <c r="FB730" s="1348"/>
      <c r="FC730" s="1348"/>
      <c r="FD730" s="1349"/>
      <c r="FE730" s="1347" t="str">
        <f t="shared" si="32"/>
        <v/>
      </c>
      <c r="FF730" s="1348"/>
      <c r="FG730" s="1348"/>
      <c r="FH730" s="1348"/>
      <c r="FI730" s="1349"/>
      <c r="FJ730" s="1347" t="str">
        <f t="shared" si="33"/>
        <v/>
      </c>
      <c r="FK730" s="1348"/>
      <c r="FL730" s="1348"/>
      <c r="FM730" s="1348"/>
      <c r="FN730" s="1349"/>
      <c r="FO730" s="1347">
        <f t="shared" si="34"/>
        <v>1874</v>
      </c>
      <c r="FP730" s="1348"/>
      <c r="FQ730" s="1348"/>
      <c r="FR730" s="1348"/>
      <c r="FS730" s="1349"/>
      <c r="FT730" s="1347" t="str">
        <f t="shared" si="35"/>
        <v/>
      </c>
      <c r="FU730" s="1348"/>
      <c r="FV730" s="1348"/>
      <c r="FW730" s="1348"/>
      <c r="FX730" s="1349"/>
      <c r="FY730" s="1347" t="str">
        <f t="shared" si="36"/>
        <v/>
      </c>
      <c r="FZ730" s="1348"/>
      <c r="GA730" s="1348"/>
      <c r="GB730" s="1348"/>
      <c r="GC730" s="1349"/>
    </row>
    <row r="731" spans="1:185" ht="12.95" customHeight="1">
      <c r="B731" s="1360" t="s">
        <v>164</v>
      </c>
      <c r="C731" s="1361"/>
      <c r="D731" s="1361"/>
      <c r="E731" s="1361"/>
      <c r="F731" s="1362"/>
      <c r="G731" s="1498">
        <v>13</v>
      </c>
      <c r="H731" s="1499"/>
      <c r="I731" s="1499"/>
      <c r="J731" s="1500"/>
      <c r="K731" s="1393">
        <v>1085</v>
      </c>
      <c r="L731" s="1394"/>
      <c r="M731" s="1394"/>
      <c r="N731" s="1395"/>
      <c r="O731" s="1389">
        <v>2377</v>
      </c>
      <c r="P731" s="1390"/>
      <c r="Q731" s="1390"/>
      <c r="R731" s="1390"/>
      <c r="S731" s="1391"/>
      <c r="T731" s="1389">
        <v>137</v>
      </c>
      <c r="U731" s="1390"/>
      <c r="V731" s="1390"/>
      <c r="W731" s="1391"/>
      <c r="X731" s="1371">
        <f t="shared" si="9"/>
        <v>2514</v>
      </c>
      <c r="Y731" s="1372"/>
      <c r="Z731" s="1372"/>
      <c r="AA731" s="1372"/>
      <c r="AB731" s="1373"/>
      <c r="AC731" s="1625">
        <v>0.5</v>
      </c>
      <c r="AD731" s="1626"/>
      <c r="AE731" s="1626"/>
      <c r="AF731" s="1626"/>
      <c r="AG731" s="1627"/>
      <c r="AH731" s="1426">
        <f t="shared" si="37"/>
        <v>0.5</v>
      </c>
      <c r="AI731" s="1427"/>
      <c r="AJ731" s="1428"/>
      <c r="AK731" s="1360" t="s">
        <v>592</v>
      </c>
      <c r="AL731" s="1361"/>
      <c r="AM731" s="1361"/>
      <c r="AN731" s="1361"/>
      <c r="AO731" s="1362"/>
      <c r="AP731" s="3"/>
      <c r="AQ731" s="3"/>
      <c r="AR731" s="3"/>
      <c r="AS731" s="3"/>
      <c r="AY731" s="1085"/>
      <c r="AZ731" s="118">
        <f t="shared" si="10"/>
        <v>5028</v>
      </c>
      <c r="BA731" s="3"/>
      <c r="BB731" s="3"/>
      <c r="BC731" s="3"/>
      <c r="BD731" s="3"/>
      <c r="BE731" s="204"/>
      <c r="BF731" s="294">
        <f t="shared" si="11"/>
        <v>13</v>
      </c>
      <c r="BG731" s="297">
        <f t="shared" si="12"/>
        <v>0.11504424778761062</v>
      </c>
      <c r="BH731" s="298">
        <f t="shared" si="13"/>
        <v>5.7522123893805309E-2</v>
      </c>
      <c r="BI731" s="3"/>
      <c r="BJ731" s="3"/>
      <c r="BK731" s="3"/>
      <c r="BL731" s="3"/>
      <c r="BM731" s="3"/>
      <c r="BN731" s="3"/>
      <c r="BS731" s="294">
        <f t="shared" si="14"/>
        <v>13</v>
      </c>
      <c r="BT731" s="297">
        <f t="shared" si="15"/>
        <v>0.11504424778761062</v>
      </c>
      <c r="BU731" s="298">
        <f t="shared" si="16"/>
        <v>5.7522123893805309E-2</v>
      </c>
      <c r="BV731" s="3"/>
      <c r="BW731" s="3"/>
      <c r="BX731" s="3"/>
      <c r="BY731" s="3"/>
      <c r="BZ731" s="3"/>
      <c r="CA731" s="3"/>
      <c r="CB731" s="3"/>
      <c r="CC731" s="3"/>
      <c r="CE731" s="3"/>
      <c r="CF731" s="3"/>
      <c r="CG731" s="1347">
        <f t="shared" si="38"/>
        <v>1</v>
      </c>
      <c r="CH731" s="1349"/>
      <c r="CI731" s="1344">
        <f t="shared" si="39"/>
        <v>13</v>
      </c>
      <c r="CJ731" s="1346"/>
      <c r="CK731" s="1347">
        <f t="shared" si="17"/>
        <v>0</v>
      </c>
      <c r="CL731" s="1349"/>
      <c r="CM731" s="1344">
        <f t="shared" si="18"/>
        <v>0</v>
      </c>
      <c r="CN731" s="1346"/>
      <c r="CO731" s="3"/>
      <c r="CP731" s="1336">
        <f t="shared" si="19"/>
        <v>0</v>
      </c>
      <c r="CQ731" s="1337"/>
      <c r="CR731" s="1337"/>
      <c r="CS731" s="1337"/>
      <c r="CT731" s="1338"/>
      <c r="CU731" s="1332">
        <f t="shared" si="20"/>
        <v>0</v>
      </c>
      <c r="CV731" s="1332"/>
      <c r="CW731" s="1332"/>
      <c r="CX731" s="1332"/>
      <c r="CY731" s="1332"/>
      <c r="CZ731" s="1332">
        <f t="shared" si="21"/>
        <v>0</v>
      </c>
      <c r="DA731" s="1332"/>
      <c r="DB731" s="1332"/>
      <c r="DC731" s="1332"/>
      <c r="DD731" s="1332"/>
      <c r="DE731" s="1332">
        <f t="shared" si="22"/>
        <v>13</v>
      </c>
      <c r="DF731" s="1332"/>
      <c r="DG731" s="1332"/>
      <c r="DH731" s="1332"/>
      <c r="DI731" s="1332"/>
      <c r="DJ731" s="1332">
        <f t="shared" si="23"/>
        <v>0</v>
      </c>
      <c r="DK731" s="1332"/>
      <c r="DL731" s="1332"/>
      <c r="DM731" s="1332"/>
      <c r="DN731" s="1332"/>
      <c r="DO731" s="1332">
        <f t="shared" si="24"/>
        <v>0</v>
      </c>
      <c r="DP731" s="1332"/>
      <c r="DQ731" s="1332"/>
      <c r="DR731" s="1332"/>
      <c r="DS731" s="1332"/>
      <c r="DT731" s="6"/>
      <c r="DU731" s="1397">
        <f t="shared" si="25"/>
        <v>0</v>
      </c>
      <c r="DV731" s="1397"/>
      <c r="DW731" s="1397"/>
      <c r="DX731" s="1397"/>
      <c r="DY731" s="1397"/>
      <c r="DZ731" s="1397">
        <f t="shared" si="26"/>
        <v>0</v>
      </c>
      <c r="EA731" s="1397"/>
      <c r="EB731" s="1397"/>
      <c r="EC731" s="1397"/>
      <c r="ED731" s="1397"/>
      <c r="EE731" s="1397">
        <f t="shared" si="27"/>
        <v>0</v>
      </c>
      <c r="EF731" s="1397"/>
      <c r="EG731" s="1397"/>
      <c r="EH731" s="1397"/>
      <c r="EI731" s="1397"/>
      <c r="EJ731" s="1397">
        <f t="shared" si="28"/>
        <v>0</v>
      </c>
      <c r="EK731" s="1397"/>
      <c r="EL731" s="1397"/>
      <c r="EM731" s="1397"/>
      <c r="EN731" s="1397"/>
      <c r="EO731" s="1397">
        <f t="shared" si="29"/>
        <v>0</v>
      </c>
      <c r="EP731" s="1397"/>
      <c r="EQ731" s="1397"/>
      <c r="ER731" s="1397"/>
      <c r="ES731" s="1397"/>
      <c r="ET731" s="1397">
        <f t="shared" si="30"/>
        <v>0</v>
      </c>
      <c r="EU731" s="1397"/>
      <c r="EV731" s="1397"/>
      <c r="EW731" s="1397"/>
      <c r="EX731" s="1397"/>
      <c r="EZ731" s="1347" t="str">
        <f t="shared" si="31"/>
        <v/>
      </c>
      <c r="FA731" s="1348"/>
      <c r="FB731" s="1348"/>
      <c r="FC731" s="1348"/>
      <c r="FD731" s="1349"/>
      <c r="FE731" s="1347" t="str">
        <f t="shared" si="32"/>
        <v/>
      </c>
      <c r="FF731" s="1348"/>
      <c r="FG731" s="1348"/>
      <c r="FH731" s="1348"/>
      <c r="FI731" s="1349"/>
      <c r="FJ731" s="1347" t="str">
        <f t="shared" si="33"/>
        <v/>
      </c>
      <c r="FK731" s="1348"/>
      <c r="FL731" s="1348"/>
      <c r="FM731" s="1348"/>
      <c r="FN731" s="1349"/>
      <c r="FO731" s="1347">
        <f t="shared" si="34"/>
        <v>2377</v>
      </c>
      <c r="FP731" s="1348"/>
      <c r="FQ731" s="1348"/>
      <c r="FR731" s="1348"/>
      <c r="FS731" s="1349"/>
      <c r="FT731" s="1347" t="str">
        <f t="shared" si="35"/>
        <v/>
      </c>
      <c r="FU731" s="1348"/>
      <c r="FV731" s="1348"/>
      <c r="FW731" s="1348"/>
      <c r="FX731" s="1349"/>
      <c r="FY731" s="1347" t="str">
        <f t="shared" si="36"/>
        <v/>
      </c>
      <c r="FZ731" s="1348"/>
      <c r="GA731" s="1348"/>
      <c r="GB731" s="1348"/>
      <c r="GC731" s="1349"/>
    </row>
    <row r="732" spans="1:185" ht="12.95" customHeight="1">
      <c r="B732" s="1360" t="s">
        <v>164</v>
      </c>
      <c r="C732" s="1361"/>
      <c r="D732" s="1361"/>
      <c r="E732" s="1361"/>
      <c r="F732" s="1362"/>
      <c r="G732" s="1498">
        <v>8</v>
      </c>
      <c r="H732" s="1499"/>
      <c r="I732" s="1499"/>
      <c r="J732" s="1500"/>
      <c r="K732" s="1393">
        <v>1085</v>
      </c>
      <c r="L732" s="1394"/>
      <c r="M732" s="1394"/>
      <c r="N732" s="1395"/>
      <c r="O732" s="1389">
        <v>2880</v>
      </c>
      <c r="P732" s="1390"/>
      <c r="Q732" s="1390"/>
      <c r="R732" s="1390"/>
      <c r="S732" s="1391"/>
      <c r="T732" s="1389">
        <v>137</v>
      </c>
      <c r="U732" s="1390"/>
      <c r="V732" s="1390"/>
      <c r="W732" s="1391"/>
      <c r="X732" s="1371">
        <f t="shared" si="9"/>
        <v>3017</v>
      </c>
      <c r="Y732" s="1372"/>
      <c r="Z732" s="1372"/>
      <c r="AA732" s="1372"/>
      <c r="AB732" s="1373"/>
      <c r="AC732" s="1625">
        <v>0.6</v>
      </c>
      <c r="AD732" s="1626"/>
      <c r="AE732" s="1626"/>
      <c r="AF732" s="1626"/>
      <c r="AG732" s="1627"/>
      <c r="AH732" s="1426">
        <f t="shared" si="37"/>
        <v>0.60003977724741453</v>
      </c>
      <c r="AI732" s="1427"/>
      <c r="AJ732" s="1428"/>
      <c r="AK732" s="1360" t="s">
        <v>592</v>
      </c>
      <c r="AL732" s="1361"/>
      <c r="AM732" s="1361"/>
      <c r="AN732" s="1361"/>
      <c r="AO732" s="1362"/>
      <c r="AP732" s="3"/>
      <c r="AQ732" s="3"/>
      <c r="AR732" s="3"/>
      <c r="AS732" s="3"/>
      <c r="AY732" s="1085"/>
      <c r="AZ732" s="118">
        <f t="shared" si="10"/>
        <v>5028</v>
      </c>
      <c r="BA732" s="3"/>
      <c r="BB732" s="3"/>
      <c r="BC732" s="3"/>
      <c r="BD732" s="3"/>
      <c r="BE732" s="204"/>
      <c r="BF732" s="294">
        <f t="shared" si="11"/>
        <v>8</v>
      </c>
      <c r="BG732" s="297">
        <f t="shared" si="12"/>
        <v>7.0796460176991149E-2</v>
      </c>
      <c r="BH732" s="298">
        <f t="shared" si="13"/>
        <v>4.247787610619469E-2</v>
      </c>
      <c r="BI732" s="3"/>
      <c r="BJ732" s="3"/>
      <c r="BK732" s="3"/>
      <c r="BL732" s="3"/>
      <c r="BM732" s="3"/>
      <c r="BN732" s="3"/>
      <c r="BS732" s="294">
        <f t="shared" si="14"/>
        <v>8</v>
      </c>
      <c r="BT732" s="297">
        <f t="shared" si="15"/>
        <v>7.0796460176991149E-2</v>
      </c>
      <c r="BU732" s="298">
        <f t="shared" si="16"/>
        <v>4.2480692194507223E-2</v>
      </c>
      <c r="BV732" s="3"/>
      <c r="BW732" s="3"/>
      <c r="BX732" s="3"/>
      <c r="BY732" s="3"/>
      <c r="BZ732" s="3"/>
      <c r="CA732" s="3"/>
      <c r="CB732" s="3"/>
      <c r="CC732" s="3"/>
      <c r="CE732" s="3"/>
      <c r="CF732" s="3"/>
      <c r="CG732" s="1347">
        <f t="shared" si="38"/>
        <v>0</v>
      </c>
      <c r="CH732" s="1349"/>
      <c r="CI732" s="1344">
        <f t="shared" si="39"/>
        <v>0</v>
      </c>
      <c r="CJ732" s="1346"/>
      <c r="CK732" s="1347">
        <f t="shared" si="17"/>
        <v>0</v>
      </c>
      <c r="CL732" s="1349"/>
      <c r="CM732" s="1344">
        <f t="shared" si="18"/>
        <v>0</v>
      </c>
      <c r="CN732" s="1346"/>
      <c r="CO732" s="3"/>
      <c r="CP732" s="1336">
        <f t="shared" si="19"/>
        <v>0</v>
      </c>
      <c r="CQ732" s="1337"/>
      <c r="CR732" s="1337"/>
      <c r="CS732" s="1337"/>
      <c r="CT732" s="1338"/>
      <c r="CU732" s="1332">
        <f t="shared" si="20"/>
        <v>0</v>
      </c>
      <c r="CV732" s="1332"/>
      <c r="CW732" s="1332"/>
      <c r="CX732" s="1332"/>
      <c r="CY732" s="1332"/>
      <c r="CZ732" s="1332">
        <f t="shared" si="21"/>
        <v>0</v>
      </c>
      <c r="DA732" s="1332"/>
      <c r="DB732" s="1332"/>
      <c r="DC732" s="1332"/>
      <c r="DD732" s="1332"/>
      <c r="DE732" s="1332">
        <f t="shared" si="22"/>
        <v>8</v>
      </c>
      <c r="DF732" s="1332"/>
      <c r="DG732" s="1332"/>
      <c r="DH732" s="1332"/>
      <c r="DI732" s="1332"/>
      <c r="DJ732" s="1332">
        <f t="shared" si="23"/>
        <v>0</v>
      </c>
      <c r="DK732" s="1332"/>
      <c r="DL732" s="1332"/>
      <c r="DM732" s="1332"/>
      <c r="DN732" s="1332"/>
      <c r="DO732" s="1332">
        <f t="shared" si="24"/>
        <v>0</v>
      </c>
      <c r="DP732" s="1332"/>
      <c r="DQ732" s="1332"/>
      <c r="DR732" s="1332"/>
      <c r="DS732" s="1332"/>
      <c r="DT732" s="6"/>
      <c r="DU732" s="1397">
        <f t="shared" si="25"/>
        <v>0</v>
      </c>
      <c r="DV732" s="1397"/>
      <c r="DW732" s="1397"/>
      <c r="DX732" s="1397"/>
      <c r="DY732" s="1397"/>
      <c r="DZ732" s="1397">
        <f t="shared" si="26"/>
        <v>0</v>
      </c>
      <c r="EA732" s="1397"/>
      <c r="EB732" s="1397"/>
      <c r="EC732" s="1397"/>
      <c r="ED732" s="1397"/>
      <c r="EE732" s="1397">
        <f t="shared" si="27"/>
        <v>0</v>
      </c>
      <c r="EF732" s="1397"/>
      <c r="EG732" s="1397"/>
      <c r="EH732" s="1397"/>
      <c r="EI732" s="1397"/>
      <c r="EJ732" s="1397">
        <f t="shared" si="28"/>
        <v>0</v>
      </c>
      <c r="EK732" s="1397"/>
      <c r="EL732" s="1397"/>
      <c r="EM732" s="1397"/>
      <c r="EN732" s="1397"/>
      <c r="EO732" s="1397">
        <f t="shared" si="29"/>
        <v>0</v>
      </c>
      <c r="EP732" s="1397"/>
      <c r="EQ732" s="1397"/>
      <c r="ER732" s="1397"/>
      <c r="ES732" s="1397"/>
      <c r="ET732" s="1397">
        <f t="shared" si="30"/>
        <v>0</v>
      </c>
      <c r="EU732" s="1397"/>
      <c r="EV732" s="1397"/>
      <c r="EW732" s="1397"/>
      <c r="EX732" s="1397"/>
      <c r="EZ732" s="1347" t="str">
        <f t="shared" si="31"/>
        <v/>
      </c>
      <c r="FA732" s="1348"/>
      <c r="FB732" s="1348"/>
      <c r="FC732" s="1348"/>
      <c r="FD732" s="1349"/>
      <c r="FE732" s="1347" t="str">
        <f t="shared" si="32"/>
        <v/>
      </c>
      <c r="FF732" s="1348"/>
      <c r="FG732" s="1348"/>
      <c r="FH732" s="1348"/>
      <c r="FI732" s="1349"/>
      <c r="FJ732" s="1347" t="str">
        <f t="shared" si="33"/>
        <v/>
      </c>
      <c r="FK732" s="1348"/>
      <c r="FL732" s="1348"/>
      <c r="FM732" s="1348"/>
      <c r="FN732" s="1349"/>
      <c r="FO732" s="1347">
        <f t="shared" si="34"/>
        <v>2880</v>
      </c>
      <c r="FP732" s="1348"/>
      <c r="FQ732" s="1348"/>
      <c r="FR732" s="1348"/>
      <c r="FS732" s="1349"/>
      <c r="FT732" s="1347" t="str">
        <f t="shared" si="35"/>
        <v/>
      </c>
      <c r="FU732" s="1348"/>
      <c r="FV732" s="1348"/>
      <c r="FW732" s="1348"/>
      <c r="FX732" s="1349"/>
      <c r="FY732" s="1347" t="str">
        <f t="shared" si="36"/>
        <v/>
      </c>
      <c r="FZ732" s="1348"/>
      <c r="GA732" s="1348"/>
      <c r="GB732" s="1348"/>
      <c r="GC732" s="1349"/>
    </row>
    <row r="733" spans="1:185" ht="12.95" customHeight="1">
      <c r="B733" s="1360"/>
      <c r="C733" s="1361"/>
      <c r="D733" s="1361"/>
      <c r="E733" s="1361"/>
      <c r="F733" s="1362"/>
      <c r="G733" s="1498"/>
      <c r="H733" s="1499"/>
      <c r="I733" s="1499"/>
      <c r="J733" s="1500"/>
      <c r="K733" s="1393"/>
      <c r="L733" s="1394"/>
      <c r="M733" s="1394"/>
      <c r="N733" s="1395"/>
      <c r="O733" s="1389"/>
      <c r="P733" s="1390"/>
      <c r="Q733" s="1390"/>
      <c r="R733" s="1390"/>
      <c r="S733" s="1391"/>
      <c r="T733" s="1389"/>
      <c r="U733" s="1390"/>
      <c r="V733" s="1390"/>
      <c r="W733" s="1391"/>
      <c r="X733" s="1371">
        <f t="shared" si="9"/>
        <v>0</v>
      </c>
      <c r="Y733" s="1372"/>
      <c r="Z733" s="1372"/>
      <c r="AA733" s="1372"/>
      <c r="AB733" s="1373"/>
      <c r="AC733" s="1625"/>
      <c r="AD733" s="1626"/>
      <c r="AE733" s="1626"/>
      <c r="AF733" s="1626"/>
      <c r="AG733" s="1627"/>
      <c r="AH733" s="1426" t="str">
        <f t="shared" si="37"/>
        <v/>
      </c>
      <c r="AI733" s="1427"/>
      <c r="AJ733" s="1428"/>
      <c r="AK733" s="1360" t="s">
        <v>592</v>
      </c>
      <c r="AL733" s="1361"/>
      <c r="AM733" s="1361"/>
      <c r="AN733" s="1361"/>
      <c r="AO733" s="1362"/>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47">
        <f t="shared" si="38"/>
        <v>0</v>
      </c>
      <c r="CH733" s="1349"/>
      <c r="CI733" s="1344">
        <f t="shared" si="39"/>
        <v>0</v>
      </c>
      <c r="CJ733" s="1346"/>
      <c r="CK733" s="1347">
        <f t="shared" si="17"/>
        <v>0</v>
      </c>
      <c r="CL733" s="1349"/>
      <c r="CM733" s="1344">
        <f t="shared" si="18"/>
        <v>0</v>
      </c>
      <c r="CN733" s="1346"/>
      <c r="CO733" s="3"/>
      <c r="CP733" s="1336">
        <f t="shared" si="19"/>
        <v>0</v>
      </c>
      <c r="CQ733" s="1337"/>
      <c r="CR733" s="1337"/>
      <c r="CS733" s="1337"/>
      <c r="CT733" s="1338"/>
      <c r="CU733" s="1332">
        <f t="shared" si="20"/>
        <v>0</v>
      </c>
      <c r="CV733" s="1332"/>
      <c r="CW733" s="1332"/>
      <c r="CX733" s="1332"/>
      <c r="CY733" s="1332"/>
      <c r="CZ733" s="1332">
        <f t="shared" si="21"/>
        <v>0</v>
      </c>
      <c r="DA733" s="1332"/>
      <c r="DB733" s="1332"/>
      <c r="DC733" s="1332"/>
      <c r="DD733" s="1332"/>
      <c r="DE733" s="1332">
        <f t="shared" si="22"/>
        <v>0</v>
      </c>
      <c r="DF733" s="1332"/>
      <c r="DG733" s="1332"/>
      <c r="DH733" s="1332"/>
      <c r="DI733" s="1332"/>
      <c r="DJ733" s="1332">
        <f t="shared" si="23"/>
        <v>0</v>
      </c>
      <c r="DK733" s="1332"/>
      <c r="DL733" s="1332"/>
      <c r="DM733" s="1332"/>
      <c r="DN733" s="1332"/>
      <c r="DO733" s="1332">
        <f t="shared" si="24"/>
        <v>0</v>
      </c>
      <c r="DP733" s="1332"/>
      <c r="DQ733" s="1332"/>
      <c r="DR733" s="1332"/>
      <c r="DS733" s="1332"/>
      <c r="DT733" s="6"/>
      <c r="DU733" s="1397">
        <f t="shared" si="25"/>
        <v>0</v>
      </c>
      <c r="DV733" s="1397"/>
      <c r="DW733" s="1397"/>
      <c r="DX733" s="1397"/>
      <c r="DY733" s="1397"/>
      <c r="DZ733" s="1397">
        <f t="shared" si="26"/>
        <v>0</v>
      </c>
      <c r="EA733" s="1397"/>
      <c r="EB733" s="1397"/>
      <c r="EC733" s="1397"/>
      <c r="ED733" s="1397"/>
      <c r="EE733" s="1397">
        <f t="shared" si="27"/>
        <v>0</v>
      </c>
      <c r="EF733" s="1397"/>
      <c r="EG733" s="1397"/>
      <c r="EH733" s="1397"/>
      <c r="EI733" s="1397"/>
      <c r="EJ733" s="1397">
        <f t="shared" si="28"/>
        <v>0</v>
      </c>
      <c r="EK733" s="1397"/>
      <c r="EL733" s="1397"/>
      <c r="EM733" s="1397"/>
      <c r="EN733" s="1397"/>
      <c r="EO733" s="1397">
        <f t="shared" si="29"/>
        <v>0</v>
      </c>
      <c r="EP733" s="1397"/>
      <c r="EQ733" s="1397"/>
      <c r="ER733" s="1397"/>
      <c r="ES733" s="1397"/>
      <c r="ET733" s="1397">
        <f t="shared" si="30"/>
        <v>0</v>
      </c>
      <c r="EU733" s="1397"/>
      <c r="EV733" s="1397"/>
      <c r="EW733" s="1397"/>
      <c r="EX733" s="1397"/>
      <c r="EZ733" s="1347" t="str">
        <f t="shared" si="31"/>
        <v/>
      </c>
      <c r="FA733" s="1348"/>
      <c r="FB733" s="1348"/>
      <c r="FC733" s="1348"/>
      <c r="FD733" s="1349"/>
      <c r="FE733" s="1347" t="str">
        <f t="shared" si="32"/>
        <v/>
      </c>
      <c r="FF733" s="1348"/>
      <c r="FG733" s="1348"/>
      <c r="FH733" s="1348"/>
      <c r="FI733" s="1349"/>
      <c r="FJ733" s="1347" t="str">
        <f t="shared" si="33"/>
        <v/>
      </c>
      <c r="FK733" s="1348"/>
      <c r="FL733" s="1348"/>
      <c r="FM733" s="1348"/>
      <c r="FN733" s="1349"/>
      <c r="FO733" s="1347" t="str">
        <f t="shared" si="34"/>
        <v/>
      </c>
      <c r="FP733" s="1348"/>
      <c r="FQ733" s="1348"/>
      <c r="FR733" s="1348"/>
      <c r="FS733" s="1349"/>
      <c r="FT733" s="1347" t="str">
        <f t="shared" si="35"/>
        <v/>
      </c>
      <c r="FU733" s="1348"/>
      <c r="FV733" s="1348"/>
      <c r="FW733" s="1348"/>
      <c r="FX733" s="1349"/>
      <c r="FY733" s="1347" t="str">
        <f t="shared" si="36"/>
        <v/>
      </c>
      <c r="FZ733" s="1348"/>
      <c r="GA733" s="1348"/>
      <c r="GB733" s="1348"/>
      <c r="GC733" s="1349"/>
    </row>
    <row r="734" spans="1:185" ht="12.95" customHeight="1">
      <c r="B734" s="1360"/>
      <c r="C734" s="1361"/>
      <c r="D734" s="1361"/>
      <c r="E734" s="1361"/>
      <c r="F734" s="1362"/>
      <c r="G734" s="1498"/>
      <c r="H734" s="1499"/>
      <c r="I734" s="1499"/>
      <c r="J734" s="1500"/>
      <c r="K734" s="1393"/>
      <c r="L734" s="1394"/>
      <c r="M734" s="1394"/>
      <c r="N734" s="1395"/>
      <c r="O734" s="1389"/>
      <c r="P734" s="1390"/>
      <c r="Q734" s="1390"/>
      <c r="R734" s="1390"/>
      <c r="S734" s="1391"/>
      <c r="T734" s="1389"/>
      <c r="U734" s="1390"/>
      <c r="V734" s="1390"/>
      <c r="W734" s="1391"/>
      <c r="X734" s="1371">
        <f t="shared" si="9"/>
        <v>0</v>
      </c>
      <c r="Y734" s="1372"/>
      <c r="Z734" s="1372"/>
      <c r="AA734" s="1372"/>
      <c r="AB734" s="1373"/>
      <c r="AC734" s="1625"/>
      <c r="AD734" s="1626"/>
      <c r="AE734" s="1626"/>
      <c r="AF734" s="1626"/>
      <c r="AG734" s="1627"/>
      <c r="AH734" s="1426" t="str">
        <f t="shared" si="37"/>
        <v/>
      </c>
      <c r="AI734" s="1427"/>
      <c r="AJ734" s="1428"/>
      <c r="AK734" s="1360" t="s">
        <v>592</v>
      </c>
      <c r="AL734" s="1361"/>
      <c r="AM734" s="1361"/>
      <c r="AN734" s="1361"/>
      <c r="AO734" s="1362"/>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47">
        <f t="shared" si="38"/>
        <v>0</v>
      </c>
      <c r="CH734" s="1349"/>
      <c r="CI734" s="1344">
        <f t="shared" si="39"/>
        <v>0</v>
      </c>
      <c r="CJ734" s="1346"/>
      <c r="CK734" s="1347">
        <f t="shared" si="17"/>
        <v>0</v>
      </c>
      <c r="CL734" s="1349"/>
      <c r="CM734" s="1344">
        <f t="shared" si="18"/>
        <v>0</v>
      </c>
      <c r="CN734" s="1346"/>
      <c r="CO734" s="3"/>
      <c r="CP734" s="1336">
        <f t="shared" si="19"/>
        <v>0</v>
      </c>
      <c r="CQ734" s="1337"/>
      <c r="CR734" s="1337"/>
      <c r="CS734" s="1337"/>
      <c r="CT734" s="1338"/>
      <c r="CU734" s="1332">
        <f t="shared" si="20"/>
        <v>0</v>
      </c>
      <c r="CV734" s="1332"/>
      <c r="CW734" s="1332"/>
      <c r="CX734" s="1332"/>
      <c r="CY734" s="1332"/>
      <c r="CZ734" s="1332">
        <f t="shared" si="21"/>
        <v>0</v>
      </c>
      <c r="DA734" s="1332"/>
      <c r="DB734" s="1332"/>
      <c r="DC734" s="1332"/>
      <c r="DD734" s="1332"/>
      <c r="DE734" s="1332">
        <f t="shared" si="22"/>
        <v>0</v>
      </c>
      <c r="DF734" s="1332"/>
      <c r="DG734" s="1332"/>
      <c r="DH734" s="1332"/>
      <c r="DI734" s="1332"/>
      <c r="DJ734" s="1332">
        <f t="shared" si="23"/>
        <v>0</v>
      </c>
      <c r="DK734" s="1332"/>
      <c r="DL734" s="1332"/>
      <c r="DM734" s="1332"/>
      <c r="DN734" s="1332"/>
      <c r="DO734" s="1332">
        <f t="shared" si="24"/>
        <v>0</v>
      </c>
      <c r="DP734" s="1332"/>
      <c r="DQ734" s="1332"/>
      <c r="DR734" s="1332"/>
      <c r="DS734" s="1332"/>
      <c r="DT734" s="6"/>
      <c r="DU734" s="1397">
        <f t="shared" si="25"/>
        <v>0</v>
      </c>
      <c r="DV734" s="1397"/>
      <c r="DW734" s="1397"/>
      <c r="DX734" s="1397"/>
      <c r="DY734" s="1397"/>
      <c r="DZ734" s="1397">
        <f t="shared" si="26"/>
        <v>0</v>
      </c>
      <c r="EA734" s="1397"/>
      <c r="EB734" s="1397"/>
      <c r="EC734" s="1397"/>
      <c r="ED734" s="1397"/>
      <c r="EE734" s="1397">
        <f t="shared" si="27"/>
        <v>0</v>
      </c>
      <c r="EF734" s="1397"/>
      <c r="EG734" s="1397"/>
      <c r="EH734" s="1397"/>
      <c r="EI734" s="1397"/>
      <c r="EJ734" s="1397">
        <f t="shared" si="28"/>
        <v>0</v>
      </c>
      <c r="EK734" s="1397"/>
      <c r="EL734" s="1397"/>
      <c r="EM734" s="1397"/>
      <c r="EN734" s="1397"/>
      <c r="EO734" s="1397">
        <f t="shared" si="29"/>
        <v>0</v>
      </c>
      <c r="EP734" s="1397"/>
      <c r="EQ734" s="1397"/>
      <c r="ER734" s="1397"/>
      <c r="ES734" s="1397"/>
      <c r="ET734" s="1397">
        <f t="shared" si="30"/>
        <v>0</v>
      </c>
      <c r="EU734" s="1397"/>
      <c r="EV734" s="1397"/>
      <c r="EW734" s="1397"/>
      <c r="EX734" s="1397"/>
      <c r="EZ734" s="1347" t="str">
        <f t="shared" si="31"/>
        <v/>
      </c>
      <c r="FA734" s="1348"/>
      <c r="FB734" s="1348"/>
      <c r="FC734" s="1348"/>
      <c r="FD734" s="1349"/>
      <c r="FE734" s="1347" t="str">
        <f t="shared" si="32"/>
        <v/>
      </c>
      <c r="FF734" s="1348"/>
      <c r="FG734" s="1348"/>
      <c r="FH734" s="1348"/>
      <c r="FI734" s="1349"/>
      <c r="FJ734" s="1347" t="str">
        <f t="shared" si="33"/>
        <v/>
      </c>
      <c r="FK734" s="1348"/>
      <c r="FL734" s="1348"/>
      <c r="FM734" s="1348"/>
      <c r="FN734" s="1349"/>
      <c r="FO734" s="1347" t="str">
        <f t="shared" si="34"/>
        <v/>
      </c>
      <c r="FP734" s="1348"/>
      <c r="FQ734" s="1348"/>
      <c r="FR734" s="1348"/>
      <c r="FS734" s="1349"/>
      <c r="FT734" s="1347" t="str">
        <f t="shared" si="35"/>
        <v/>
      </c>
      <c r="FU734" s="1348"/>
      <c r="FV734" s="1348"/>
      <c r="FW734" s="1348"/>
      <c r="FX734" s="1349"/>
      <c r="FY734" s="1347" t="str">
        <f t="shared" si="36"/>
        <v/>
      </c>
      <c r="FZ734" s="1348"/>
      <c r="GA734" s="1348"/>
      <c r="GB734" s="1348"/>
      <c r="GC734" s="1349"/>
    </row>
    <row r="735" spans="1:185" ht="12.95" customHeight="1">
      <c r="B735" s="1360"/>
      <c r="C735" s="1361"/>
      <c r="D735" s="1361"/>
      <c r="E735" s="1361"/>
      <c r="F735" s="1362"/>
      <c r="G735" s="1498"/>
      <c r="H735" s="1499"/>
      <c r="I735" s="1499"/>
      <c r="J735" s="1500"/>
      <c r="K735" s="1393"/>
      <c r="L735" s="1394"/>
      <c r="M735" s="1394"/>
      <c r="N735" s="1395"/>
      <c r="O735" s="1389"/>
      <c r="P735" s="1390"/>
      <c r="Q735" s="1390"/>
      <c r="R735" s="1390"/>
      <c r="S735" s="1391"/>
      <c r="T735" s="1389"/>
      <c r="U735" s="1390"/>
      <c r="V735" s="1390"/>
      <c r="W735" s="1391"/>
      <c r="X735" s="1371">
        <f t="shared" si="9"/>
        <v>0</v>
      </c>
      <c r="Y735" s="1372"/>
      <c r="Z735" s="1372"/>
      <c r="AA735" s="1372"/>
      <c r="AB735" s="1373"/>
      <c r="AC735" s="1625"/>
      <c r="AD735" s="1626"/>
      <c r="AE735" s="1626"/>
      <c r="AF735" s="1626"/>
      <c r="AG735" s="1627"/>
      <c r="AH735" s="1426" t="str">
        <f t="shared" si="37"/>
        <v/>
      </c>
      <c r="AI735" s="1427"/>
      <c r="AJ735" s="1428"/>
      <c r="AK735" s="1360" t="s">
        <v>592</v>
      </c>
      <c r="AL735" s="1361"/>
      <c r="AM735" s="1361"/>
      <c r="AN735" s="1361"/>
      <c r="AO735" s="1362"/>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47">
        <f t="shared" si="38"/>
        <v>0</v>
      </c>
      <c r="CH735" s="1349"/>
      <c r="CI735" s="1344">
        <f t="shared" si="39"/>
        <v>0</v>
      </c>
      <c r="CJ735" s="1346"/>
      <c r="CK735" s="1347">
        <f t="shared" si="17"/>
        <v>0</v>
      </c>
      <c r="CL735" s="1349"/>
      <c r="CM735" s="1344">
        <f t="shared" si="18"/>
        <v>0</v>
      </c>
      <c r="CN735" s="1346"/>
      <c r="CO735" s="3"/>
      <c r="CP735" s="1336">
        <f t="shared" si="19"/>
        <v>0</v>
      </c>
      <c r="CQ735" s="1337"/>
      <c r="CR735" s="1337"/>
      <c r="CS735" s="1337"/>
      <c r="CT735" s="1338"/>
      <c r="CU735" s="1332">
        <f t="shared" si="20"/>
        <v>0</v>
      </c>
      <c r="CV735" s="1332"/>
      <c r="CW735" s="1332"/>
      <c r="CX735" s="1332"/>
      <c r="CY735" s="1332"/>
      <c r="CZ735" s="1332">
        <f t="shared" si="21"/>
        <v>0</v>
      </c>
      <c r="DA735" s="1332"/>
      <c r="DB735" s="1332"/>
      <c r="DC735" s="1332"/>
      <c r="DD735" s="1332"/>
      <c r="DE735" s="1332">
        <f t="shared" si="22"/>
        <v>0</v>
      </c>
      <c r="DF735" s="1332"/>
      <c r="DG735" s="1332"/>
      <c r="DH735" s="1332"/>
      <c r="DI735" s="1332"/>
      <c r="DJ735" s="1332">
        <f t="shared" si="23"/>
        <v>0</v>
      </c>
      <c r="DK735" s="1332"/>
      <c r="DL735" s="1332"/>
      <c r="DM735" s="1332"/>
      <c r="DN735" s="1332"/>
      <c r="DO735" s="1332">
        <f t="shared" si="24"/>
        <v>0</v>
      </c>
      <c r="DP735" s="1332"/>
      <c r="DQ735" s="1332"/>
      <c r="DR735" s="1332"/>
      <c r="DS735" s="1332"/>
      <c r="DT735" s="6"/>
      <c r="DU735" s="1397">
        <f t="shared" si="25"/>
        <v>0</v>
      </c>
      <c r="DV735" s="1397"/>
      <c r="DW735" s="1397"/>
      <c r="DX735" s="1397"/>
      <c r="DY735" s="1397"/>
      <c r="DZ735" s="1397">
        <f t="shared" si="26"/>
        <v>0</v>
      </c>
      <c r="EA735" s="1397"/>
      <c r="EB735" s="1397"/>
      <c r="EC735" s="1397"/>
      <c r="ED735" s="1397"/>
      <c r="EE735" s="1397">
        <f t="shared" si="27"/>
        <v>0</v>
      </c>
      <c r="EF735" s="1397"/>
      <c r="EG735" s="1397"/>
      <c r="EH735" s="1397"/>
      <c r="EI735" s="1397"/>
      <c r="EJ735" s="1397">
        <f t="shared" si="28"/>
        <v>0</v>
      </c>
      <c r="EK735" s="1397"/>
      <c r="EL735" s="1397"/>
      <c r="EM735" s="1397"/>
      <c r="EN735" s="1397"/>
      <c r="EO735" s="1397">
        <f t="shared" si="29"/>
        <v>0</v>
      </c>
      <c r="EP735" s="1397"/>
      <c r="EQ735" s="1397"/>
      <c r="ER735" s="1397"/>
      <c r="ES735" s="1397"/>
      <c r="ET735" s="1397">
        <f t="shared" si="30"/>
        <v>0</v>
      </c>
      <c r="EU735" s="1397"/>
      <c r="EV735" s="1397"/>
      <c r="EW735" s="1397"/>
      <c r="EX735" s="1397"/>
      <c r="EZ735" s="1347" t="str">
        <f t="shared" si="31"/>
        <v/>
      </c>
      <c r="FA735" s="1348"/>
      <c r="FB735" s="1348"/>
      <c r="FC735" s="1348"/>
      <c r="FD735" s="1349"/>
      <c r="FE735" s="1347" t="str">
        <f t="shared" si="32"/>
        <v/>
      </c>
      <c r="FF735" s="1348"/>
      <c r="FG735" s="1348"/>
      <c r="FH735" s="1348"/>
      <c r="FI735" s="1349"/>
      <c r="FJ735" s="1347" t="str">
        <f t="shared" si="33"/>
        <v/>
      </c>
      <c r="FK735" s="1348"/>
      <c r="FL735" s="1348"/>
      <c r="FM735" s="1348"/>
      <c r="FN735" s="1349"/>
      <c r="FO735" s="1347" t="str">
        <f t="shared" si="34"/>
        <v/>
      </c>
      <c r="FP735" s="1348"/>
      <c r="FQ735" s="1348"/>
      <c r="FR735" s="1348"/>
      <c r="FS735" s="1349"/>
      <c r="FT735" s="1347" t="str">
        <f t="shared" si="35"/>
        <v/>
      </c>
      <c r="FU735" s="1348"/>
      <c r="FV735" s="1348"/>
      <c r="FW735" s="1348"/>
      <c r="FX735" s="1349"/>
      <c r="FY735" s="1347" t="str">
        <f t="shared" si="36"/>
        <v/>
      </c>
      <c r="FZ735" s="1348"/>
      <c r="GA735" s="1348"/>
      <c r="GB735" s="1348"/>
      <c r="GC735" s="1349"/>
    </row>
    <row r="736" spans="1:185" ht="12.95" customHeight="1">
      <c r="B736" s="1360"/>
      <c r="C736" s="1361"/>
      <c r="D736" s="1361"/>
      <c r="E736" s="1361"/>
      <c r="F736" s="1362"/>
      <c r="G736" s="1498"/>
      <c r="H736" s="1499"/>
      <c r="I736" s="1499"/>
      <c r="J736" s="1500"/>
      <c r="K736" s="1393"/>
      <c r="L736" s="1394"/>
      <c r="M736" s="1394"/>
      <c r="N736" s="1395"/>
      <c r="O736" s="1389"/>
      <c r="P736" s="1390"/>
      <c r="Q736" s="1390"/>
      <c r="R736" s="1390"/>
      <c r="S736" s="1391"/>
      <c r="T736" s="1389"/>
      <c r="U736" s="1390"/>
      <c r="V736" s="1390"/>
      <c r="W736" s="1391"/>
      <c r="X736" s="1371">
        <f t="shared" si="9"/>
        <v>0</v>
      </c>
      <c r="Y736" s="1372"/>
      <c r="Z736" s="1372"/>
      <c r="AA736" s="1372"/>
      <c r="AB736" s="1373"/>
      <c r="AC736" s="1625"/>
      <c r="AD736" s="1626"/>
      <c r="AE736" s="1626"/>
      <c r="AF736" s="1626"/>
      <c r="AG736" s="1627"/>
      <c r="AH736" s="1426" t="str">
        <f t="shared" si="37"/>
        <v/>
      </c>
      <c r="AI736" s="1427"/>
      <c r="AJ736" s="1428"/>
      <c r="AK736" s="1360" t="s">
        <v>592</v>
      </c>
      <c r="AL736" s="1361"/>
      <c r="AM736" s="1361"/>
      <c r="AN736" s="1361"/>
      <c r="AO736" s="1362"/>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47">
        <f t="shared" si="38"/>
        <v>0</v>
      </c>
      <c r="CH736" s="1349"/>
      <c r="CI736" s="1344">
        <f t="shared" si="39"/>
        <v>0</v>
      </c>
      <c r="CJ736" s="1346"/>
      <c r="CK736" s="1347">
        <f t="shared" si="17"/>
        <v>0</v>
      </c>
      <c r="CL736" s="1349"/>
      <c r="CM736" s="1344">
        <f t="shared" si="18"/>
        <v>0</v>
      </c>
      <c r="CN736" s="1346"/>
      <c r="CO736" s="3"/>
      <c r="CP736" s="1336">
        <f t="shared" si="19"/>
        <v>0</v>
      </c>
      <c r="CQ736" s="1337"/>
      <c r="CR736" s="1337"/>
      <c r="CS736" s="1337"/>
      <c r="CT736" s="1338"/>
      <c r="CU736" s="1332">
        <f t="shared" si="20"/>
        <v>0</v>
      </c>
      <c r="CV736" s="1332"/>
      <c r="CW736" s="1332"/>
      <c r="CX736" s="1332"/>
      <c r="CY736" s="1332"/>
      <c r="CZ736" s="1332">
        <f t="shared" si="21"/>
        <v>0</v>
      </c>
      <c r="DA736" s="1332"/>
      <c r="DB736" s="1332"/>
      <c r="DC736" s="1332"/>
      <c r="DD736" s="1332"/>
      <c r="DE736" s="1332">
        <f t="shared" si="22"/>
        <v>0</v>
      </c>
      <c r="DF736" s="1332"/>
      <c r="DG736" s="1332"/>
      <c r="DH736" s="1332"/>
      <c r="DI736" s="1332"/>
      <c r="DJ736" s="1332">
        <f t="shared" si="23"/>
        <v>0</v>
      </c>
      <c r="DK736" s="1332"/>
      <c r="DL736" s="1332"/>
      <c r="DM736" s="1332"/>
      <c r="DN736" s="1332"/>
      <c r="DO736" s="1332">
        <f t="shared" si="24"/>
        <v>0</v>
      </c>
      <c r="DP736" s="1332"/>
      <c r="DQ736" s="1332"/>
      <c r="DR736" s="1332"/>
      <c r="DS736" s="1332"/>
      <c r="DT736" s="6"/>
      <c r="DU736" s="1397">
        <f t="shared" si="25"/>
        <v>0</v>
      </c>
      <c r="DV736" s="1397"/>
      <c r="DW736" s="1397"/>
      <c r="DX736" s="1397"/>
      <c r="DY736" s="1397"/>
      <c r="DZ736" s="1397">
        <f t="shared" si="26"/>
        <v>0</v>
      </c>
      <c r="EA736" s="1397"/>
      <c r="EB736" s="1397"/>
      <c r="EC736" s="1397"/>
      <c r="ED736" s="1397"/>
      <c r="EE736" s="1397">
        <f t="shared" si="27"/>
        <v>0</v>
      </c>
      <c r="EF736" s="1397"/>
      <c r="EG736" s="1397"/>
      <c r="EH736" s="1397"/>
      <c r="EI736" s="1397"/>
      <c r="EJ736" s="1397">
        <f t="shared" si="28"/>
        <v>0</v>
      </c>
      <c r="EK736" s="1397"/>
      <c r="EL736" s="1397"/>
      <c r="EM736" s="1397"/>
      <c r="EN736" s="1397"/>
      <c r="EO736" s="1397">
        <f t="shared" si="29"/>
        <v>0</v>
      </c>
      <c r="EP736" s="1397"/>
      <c r="EQ736" s="1397"/>
      <c r="ER736" s="1397"/>
      <c r="ES736" s="1397"/>
      <c r="ET736" s="1397">
        <f t="shared" si="30"/>
        <v>0</v>
      </c>
      <c r="EU736" s="1397"/>
      <c r="EV736" s="1397"/>
      <c r="EW736" s="1397"/>
      <c r="EX736" s="1397"/>
      <c r="EZ736" s="1347" t="str">
        <f t="shared" si="31"/>
        <v/>
      </c>
      <c r="FA736" s="1348"/>
      <c r="FB736" s="1348"/>
      <c r="FC736" s="1348"/>
      <c r="FD736" s="1349"/>
      <c r="FE736" s="1347" t="str">
        <f t="shared" si="32"/>
        <v/>
      </c>
      <c r="FF736" s="1348"/>
      <c r="FG736" s="1348"/>
      <c r="FH736" s="1348"/>
      <c r="FI736" s="1349"/>
      <c r="FJ736" s="1347" t="str">
        <f t="shared" si="33"/>
        <v/>
      </c>
      <c r="FK736" s="1348"/>
      <c r="FL736" s="1348"/>
      <c r="FM736" s="1348"/>
      <c r="FN736" s="1349"/>
      <c r="FO736" s="1347" t="str">
        <f t="shared" si="34"/>
        <v/>
      </c>
      <c r="FP736" s="1348"/>
      <c r="FQ736" s="1348"/>
      <c r="FR736" s="1348"/>
      <c r="FS736" s="1349"/>
      <c r="FT736" s="1347" t="str">
        <f t="shared" si="35"/>
        <v/>
      </c>
      <c r="FU736" s="1348"/>
      <c r="FV736" s="1348"/>
      <c r="FW736" s="1348"/>
      <c r="FX736" s="1349"/>
      <c r="FY736" s="1347" t="str">
        <f t="shared" si="36"/>
        <v/>
      </c>
      <c r="FZ736" s="1348"/>
      <c r="GA736" s="1348"/>
      <c r="GB736" s="1348"/>
      <c r="GC736" s="1349"/>
    </row>
    <row r="737" spans="1:185" ht="12.95" customHeight="1">
      <c r="B737" s="1360"/>
      <c r="C737" s="1361"/>
      <c r="D737" s="1361"/>
      <c r="E737" s="1361"/>
      <c r="F737" s="1362"/>
      <c r="G737" s="1498"/>
      <c r="H737" s="1499"/>
      <c r="I737" s="1499"/>
      <c r="J737" s="1500"/>
      <c r="K737" s="1393"/>
      <c r="L737" s="1394"/>
      <c r="M737" s="1394"/>
      <c r="N737" s="1395"/>
      <c r="O737" s="1389"/>
      <c r="P737" s="1390"/>
      <c r="Q737" s="1390"/>
      <c r="R737" s="1390"/>
      <c r="S737" s="1391"/>
      <c r="T737" s="1389"/>
      <c r="U737" s="1390"/>
      <c r="V737" s="1390"/>
      <c r="W737" s="1391"/>
      <c r="X737" s="1371">
        <f t="shared" si="9"/>
        <v>0</v>
      </c>
      <c r="Y737" s="1372"/>
      <c r="Z737" s="1372"/>
      <c r="AA737" s="1372"/>
      <c r="AB737" s="1373"/>
      <c r="AC737" s="1625"/>
      <c r="AD737" s="1626"/>
      <c r="AE737" s="1626"/>
      <c r="AF737" s="1626"/>
      <c r="AG737" s="1627"/>
      <c r="AH737" s="1426" t="str">
        <f t="shared" si="37"/>
        <v/>
      </c>
      <c r="AI737" s="1427"/>
      <c r="AJ737" s="1428"/>
      <c r="AK737" s="1360" t="s">
        <v>592</v>
      </c>
      <c r="AL737" s="1361"/>
      <c r="AM737" s="1361"/>
      <c r="AN737" s="1361"/>
      <c r="AO737" s="1362"/>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47">
        <f t="shared" si="38"/>
        <v>0</v>
      </c>
      <c r="CH737" s="1349"/>
      <c r="CI737" s="1344">
        <f t="shared" si="39"/>
        <v>0</v>
      </c>
      <c r="CJ737" s="1346"/>
      <c r="CK737" s="1347">
        <f t="shared" si="17"/>
        <v>0</v>
      </c>
      <c r="CL737" s="1349"/>
      <c r="CM737" s="1344">
        <f t="shared" si="18"/>
        <v>0</v>
      </c>
      <c r="CN737" s="1346"/>
      <c r="CO737" s="3"/>
      <c r="CP737" s="1336">
        <f t="shared" si="19"/>
        <v>0</v>
      </c>
      <c r="CQ737" s="1337"/>
      <c r="CR737" s="1337"/>
      <c r="CS737" s="1337"/>
      <c r="CT737" s="1338"/>
      <c r="CU737" s="1332">
        <f t="shared" si="20"/>
        <v>0</v>
      </c>
      <c r="CV737" s="1332"/>
      <c r="CW737" s="1332"/>
      <c r="CX737" s="1332"/>
      <c r="CY737" s="1332"/>
      <c r="CZ737" s="1332">
        <f t="shared" si="21"/>
        <v>0</v>
      </c>
      <c r="DA737" s="1332"/>
      <c r="DB737" s="1332"/>
      <c r="DC737" s="1332"/>
      <c r="DD737" s="1332"/>
      <c r="DE737" s="1332">
        <f t="shared" si="22"/>
        <v>0</v>
      </c>
      <c r="DF737" s="1332"/>
      <c r="DG737" s="1332"/>
      <c r="DH737" s="1332"/>
      <c r="DI737" s="1332"/>
      <c r="DJ737" s="1332">
        <f t="shared" si="23"/>
        <v>0</v>
      </c>
      <c r="DK737" s="1332"/>
      <c r="DL737" s="1332"/>
      <c r="DM737" s="1332"/>
      <c r="DN737" s="1332"/>
      <c r="DO737" s="1332">
        <f t="shared" si="24"/>
        <v>0</v>
      </c>
      <c r="DP737" s="1332"/>
      <c r="DQ737" s="1332"/>
      <c r="DR737" s="1332"/>
      <c r="DS737" s="1332"/>
      <c r="DT737" s="6"/>
      <c r="DU737" s="1397">
        <f t="shared" si="25"/>
        <v>0</v>
      </c>
      <c r="DV737" s="1397"/>
      <c r="DW737" s="1397"/>
      <c r="DX737" s="1397"/>
      <c r="DY737" s="1397"/>
      <c r="DZ737" s="1397">
        <f t="shared" si="26"/>
        <v>0</v>
      </c>
      <c r="EA737" s="1397"/>
      <c r="EB737" s="1397"/>
      <c r="EC737" s="1397"/>
      <c r="ED737" s="1397"/>
      <c r="EE737" s="1397">
        <f t="shared" si="27"/>
        <v>0</v>
      </c>
      <c r="EF737" s="1397"/>
      <c r="EG737" s="1397"/>
      <c r="EH737" s="1397"/>
      <c r="EI737" s="1397"/>
      <c r="EJ737" s="1397">
        <f t="shared" si="28"/>
        <v>0</v>
      </c>
      <c r="EK737" s="1397"/>
      <c r="EL737" s="1397"/>
      <c r="EM737" s="1397"/>
      <c r="EN737" s="1397"/>
      <c r="EO737" s="1397">
        <f t="shared" si="29"/>
        <v>0</v>
      </c>
      <c r="EP737" s="1397"/>
      <c r="EQ737" s="1397"/>
      <c r="ER737" s="1397"/>
      <c r="ES737" s="1397"/>
      <c r="ET737" s="1397">
        <f t="shared" si="30"/>
        <v>0</v>
      </c>
      <c r="EU737" s="1397"/>
      <c r="EV737" s="1397"/>
      <c r="EW737" s="1397"/>
      <c r="EX737" s="1397"/>
      <c r="EZ737" s="1347" t="str">
        <f t="shared" si="31"/>
        <v/>
      </c>
      <c r="FA737" s="1348"/>
      <c r="FB737" s="1348"/>
      <c r="FC737" s="1348"/>
      <c r="FD737" s="1349"/>
      <c r="FE737" s="1347" t="str">
        <f t="shared" si="32"/>
        <v/>
      </c>
      <c r="FF737" s="1348"/>
      <c r="FG737" s="1348"/>
      <c r="FH737" s="1348"/>
      <c r="FI737" s="1349"/>
      <c r="FJ737" s="1347" t="str">
        <f t="shared" si="33"/>
        <v/>
      </c>
      <c r="FK737" s="1348"/>
      <c r="FL737" s="1348"/>
      <c r="FM737" s="1348"/>
      <c r="FN737" s="1349"/>
      <c r="FO737" s="1347" t="str">
        <f t="shared" si="34"/>
        <v/>
      </c>
      <c r="FP737" s="1348"/>
      <c r="FQ737" s="1348"/>
      <c r="FR737" s="1348"/>
      <c r="FS737" s="1349"/>
      <c r="FT737" s="1347" t="str">
        <f t="shared" si="35"/>
        <v/>
      </c>
      <c r="FU737" s="1348"/>
      <c r="FV737" s="1348"/>
      <c r="FW737" s="1348"/>
      <c r="FX737" s="1349"/>
      <c r="FY737" s="1347" t="str">
        <f t="shared" si="36"/>
        <v/>
      </c>
      <c r="FZ737" s="1348"/>
      <c r="GA737" s="1348"/>
      <c r="GB737" s="1348"/>
      <c r="GC737" s="1349"/>
    </row>
    <row r="738" spans="1:185" ht="12.95" customHeight="1">
      <c r="B738" s="1360"/>
      <c r="C738" s="1361"/>
      <c r="D738" s="1361"/>
      <c r="E738" s="1361"/>
      <c r="F738" s="1362"/>
      <c r="G738" s="1498"/>
      <c r="H738" s="1499"/>
      <c r="I738" s="1499"/>
      <c r="J738" s="1500"/>
      <c r="K738" s="1393"/>
      <c r="L738" s="1394"/>
      <c r="M738" s="1394"/>
      <c r="N738" s="1395"/>
      <c r="O738" s="1389"/>
      <c r="P738" s="1390"/>
      <c r="Q738" s="1390"/>
      <c r="R738" s="1390"/>
      <c r="S738" s="1391"/>
      <c r="T738" s="1389"/>
      <c r="U738" s="1390"/>
      <c r="V738" s="1390"/>
      <c r="W738" s="1391"/>
      <c r="X738" s="1371">
        <f t="shared" si="9"/>
        <v>0</v>
      </c>
      <c r="Y738" s="1372"/>
      <c r="Z738" s="1372"/>
      <c r="AA738" s="1372"/>
      <c r="AB738" s="1373"/>
      <c r="AC738" s="1625"/>
      <c r="AD738" s="1626"/>
      <c r="AE738" s="1626"/>
      <c r="AF738" s="1626"/>
      <c r="AG738" s="1627"/>
      <c r="AH738" s="1426" t="str">
        <f t="shared" si="37"/>
        <v/>
      </c>
      <c r="AI738" s="1427"/>
      <c r="AJ738" s="1428"/>
      <c r="AK738" s="1360" t="s">
        <v>592</v>
      </c>
      <c r="AL738" s="1361"/>
      <c r="AM738" s="1361"/>
      <c r="AN738" s="1361"/>
      <c r="AO738" s="1362"/>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47">
        <f t="shared" si="38"/>
        <v>0</v>
      </c>
      <c r="CH738" s="1349"/>
      <c r="CI738" s="1344">
        <f t="shared" si="39"/>
        <v>0</v>
      </c>
      <c r="CJ738" s="1346"/>
      <c r="CK738" s="1347">
        <f t="shared" si="17"/>
        <v>0</v>
      </c>
      <c r="CL738" s="1349"/>
      <c r="CM738" s="1344">
        <f t="shared" si="18"/>
        <v>0</v>
      </c>
      <c r="CN738" s="1346"/>
      <c r="CO738" s="3"/>
      <c r="CP738" s="1336">
        <f t="shared" si="19"/>
        <v>0</v>
      </c>
      <c r="CQ738" s="1337"/>
      <c r="CR738" s="1337"/>
      <c r="CS738" s="1337"/>
      <c r="CT738" s="1338"/>
      <c r="CU738" s="1332">
        <f t="shared" si="20"/>
        <v>0</v>
      </c>
      <c r="CV738" s="1332"/>
      <c r="CW738" s="1332"/>
      <c r="CX738" s="1332"/>
      <c r="CY738" s="1332"/>
      <c r="CZ738" s="1332">
        <f t="shared" si="21"/>
        <v>0</v>
      </c>
      <c r="DA738" s="1332"/>
      <c r="DB738" s="1332"/>
      <c r="DC738" s="1332"/>
      <c r="DD738" s="1332"/>
      <c r="DE738" s="1332">
        <f t="shared" si="22"/>
        <v>0</v>
      </c>
      <c r="DF738" s="1332"/>
      <c r="DG738" s="1332"/>
      <c r="DH738" s="1332"/>
      <c r="DI738" s="1332"/>
      <c r="DJ738" s="1332">
        <f t="shared" si="23"/>
        <v>0</v>
      </c>
      <c r="DK738" s="1332"/>
      <c r="DL738" s="1332"/>
      <c r="DM738" s="1332"/>
      <c r="DN738" s="1332"/>
      <c r="DO738" s="1332">
        <f t="shared" si="24"/>
        <v>0</v>
      </c>
      <c r="DP738" s="1332"/>
      <c r="DQ738" s="1332"/>
      <c r="DR738" s="1332"/>
      <c r="DS738" s="1332"/>
      <c r="DT738" s="6"/>
      <c r="DU738" s="1397">
        <f t="shared" si="25"/>
        <v>0</v>
      </c>
      <c r="DV738" s="1397"/>
      <c r="DW738" s="1397"/>
      <c r="DX738" s="1397"/>
      <c r="DY738" s="1397"/>
      <c r="DZ738" s="1397">
        <f t="shared" si="26"/>
        <v>0</v>
      </c>
      <c r="EA738" s="1397"/>
      <c r="EB738" s="1397"/>
      <c r="EC738" s="1397"/>
      <c r="ED738" s="1397"/>
      <c r="EE738" s="1397">
        <f t="shared" si="27"/>
        <v>0</v>
      </c>
      <c r="EF738" s="1397"/>
      <c r="EG738" s="1397"/>
      <c r="EH738" s="1397"/>
      <c r="EI738" s="1397"/>
      <c r="EJ738" s="1397">
        <f t="shared" si="28"/>
        <v>0</v>
      </c>
      <c r="EK738" s="1397"/>
      <c r="EL738" s="1397"/>
      <c r="EM738" s="1397"/>
      <c r="EN738" s="1397"/>
      <c r="EO738" s="1397">
        <f t="shared" si="29"/>
        <v>0</v>
      </c>
      <c r="EP738" s="1397"/>
      <c r="EQ738" s="1397"/>
      <c r="ER738" s="1397"/>
      <c r="ES738" s="1397"/>
      <c r="ET738" s="1397">
        <f t="shared" si="30"/>
        <v>0</v>
      </c>
      <c r="EU738" s="1397"/>
      <c r="EV738" s="1397"/>
      <c r="EW738" s="1397"/>
      <c r="EX738" s="1397"/>
      <c r="EZ738" s="1347" t="str">
        <f t="shared" si="31"/>
        <v/>
      </c>
      <c r="FA738" s="1348"/>
      <c r="FB738" s="1348"/>
      <c r="FC738" s="1348"/>
      <c r="FD738" s="1349"/>
      <c r="FE738" s="1347" t="str">
        <f t="shared" si="32"/>
        <v/>
      </c>
      <c r="FF738" s="1348"/>
      <c r="FG738" s="1348"/>
      <c r="FH738" s="1348"/>
      <c r="FI738" s="1349"/>
      <c r="FJ738" s="1347" t="str">
        <f t="shared" si="33"/>
        <v/>
      </c>
      <c r="FK738" s="1348"/>
      <c r="FL738" s="1348"/>
      <c r="FM738" s="1348"/>
      <c r="FN738" s="1349"/>
      <c r="FO738" s="1347" t="str">
        <f t="shared" si="34"/>
        <v/>
      </c>
      <c r="FP738" s="1348"/>
      <c r="FQ738" s="1348"/>
      <c r="FR738" s="1348"/>
      <c r="FS738" s="1349"/>
      <c r="FT738" s="1347" t="str">
        <f t="shared" si="35"/>
        <v/>
      </c>
      <c r="FU738" s="1348"/>
      <c r="FV738" s="1348"/>
      <c r="FW738" s="1348"/>
      <c r="FX738" s="1349"/>
      <c r="FY738" s="1347" t="str">
        <f t="shared" si="36"/>
        <v/>
      </c>
      <c r="FZ738" s="1348"/>
      <c r="GA738" s="1348"/>
      <c r="GB738" s="1348"/>
      <c r="GC738" s="1349"/>
    </row>
    <row r="739" spans="1:185" ht="12.95" customHeight="1">
      <c r="B739" s="1360"/>
      <c r="C739" s="1361"/>
      <c r="D739" s="1361"/>
      <c r="E739" s="1361"/>
      <c r="F739" s="1362"/>
      <c r="G739" s="1498"/>
      <c r="H739" s="1499"/>
      <c r="I739" s="1499"/>
      <c r="J739" s="1500"/>
      <c r="K739" s="1393"/>
      <c r="L739" s="1394"/>
      <c r="M739" s="1394"/>
      <c r="N739" s="1395"/>
      <c r="O739" s="1389"/>
      <c r="P739" s="1390"/>
      <c r="Q739" s="1390"/>
      <c r="R739" s="1390"/>
      <c r="S739" s="1391"/>
      <c r="T739" s="1389"/>
      <c r="U739" s="1390"/>
      <c r="V739" s="1390"/>
      <c r="W739" s="1391"/>
      <c r="X739" s="1371">
        <f t="shared" si="9"/>
        <v>0</v>
      </c>
      <c r="Y739" s="1372"/>
      <c r="Z739" s="1372"/>
      <c r="AA739" s="1372"/>
      <c r="AB739" s="1373"/>
      <c r="AC739" s="1625"/>
      <c r="AD739" s="1626"/>
      <c r="AE739" s="1626"/>
      <c r="AF739" s="1626"/>
      <c r="AG739" s="1627"/>
      <c r="AH739" s="1426" t="str">
        <f t="shared" si="37"/>
        <v/>
      </c>
      <c r="AI739" s="1427"/>
      <c r="AJ739" s="1428"/>
      <c r="AK739" s="1360" t="s">
        <v>592</v>
      </c>
      <c r="AL739" s="1361"/>
      <c r="AM739" s="1361"/>
      <c r="AN739" s="1361"/>
      <c r="AO739" s="1362"/>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47">
        <f t="shared" si="38"/>
        <v>0</v>
      </c>
      <c r="CH739" s="1349"/>
      <c r="CI739" s="1344">
        <f t="shared" si="39"/>
        <v>0</v>
      </c>
      <c r="CJ739" s="1346"/>
      <c r="CK739" s="1347">
        <f t="shared" si="17"/>
        <v>0</v>
      </c>
      <c r="CL739" s="1349"/>
      <c r="CM739" s="1344">
        <f t="shared" si="18"/>
        <v>0</v>
      </c>
      <c r="CN739" s="1346"/>
      <c r="CO739" s="3"/>
      <c r="CP739" s="1336">
        <f t="shared" si="19"/>
        <v>0</v>
      </c>
      <c r="CQ739" s="1337"/>
      <c r="CR739" s="1337"/>
      <c r="CS739" s="1337"/>
      <c r="CT739" s="1338"/>
      <c r="CU739" s="1332">
        <f t="shared" si="20"/>
        <v>0</v>
      </c>
      <c r="CV739" s="1332"/>
      <c r="CW739" s="1332"/>
      <c r="CX739" s="1332"/>
      <c r="CY739" s="1332"/>
      <c r="CZ739" s="1332">
        <f t="shared" si="21"/>
        <v>0</v>
      </c>
      <c r="DA739" s="1332"/>
      <c r="DB739" s="1332"/>
      <c r="DC739" s="1332"/>
      <c r="DD739" s="1332"/>
      <c r="DE739" s="1332">
        <f t="shared" si="22"/>
        <v>0</v>
      </c>
      <c r="DF739" s="1332"/>
      <c r="DG739" s="1332"/>
      <c r="DH739" s="1332"/>
      <c r="DI739" s="1332"/>
      <c r="DJ739" s="1332">
        <f t="shared" si="23"/>
        <v>0</v>
      </c>
      <c r="DK739" s="1332"/>
      <c r="DL739" s="1332"/>
      <c r="DM739" s="1332"/>
      <c r="DN739" s="1332"/>
      <c r="DO739" s="1332">
        <f t="shared" si="24"/>
        <v>0</v>
      </c>
      <c r="DP739" s="1332"/>
      <c r="DQ739" s="1332"/>
      <c r="DR739" s="1332"/>
      <c r="DS739" s="1332"/>
      <c r="DT739" s="6"/>
      <c r="DU739" s="1397">
        <f t="shared" si="25"/>
        <v>0</v>
      </c>
      <c r="DV739" s="1397"/>
      <c r="DW739" s="1397"/>
      <c r="DX739" s="1397"/>
      <c r="DY739" s="1397"/>
      <c r="DZ739" s="1397">
        <f t="shared" si="26"/>
        <v>0</v>
      </c>
      <c r="EA739" s="1397"/>
      <c r="EB739" s="1397"/>
      <c r="EC739" s="1397"/>
      <c r="ED739" s="1397"/>
      <c r="EE739" s="1397">
        <f t="shared" si="27"/>
        <v>0</v>
      </c>
      <c r="EF739" s="1397"/>
      <c r="EG739" s="1397"/>
      <c r="EH739" s="1397"/>
      <c r="EI739" s="1397"/>
      <c r="EJ739" s="1397">
        <f t="shared" si="28"/>
        <v>0</v>
      </c>
      <c r="EK739" s="1397"/>
      <c r="EL739" s="1397"/>
      <c r="EM739" s="1397"/>
      <c r="EN739" s="1397"/>
      <c r="EO739" s="1397">
        <f t="shared" si="29"/>
        <v>0</v>
      </c>
      <c r="EP739" s="1397"/>
      <c r="EQ739" s="1397"/>
      <c r="ER739" s="1397"/>
      <c r="ES739" s="1397"/>
      <c r="ET739" s="1397">
        <f t="shared" si="30"/>
        <v>0</v>
      </c>
      <c r="EU739" s="1397"/>
      <c r="EV739" s="1397"/>
      <c r="EW739" s="1397"/>
      <c r="EX739" s="1397"/>
      <c r="EZ739" s="1347" t="str">
        <f t="shared" si="31"/>
        <v/>
      </c>
      <c r="FA739" s="1348"/>
      <c r="FB739" s="1348"/>
      <c r="FC739" s="1348"/>
      <c r="FD739" s="1349"/>
      <c r="FE739" s="1347" t="str">
        <f t="shared" si="32"/>
        <v/>
      </c>
      <c r="FF739" s="1348"/>
      <c r="FG739" s="1348"/>
      <c r="FH739" s="1348"/>
      <c r="FI739" s="1349"/>
      <c r="FJ739" s="1347" t="str">
        <f t="shared" si="33"/>
        <v/>
      </c>
      <c r="FK739" s="1348"/>
      <c r="FL739" s="1348"/>
      <c r="FM739" s="1348"/>
      <c r="FN739" s="1349"/>
      <c r="FO739" s="1347" t="str">
        <f t="shared" si="34"/>
        <v/>
      </c>
      <c r="FP739" s="1348"/>
      <c r="FQ739" s="1348"/>
      <c r="FR739" s="1348"/>
      <c r="FS739" s="1349"/>
      <c r="FT739" s="1347" t="str">
        <f t="shared" si="35"/>
        <v/>
      </c>
      <c r="FU739" s="1348"/>
      <c r="FV739" s="1348"/>
      <c r="FW739" s="1348"/>
      <c r="FX739" s="1349"/>
      <c r="FY739" s="1347" t="str">
        <f t="shared" si="36"/>
        <v/>
      </c>
      <c r="FZ739" s="1348"/>
      <c r="GA739" s="1348"/>
      <c r="GB739" s="1348"/>
      <c r="GC739" s="1349"/>
    </row>
    <row r="740" spans="1:185" ht="12.95" customHeight="1">
      <c r="B740" s="1360"/>
      <c r="C740" s="1361"/>
      <c r="D740" s="1361"/>
      <c r="E740" s="1361"/>
      <c r="F740" s="1362"/>
      <c r="G740" s="1498"/>
      <c r="H740" s="1499"/>
      <c r="I740" s="1499"/>
      <c r="J740" s="1500"/>
      <c r="K740" s="1393"/>
      <c r="L740" s="1394"/>
      <c r="M740" s="1394"/>
      <c r="N740" s="1395"/>
      <c r="O740" s="1389"/>
      <c r="P740" s="1390"/>
      <c r="Q740" s="1390"/>
      <c r="R740" s="1390"/>
      <c r="S740" s="1391"/>
      <c r="T740" s="1389"/>
      <c r="U740" s="1390"/>
      <c r="V740" s="1390"/>
      <c r="W740" s="1391"/>
      <c r="X740" s="1371">
        <f t="shared" si="9"/>
        <v>0</v>
      </c>
      <c r="Y740" s="1372"/>
      <c r="Z740" s="1372"/>
      <c r="AA740" s="1372"/>
      <c r="AB740" s="1373"/>
      <c r="AC740" s="1625"/>
      <c r="AD740" s="1626"/>
      <c r="AE740" s="1626"/>
      <c r="AF740" s="1626"/>
      <c r="AG740" s="1627"/>
      <c r="AH740" s="1426" t="str">
        <f t="shared" si="37"/>
        <v/>
      </c>
      <c r="AI740" s="1427"/>
      <c r="AJ740" s="1428"/>
      <c r="AK740" s="1360" t="s">
        <v>592</v>
      </c>
      <c r="AL740" s="1361"/>
      <c r="AM740" s="1361"/>
      <c r="AN740" s="1361"/>
      <c r="AO740" s="1362"/>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47">
        <f t="shared" si="38"/>
        <v>0</v>
      </c>
      <c r="CH740" s="1349"/>
      <c r="CI740" s="1344">
        <f t="shared" si="39"/>
        <v>0</v>
      </c>
      <c r="CJ740" s="1346"/>
      <c r="CK740" s="1347">
        <f t="shared" si="17"/>
        <v>0</v>
      </c>
      <c r="CL740" s="1349"/>
      <c r="CM740" s="1344">
        <f t="shared" si="18"/>
        <v>0</v>
      </c>
      <c r="CN740" s="1346"/>
      <c r="CO740" s="3"/>
      <c r="CP740" s="1336">
        <f t="shared" si="19"/>
        <v>0</v>
      </c>
      <c r="CQ740" s="1337"/>
      <c r="CR740" s="1337"/>
      <c r="CS740" s="1337"/>
      <c r="CT740" s="1338"/>
      <c r="CU740" s="1332">
        <f t="shared" si="20"/>
        <v>0</v>
      </c>
      <c r="CV740" s="1332"/>
      <c r="CW740" s="1332"/>
      <c r="CX740" s="1332"/>
      <c r="CY740" s="1332"/>
      <c r="CZ740" s="1332">
        <f t="shared" si="21"/>
        <v>0</v>
      </c>
      <c r="DA740" s="1332"/>
      <c r="DB740" s="1332"/>
      <c r="DC740" s="1332"/>
      <c r="DD740" s="1332"/>
      <c r="DE740" s="1332">
        <f t="shared" si="22"/>
        <v>0</v>
      </c>
      <c r="DF740" s="1332"/>
      <c r="DG740" s="1332"/>
      <c r="DH740" s="1332"/>
      <c r="DI740" s="1332"/>
      <c r="DJ740" s="1332">
        <f t="shared" si="23"/>
        <v>0</v>
      </c>
      <c r="DK740" s="1332"/>
      <c r="DL740" s="1332"/>
      <c r="DM740" s="1332"/>
      <c r="DN740" s="1332"/>
      <c r="DO740" s="1332">
        <f t="shared" si="24"/>
        <v>0</v>
      </c>
      <c r="DP740" s="1332"/>
      <c r="DQ740" s="1332"/>
      <c r="DR740" s="1332"/>
      <c r="DS740" s="1332"/>
      <c r="DT740" s="6"/>
      <c r="DU740" s="1397">
        <f t="shared" si="25"/>
        <v>0</v>
      </c>
      <c r="DV740" s="1397"/>
      <c r="DW740" s="1397"/>
      <c r="DX740" s="1397"/>
      <c r="DY740" s="1397"/>
      <c r="DZ740" s="1397">
        <f t="shared" si="26"/>
        <v>0</v>
      </c>
      <c r="EA740" s="1397"/>
      <c r="EB740" s="1397"/>
      <c r="EC740" s="1397"/>
      <c r="ED740" s="1397"/>
      <c r="EE740" s="1397">
        <f t="shared" si="27"/>
        <v>0</v>
      </c>
      <c r="EF740" s="1397"/>
      <c r="EG740" s="1397"/>
      <c r="EH740" s="1397"/>
      <c r="EI740" s="1397"/>
      <c r="EJ740" s="1397">
        <f t="shared" si="28"/>
        <v>0</v>
      </c>
      <c r="EK740" s="1397"/>
      <c r="EL740" s="1397"/>
      <c r="EM740" s="1397"/>
      <c r="EN740" s="1397"/>
      <c r="EO740" s="1397">
        <f t="shared" si="29"/>
        <v>0</v>
      </c>
      <c r="EP740" s="1397"/>
      <c r="EQ740" s="1397"/>
      <c r="ER740" s="1397"/>
      <c r="ES740" s="1397"/>
      <c r="ET740" s="1397">
        <f t="shared" si="30"/>
        <v>0</v>
      </c>
      <c r="EU740" s="1397"/>
      <c r="EV740" s="1397"/>
      <c r="EW740" s="1397"/>
      <c r="EX740" s="1397"/>
      <c r="EZ740" s="1347" t="str">
        <f t="shared" si="31"/>
        <v/>
      </c>
      <c r="FA740" s="1348"/>
      <c r="FB740" s="1348"/>
      <c r="FC740" s="1348"/>
      <c r="FD740" s="1349"/>
      <c r="FE740" s="1347" t="str">
        <f t="shared" si="32"/>
        <v/>
      </c>
      <c r="FF740" s="1348"/>
      <c r="FG740" s="1348"/>
      <c r="FH740" s="1348"/>
      <c r="FI740" s="1349"/>
      <c r="FJ740" s="1347" t="str">
        <f t="shared" si="33"/>
        <v/>
      </c>
      <c r="FK740" s="1348"/>
      <c r="FL740" s="1348"/>
      <c r="FM740" s="1348"/>
      <c r="FN740" s="1349"/>
      <c r="FO740" s="1347" t="str">
        <f t="shared" si="34"/>
        <v/>
      </c>
      <c r="FP740" s="1348"/>
      <c r="FQ740" s="1348"/>
      <c r="FR740" s="1348"/>
      <c r="FS740" s="1349"/>
      <c r="FT740" s="1347" t="str">
        <f t="shared" si="35"/>
        <v/>
      </c>
      <c r="FU740" s="1348"/>
      <c r="FV740" s="1348"/>
      <c r="FW740" s="1348"/>
      <c r="FX740" s="1349"/>
      <c r="FY740" s="1347" t="str">
        <f t="shared" si="36"/>
        <v/>
      </c>
      <c r="FZ740" s="1348"/>
      <c r="GA740" s="1348"/>
      <c r="GB740" s="1348"/>
      <c r="GC740" s="1349"/>
    </row>
    <row r="741" spans="1:185" ht="12.95" customHeight="1">
      <c r="B741" s="1360"/>
      <c r="C741" s="1361"/>
      <c r="D741" s="1361"/>
      <c r="E741" s="1361"/>
      <c r="F741" s="1362"/>
      <c r="G741" s="1498"/>
      <c r="H741" s="1499"/>
      <c r="I741" s="1499"/>
      <c r="J741" s="1500"/>
      <c r="K741" s="1393"/>
      <c r="L741" s="1394"/>
      <c r="M741" s="1394"/>
      <c r="N741" s="1395"/>
      <c r="O741" s="1389"/>
      <c r="P741" s="1390"/>
      <c r="Q741" s="1390"/>
      <c r="R741" s="1390"/>
      <c r="S741" s="1391"/>
      <c r="T741" s="1389"/>
      <c r="U741" s="1390"/>
      <c r="V741" s="1390"/>
      <c r="W741" s="1391"/>
      <c r="X741" s="1371">
        <f t="shared" si="9"/>
        <v>0</v>
      </c>
      <c r="Y741" s="1372"/>
      <c r="Z741" s="1372"/>
      <c r="AA741" s="1372"/>
      <c r="AB741" s="1373"/>
      <c r="AC741" s="1625"/>
      <c r="AD741" s="1626"/>
      <c r="AE741" s="1626"/>
      <c r="AF741" s="1626"/>
      <c r="AG741" s="1627"/>
      <c r="AH741" s="1426" t="str">
        <f t="shared" si="37"/>
        <v/>
      </c>
      <c r="AI741" s="1427"/>
      <c r="AJ741" s="1428"/>
      <c r="AK741" s="1360" t="s">
        <v>592</v>
      </c>
      <c r="AL741" s="1361"/>
      <c r="AM741" s="1361"/>
      <c r="AN741" s="1361"/>
      <c r="AO741" s="1362"/>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47">
        <f t="shared" si="38"/>
        <v>0</v>
      </c>
      <c r="CH741" s="1349"/>
      <c r="CI741" s="1344">
        <f t="shared" si="39"/>
        <v>0</v>
      </c>
      <c r="CJ741" s="1346"/>
      <c r="CK741" s="1347">
        <f t="shared" si="17"/>
        <v>0</v>
      </c>
      <c r="CL741" s="1349"/>
      <c r="CM741" s="1344">
        <f t="shared" si="18"/>
        <v>0</v>
      </c>
      <c r="CN741" s="1346"/>
      <c r="CO741" s="3"/>
      <c r="CP741" s="1336">
        <f t="shared" si="19"/>
        <v>0</v>
      </c>
      <c r="CQ741" s="1337"/>
      <c r="CR741" s="1337"/>
      <c r="CS741" s="1337"/>
      <c r="CT741" s="1338"/>
      <c r="CU741" s="1332">
        <f t="shared" si="20"/>
        <v>0</v>
      </c>
      <c r="CV741" s="1332"/>
      <c r="CW741" s="1332"/>
      <c r="CX741" s="1332"/>
      <c r="CY741" s="1332"/>
      <c r="CZ741" s="1332">
        <f t="shared" si="21"/>
        <v>0</v>
      </c>
      <c r="DA741" s="1332"/>
      <c r="DB741" s="1332"/>
      <c r="DC741" s="1332"/>
      <c r="DD741" s="1332"/>
      <c r="DE741" s="1332">
        <f t="shared" si="22"/>
        <v>0</v>
      </c>
      <c r="DF741" s="1332"/>
      <c r="DG741" s="1332"/>
      <c r="DH741" s="1332"/>
      <c r="DI741" s="1332"/>
      <c r="DJ741" s="1332">
        <f t="shared" si="23"/>
        <v>0</v>
      </c>
      <c r="DK741" s="1332"/>
      <c r="DL741" s="1332"/>
      <c r="DM741" s="1332"/>
      <c r="DN741" s="1332"/>
      <c r="DO741" s="1332">
        <f t="shared" si="24"/>
        <v>0</v>
      </c>
      <c r="DP741" s="1332"/>
      <c r="DQ741" s="1332"/>
      <c r="DR741" s="1332"/>
      <c r="DS741" s="1332"/>
      <c r="DT741" s="6"/>
      <c r="DU741" s="1397">
        <f t="shared" si="25"/>
        <v>0</v>
      </c>
      <c r="DV741" s="1397"/>
      <c r="DW741" s="1397"/>
      <c r="DX741" s="1397"/>
      <c r="DY741" s="1397"/>
      <c r="DZ741" s="1397">
        <f t="shared" si="26"/>
        <v>0</v>
      </c>
      <c r="EA741" s="1397"/>
      <c r="EB741" s="1397"/>
      <c r="EC741" s="1397"/>
      <c r="ED741" s="1397"/>
      <c r="EE741" s="1397">
        <f t="shared" si="27"/>
        <v>0</v>
      </c>
      <c r="EF741" s="1397"/>
      <c r="EG741" s="1397"/>
      <c r="EH741" s="1397"/>
      <c r="EI741" s="1397"/>
      <c r="EJ741" s="1397">
        <f t="shared" si="28"/>
        <v>0</v>
      </c>
      <c r="EK741" s="1397"/>
      <c r="EL741" s="1397"/>
      <c r="EM741" s="1397"/>
      <c r="EN741" s="1397"/>
      <c r="EO741" s="1397">
        <f t="shared" si="29"/>
        <v>0</v>
      </c>
      <c r="EP741" s="1397"/>
      <c r="EQ741" s="1397"/>
      <c r="ER741" s="1397"/>
      <c r="ES741" s="1397"/>
      <c r="ET741" s="1397">
        <f t="shared" si="30"/>
        <v>0</v>
      </c>
      <c r="EU741" s="1397"/>
      <c r="EV741" s="1397"/>
      <c r="EW741" s="1397"/>
      <c r="EX741" s="1397"/>
      <c r="EZ741" s="1347" t="str">
        <f t="shared" si="31"/>
        <v/>
      </c>
      <c r="FA741" s="1348"/>
      <c r="FB741" s="1348"/>
      <c r="FC741" s="1348"/>
      <c r="FD741" s="1349"/>
      <c r="FE741" s="1347" t="str">
        <f t="shared" si="32"/>
        <v/>
      </c>
      <c r="FF741" s="1348"/>
      <c r="FG741" s="1348"/>
      <c r="FH741" s="1348"/>
      <c r="FI741" s="1349"/>
      <c r="FJ741" s="1347" t="str">
        <f t="shared" si="33"/>
        <v/>
      </c>
      <c r="FK741" s="1348"/>
      <c r="FL741" s="1348"/>
      <c r="FM741" s="1348"/>
      <c r="FN741" s="1349"/>
      <c r="FO741" s="1347" t="str">
        <f t="shared" si="34"/>
        <v/>
      </c>
      <c r="FP741" s="1348"/>
      <c r="FQ741" s="1348"/>
      <c r="FR741" s="1348"/>
      <c r="FS741" s="1349"/>
      <c r="FT741" s="1347" t="str">
        <f t="shared" si="35"/>
        <v/>
      </c>
      <c r="FU741" s="1348"/>
      <c r="FV741" s="1348"/>
      <c r="FW741" s="1348"/>
      <c r="FX741" s="1349"/>
      <c r="FY741" s="1347" t="str">
        <f t="shared" si="36"/>
        <v/>
      </c>
      <c r="FZ741" s="1348"/>
      <c r="GA741" s="1348"/>
      <c r="GB741" s="1348"/>
      <c r="GC741" s="1349"/>
    </row>
    <row r="742" spans="1:185" ht="12.95" customHeight="1">
      <c r="B742" s="1360"/>
      <c r="C742" s="1361"/>
      <c r="D742" s="1361"/>
      <c r="E742" s="1361"/>
      <c r="F742" s="1362"/>
      <c r="G742" s="1498"/>
      <c r="H742" s="1499"/>
      <c r="I742" s="1499"/>
      <c r="J742" s="1500"/>
      <c r="K742" s="1393"/>
      <c r="L742" s="1394"/>
      <c r="M742" s="1394"/>
      <c r="N742" s="1395"/>
      <c r="O742" s="1389"/>
      <c r="P742" s="1390"/>
      <c r="Q742" s="1390"/>
      <c r="R742" s="1390"/>
      <c r="S742" s="1391"/>
      <c r="T742" s="1389"/>
      <c r="U742" s="1390"/>
      <c r="V742" s="1390"/>
      <c r="W742" s="1391"/>
      <c r="X742" s="1371">
        <f t="shared" ref="X742:X751" si="40">O742+T742</f>
        <v>0</v>
      </c>
      <c r="Y742" s="1372"/>
      <c r="Z742" s="1372"/>
      <c r="AA742" s="1372"/>
      <c r="AB742" s="1373"/>
      <c r="AC742" s="1625"/>
      <c r="AD742" s="1626"/>
      <c r="AE742" s="1626"/>
      <c r="AF742" s="1626"/>
      <c r="AG742" s="1627"/>
      <c r="AH742" s="1426" t="str">
        <f t="shared" si="37"/>
        <v/>
      </c>
      <c r="AI742" s="1427"/>
      <c r="AJ742" s="1428"/>
      <c r="AK742" s="1360" t="s">
        <v>592</v>
      </c>
      <c r="AL742" s="1361"/>
      <c r="AM742" s="1361"/>
      <c r="AN742" s="1361"/>
      <c r="AO742" s="1362"/>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47">
        <f t="shared" si="38"/>
        <v>0</v>
      </c>
      <c r="CH742" s="1349"/>
      <c r="CI742" s="1344">
        <f t="shared" si="39"/>
        <v>0</v>
      </c>
      <c r="CJ742" s="1346"/>
      <c r="CK742" s="1347">
        <f t="shared" si="17"/>
        <v>0</v>
      </c>
      <c r="CL742" s="1349"/>
      <c r="CM742" s="1344">
        <f t="shared" si="18"/>
        <v>0</v>
      </c>
      <c r="CN742" s="1346"/>
      <c r="CO742" s="3"/>
      <c r="CP742" s="1336">
        <f t="shared" si="19"/>
        <v>0</v>
      </c>
      <c r="CQ742" s="1337"/>
      <c r="CR742" s="1337"/>
      <c r="CS742" s="1337"/>
      <c r="CT742" s="1338"/>
      <c r="CU742" s="1332">
        <f t="shared" si="20"/>
        <v>0</v>
      </c>
      <c r="CV742" s="1332"/>
      <c r="CW742" s="1332"/>
      <c r="CX742" s="1332"/>
      <c r="CY742" s="1332"/>
      <c r="CZ742" s="1332">
        <f t="shared" si="21"/>
        <v>0</v>
      </c>
      <c r="DA742" s="1332"/>
      <c r="DB742" s="1332"/>
      <c r="DC742" s="1332"/>
      <c r="DD742" s="1332"/>
      <c r="DE742" s="1332">
        <f t="shared" si="22"/>
        <v>0</v>
      </c>
      <c r="DF742" s="1332"/>
      <c r="DG742" s="1332"/>
      <c r="DH742" s="1332"/>
      <c r="DI742" s="1332"/>
      <c r="DJ742" s="1332">
        <f t="shared" si="23"/>
        <v>0</v>
      </c>
      <c r="DK742" s="1332"/>
      <c r="DL742" s="1332"/>
      <c r="DM742" s="1332"/>
      <c r="DN742" s="1332"/>
      <c r="DO742" s="1332">
        <f t="shared" si="24"/>
        <v>0</v>
      </c>
      <c r="DP742" s="1332"/>
      <c r="DQ742" s="1332"/>
      <c r="DR742" s="1332"/>
      <c r="DS742" s="1332"/>
      <c r="DT742" s="6"/>
      <c r="DU742" s="1397">
        <f t="shared" si="25"/>
        <v>0</v>
      </c>
      <c r="DV742" s="1397"/>
      <c r="DW742" s="1397"/>
      <c r="DX742" s="1397"/>
      <c r="DY742" s="1397"/>
      <c r="DZ742" s="1397">
        <f t="shared" si="26"/>
        <v>0</v>
      </c>
      <c r="EA742" s="1397"/>
      <c r="EB742" s="1397"/>
      <c r="EC742" s="1397"/>
      <c r="ED742" s="1397"/>
      <c r="EE742" s="1397">
        <f t="shared" si="27"/>
        <v>0</v>
      </c>
      <c r="EF742" s="1397"/>
      <c r="EG742" s="1397"/>
      <c r="EH742" s="1397"/>
      <c r="EI742" s="1397"/>
      <c r="EJ742" s="1397">
        <f t="shared" si="28"/>
        <v>0</v>
      </c>
      <c r="EK742" s="1397"/>
      <c r="EL742" s="1397"/>
      <c r="EM742" s="1397"/>
      <c r="EN742" s="1397"/>
      <c r="EO742" s="1397">
        <f t="shared" si="29"/>
        <v>0</v>
      </c>
      <c r="EP742" s="1397"/>
      <c r="EQ742" s="1397"/>
      <c r="ER742" s="1397"/>
      <c r="ES742" s="1397"/>
      <c r="ET742" s="1397">
        <f t="shared" si="30"/>
        <v>0</v>
      </c>
      <c r="EU742" s="1397"/>
      <c r="EV742" s="1397"/>
      <c r="EW742" s="1397"/>
      <c r="EX742" s="1397"/>
      <c r="EZ742" s="1347" t="str">
        <f t="shared" si="31"/>
        <v/>
      </c>
      <c r="FA742" s="1348"/>
      <c r="FB742" s="1348"/>
      <c r="FC742" s="1348"/>
      <c r="FD742" s="1349"/>
      <c r="FE742" s="1347" t="str">
        <f t="shared" si="32"/>
        <v/>
      </c>
      <c r="FF742" s="1348"/>
      <c r="FG742" s="1348"/>
      <c r="FH742" s="1348"/>
      <c r="FI742" s="1349"/>
      <c r="FJ742" s="1347" t="str">
        <f t="shared" si="33"/>
        <v/>
      </c>
      <c r="FK742" s="1348"/>
      <c r="FL742" s="1348"/>
      <c r="FM742" s="1348"/>
      <c r="FN742" s="1349"/>
      <c r="FO742" s="1347" t="str">
        <f t="shared" si="34"/>
        <v/>
      </c>
      <c r="FP742" s="1348"/>
      <c r="FQ742" s="1348"/>
      <c r="FR742" s="1348"/>
      <c r="FS742" s="1349"/>
      <c r="FT742" s="1347" t="str">
        <f t="shared" si="35"/>
        <v/>
      </c>
      <c r="FU742" s="1348"/>
      <c r="FV742" s="1348"/>
      <c r="FW742" s="1348"/>
      <c r="FX742" s="1349"/>
      <c r="FY742" s="1347" t="str">
        <f t="shared" si="36"/>
        <v/>
      </c>
      <c r="FZ742" s="1348"/>
      <c r="GA742" s="1348"/>
      <c r="GB742" s="1348"/>
      <c r="GC742" s="1349"/>
    </row>
    <row r="743" spans="1:185" s="3" customFormat="1" ht="12.95" customHeight="1">
      <c r="A743"/>
      <c r="B743" s="1360"/>
      <c r="C743" s="1361"/>
      <c r="D743" s="1361"/>
      <c r="E743" s="1361"/>
      <c r="F743" s="1362"/>
      <c r="G743" s="1498"/>
      <c r="H743" s="1499"/>
      <c r="I743" s="1499"/>
      <c r="J743" s="1500"/>
      <c r="K743" s="1393"/>
      <c r="L743" s="1394"/>
      <c r="M743" s="1394"/>
      <c r="N743" s="1395"/>
      <c r="O743" s="1389"/>
      <c r="P743" s="1390"/>
      <c r="Q743" s="1390"/>
      <c r="R743" s="1390"/>
      <c r="S743" s="1391"/>
      <c r="T743" s="1389"/>
      <c r="U743" s="1390"/>
      <c r="V743" s="1390"/>
      <c r="W743" s="1391"/>
      <c r="X743" s="1371">
        <f t="shared" si="40"/>
        <v>0</v>
      </c>
      <c r="Y743" s="1372"/>
      <c r="Z743" s="1372"/>
      <c r="AA743" s="1372"/>
      <c r="AB743" s="1373"/>
      <c r="AC743" s="1625"/>
      <c r="AD743" s="1626"/>
      <c r="AE743" s="1626"/>
      <c r="AF743" s="1626"/>
      <c r="AG743" s="1627"/>
      <c r="AH743" s="1426" t="str">
        <f t="shared" si="37"/>
        <v/>
      </c>
      <c r="AI743" s="1427"/>
      <c r="AJ743" s="1428"/>
      <c r="AK743" s="1360" t="s">
        <v>592</v>
      </c>
      <c r="AL743" s="1361"/>
      <c r="AM743" s="1361"/>
      <c r="AN743" s="1361"/>
      <c r="AO743" s="1362"/>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47">
        <f t="shared" si="38"/>
        <v>0</v>
      </c>
      <c r="CH743" s="1349"/>
      <c r="CI743" s="1344">
        <f t="shared" si="39"/>
        <v>0</v>
      </c>
      <c r="CJ743" s="1346"/>
      <c r="CK743" s="1347">
        <f t="shared" si="17"/>
        <v>0</v>
      </c>
      <c r="CL743" s="1349"/>
      <c r="CM743" s="1344">
        <f t="shared" si="18"/>
        <v>0</v>
      </c>
      <c r="CN743" s="1346"/>
      <c r="CP743" s="1336">
        <f t="shared" si="19"/>
        <v>0</v>
      </c>
      <c r="CQ743" s="1337"/>
      <c r="CR743" s="1337"/>
      <c r="CS743" s="1337"/>
      <c r="CT743" s="1338"/>
      <c r="CU743" s="1332">
        <f t="shared" si="20"/>
        <v>0</v>
      </c>
      <c r="CV743" s="1332"/>
      <c r="CW743" s="1332"/>
      <c r="CX743" s="1332"/>
      <c r="CY743" s="1332"/>
      <c r="CZ743" s="1332">
        <f t="shared" si="21"/>
        <v>0</v>
      </c>
      <c r="DA743" s="1332"/>
      <c r="DB743" s="1332"/>
      <c r="DC743" s="1332"/>
      <c r="DD743" s="1332"/>
      <c r="DE743" s="1332">
        <f t="shared" si="22"/>
        <v>0</v>
      </c>
      <c r="DF743" s="1332"/>
      <c r="DG743" s="1332"/>
      <c r="DH743" s="1332"/>
      <c r="DI743" s="1332"/>
      <c r="DJ743" s="1332">
        <f t="shared" si="23"/>
        <v>0</v>
      </c>
      <c r="DK743" s="1332"/>
      <c r="DL743" s="1332"/>
      <c r="DM743" s="1332"/>
      <c r="DN743" s="1332"/>
      <c r="DO743" s="1332">
        <f t="shared" si="24"/>
        <v>0</v>
      </c>
      <c r="DP743" s="1332"/>
      <c r="DQ743" s="1332"/>
      <c r="DR743" s="1332"/>
      <c r="DS743" s="1332"/>
      <c r="DT743" s="6"/>
      <c r="DU743" s="1397">
        <f t="shared" si="25"/>
        <v>0</v>
      </c>
      <c r="DV743" s="1397"/>
      <c r="DW743" s="1397"/>
      <c r="DX743" s="1397"/>
      <c r="DY743" s="1397"/>
      <c r="DZ743" s="1397">
        <f t="shared" si="26"/>
        <v>0</v>
      </c>
      <c r="EA743" s="1397"/>
      <c r="EB743" s="1397"/>
      <c r="EC743" s="1397"/>
      <c r="ED743" s="1397"/>
      <c r="EE743" s="1397">
        <f t="shared" si="27"/>
        <v>0</v>
      </c>
      <c r="EF743" s="1397"/>
      <c r="EG743" s="1397"/>
      <c r="EH743" s="1397"/>
      <c r="EI743" s="1397"/>
      <c r="EJ743" s="1397">
        <f t="shared" si="28"/>
        <v>0</v>
      </c>
      <c r="EK743" s="1397"/>
      <c r="EL743" s="1397"/>
      <c r="EM743" s="1397"/>
      <c r="EN743" s="1397"/>
      <c r="EO743" s="1397">
        <f t="shared" si="29"/>
        <v>0</v>
      </c>
      <c r="EP743" s="1397"/>
      <c r="EQ743" s="1397"/>
      <c r="ER743" s="1397"/>
      <c r="ES743" s="1397"/>
      <c r="ET743" s="1397">
        <f t="shared" si="30"/>
        <v>0</v>
      </c>
      <c r="EU743" s="1397"/>
      <c r="EV743" s="1397"/>
      <c r="EW743" s="1397"/>
      <c r="EX743" s="1397"/>
      <c r="EY743"/>
      <c r="EZ743" s="1347" t="str">
        <f t="shared" si="31"/>
        <v/>
      </c>
      <c r="FA743" s="1348"/>
      <c r="FB743" s="1348"/>
      <c r="FC743" s="1348"/>
      <c r="FD743" s="1349"/>
      <c r="FE743" s="1347" t="str">
        <f t="shared" si="32"/>
        <v/>
      </c>
      <c r="FF743" s="1348"/>
      <c r="FG743" s="1348"/>
      <c r="FH743" s="1348"/>
      <c r="FI743" s="1349"/>
      <c r="FJ743" s="1347" t="str">
        <f t="shared" si="33"/>
        <v/>
      </c>
      <c r="FK743" s="1348"/>
      <c r="FL743" s="1348"/>
      <c r="FM743" s="1348"/>
      <c r="FN743" s="1349"/>
      <c r="FO743" s="1347" t="str">
        <f t="shared" si="34"/>
        <v/>
      </c>
      <c r="FP743" s="1348"/>
      <c r="FQ743" s="1348"/>
      <c r="FR743" s="1348"/>
      <c r="FS743" s="1349"/>
      <c r="FT743" s="1347" t="str">
        <f t="shared" si="35"/>
        <v/>
      </c>
      <c r="FU743" s="1348"/>
      <c r="FV743" s="1348"/>
      <c r="FW743" s="1348"/>
      <c r="FX743" s="1349"/>
      <c r="FY743" s="1347" t="str">
        <f t="shared" si="36"/>
        <v/>
      </c>
      <c r="FZ743" s="1348"/>
      <c r="GA743" s="1348"/>
      <c r="GB743" s="1348"/>
      <c r="GC743" s="1349"/>
    </row>
    <row r="744" spans="1:185" ht="12.95" customHeight="1">
      <c r="B744" s="1360"/>
      <c r="C744" s="1361"/>
      <c r="D744" s="1361"/>
      <c r="E744" s="1361"/>
      <c r="F744" s="1362"/>
      <c r="G744" s="1498"/>
      <c r="H744" s="1499"/>
      <c r="I744" s="1499"/>
      <c r="J744" s="1500"/>
      <c r="K744" s="1393"/>
      <c r="L744" s="1394"/>
      <c r="M744" s="1394"/>
      <c r="N744" s="1395"/>
      <c r="O744" s="1389"/>
      <c r="P744" s="1390"/>
      <c r="Q744" s="1390"/>
      <c r="R744" s="1390"/>
      <c r="S744" s="1391"/>
      <c r="T744" s="1389"/>
      <c r="U744" s="1390"/>
      <c r="V744" s="1390"/>
      <c r="W744" s="1391"/>
      <c r="X744" s="1371">
        <f t="shared" si="40"/>
        <v>0</v>
      </c>
      <c r="Y744" s="1372"/>
      <c r="Z744" s="1372"/>
      <c r="AA744" s="1372"/>
      <c r="AB744" s="1373"/>
      <c r="AC744" s="1625"/>
      <c r="AD744" s="1626"/>
      <c r="AE744" s="1626"/>
      <c r="AF744" s="1626"/>
      <c r="AG744" s="1627"/>
      <c r="AH744" s="1426" t="str">
        <f t="shared" si="37"/>
        <v/>
      </c>
      <c r="AI744" s="1427"/>
      <c r="AJ744" s="1428"/>
      <c r="AK744" s="1360" t="s">
        <v>592</v>
      </c>
      <c r="AL744" s="1361"/>
      <c r="AM744" s="1361"/>
      <c r="AN744" s="1361"/>
      <c r="AO744" s="1362"/>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47">
        <f t="shared" si="38"/>
        <v>0</v>
      </c>
      <c r="CH744" s="1349"/>
      <c r="CI744" s="1344">
        <f t="shared" si="39"/>
        <v>0</v>
      </c>
      <c r="CJ744" s="1346"/>
      <c r="CK744" s="1347">
        <f t="shared" si="17"/>
        <v>0</v>
      </c>
      <c r="CL744" s="1349"/>
      <c r="CM744" s="1344">
        <f t="shared" si="18"/>
        <v>0</v>
      </c>
      <c r="CN744" s="1346"/>
      <c r="CO744" s="3"/>
      <c r="CP744" s="1336">
        <f t="shared" si="19"/>
        <v>0</v>
      </c>
      <c r="CQ744" s="1337"/>
      <c r="CR744" s="1337"/>
      <c r="CS744" s="1337"/>
      <c r="CT744" s="1338"/>
      <c r="CU744" s="1332">
        <f t="shared" si="20"/>
        <v>0</v>
      </c>
      <c r="CV744" s="1332"/>
      <c r="CW744" s="1332"/>
      <c r="CX744" s="1332"/>
      <c r="CY744" s="1332"/>
      <c r="CZ744" s="1332">
        <f t="shared" si="21"/>
        <v>0</v>
      </c>
      <c r="DA744" s="1332"/>
      <c r="DB744" s="1332"/>
      <c r="DC744" s="1332"/>
      <c r="DD744" s="1332"/>
      <c r="DE744" s="1332">
        <f t="shared" si="22"/>
        <v>0</v>
      </c>
      <c r="DF744" s="1332"/>
      <c r="DG744" s="1332"/>
      <c r="DH744" s="1332"/>
      <c r="DI744" s="1332"/>
      <c r="DJ744" s="1332">
        <f t="shared" si="23"/>
        <v>0</v>
      </c>
      <c r="DK744" s="1332"/>
      <c r="DL744" s="1332"/>
      <c r="DM744" s="1332"/>
      <c r="DN744" s="1332"/>
      <c r="DO744" s="1332">
        <f t="shared" si="24"/>
        <v>0</v>
      </c>
      <c r="DP744" s="1332"/>
      <c r="DQ744" s="1332"/>
      <c r="DR744" s="1332"/>
      <c r="DS744" s="1332"/>
      <c r="DT744" s="6"/>
      <c r="DU744" s="1397">
        <f t="shared" si="25"/>
        <v>0</v>
      </c>
      <c r="DV744" s="1397"/>
      <c r="DW744" s="1397"/>
      <c r="DX744" s="1397"/>
      <c r="DY744" s="1397"/>
      <c r="DZ744" s="1397">
        <f t="shared" si="26"/>
        <v>0</v>
      </c>
      <c r="EA744" s="1397"/>
      <c r="EB744" s="1397"/>
      <c r="EC744" s="1397"/>
      <c r="ED744" s="1397"/>
      <c r="EE744" s="1397">
        <f t="shared" si="27"/>
        <v>0</v>
      </c>
      <c r="EF744" s="1397"/>
      <c r="EG744" s="1397"/>
      <c r="EH744" s="1397"/>
      <c r="EI744" s="1397"/>
      <c r="EJ744" s="1397">
        <f t="shared" si="28"/>
        <v>0</v>
      </c>
      <c r="EK744" s="1397"/>
      <c r="EL744" s="1397"/>
      <c r="EM744" s="1397"/>
      <c r="EN744" s="1397"/>
      <c r="EO744" s="1397">
        <f t="shared" si="29"/>
        <v>0</v>
      </c>
      <c r="EP744" s="1397"/>
      <c r="EQ744" s="1397"/>
      <c r="ER744" s="1397"/>
      <c r="ES744" s="1397"/>
      <c r="ET744" s="1397">
        <f t="shared" si="30"/>
        <v>0</v>
      </c>
      <c r="EU744" s="1397"/>
      <c r="EV744" s="1397"/>
      <c r="EW744" s="1397"/>
      <c r="EX744" s="1397"/>
      <c r="EZ744" s="1347" t="str">
        <f t="shared" si="31"/>
        <v/>
      </c>
      <c r="FA744" s="1348"/>
      <c r="FB744" s="1348"/>
      <c r="FC744" s="1348"/>
      <c r="FD744" s="1349"/>
      <c r="FE744" s="1347" t="str">
        <f t="shared" si="32"/>
        <v/>
      </c>
      <c r="FF744" s="1348"/>
      <c r="FG744" s="1348"/>
      <c r="FH744" s="1348"/>
      <c r="FI744" s="1349"/>
      <c r="FJ744" s="1347" t="str">
        <f t="shared" si="33"/>
        <v/>
      </c>
      <c r="FK744" s="1348"/>
      <c r="FL744" s="1348"/>
      <c r="FM744" s="1348"/>
      <c r="FN744" s="1349"/>
      <c r="FO744" s="1347" t="str">
        <f t="shared" si="34"/>
        <v/>
      </c>
      <c r="FP744" s="1348"/>
      <c r="FQ744" s="1348"/>
      <c r="FR744" s="1348"/>
      <c r="FS744" s="1349"/>
      <c r="FT744" s="1347" t="str">
        <f t="shared" si="35"/>
        <v/>
      </c>
      <c r="FU744" s="1348"/>
      <c r="FV744" s="1348"/>
      <c r="FW744" s="1348"/>
      <c r="FX744" s="1349"/>
      <c r="FY744" s="1347" t="str">
        <f t="shared" si="36"/>
        <v/>
      </c>
      <c r="FZ744" s="1348"/>
      <c r="GA744" s="1348"/>
      <c r="GB744" s="1348"/>
      <c r="GC744" s="1349"/>
    </row>
    <row r="745" spans="1:185" ht="12.95" customHeight="1">
      <c r="B745" s="1360"/>
      <c r="C745" s="1361"/>
      <c r="D745" s="1361"/>
      <c r="E745" s="1361"/>
      <c r="F745" s="1362"/>
      <c r="G745" s="1498"/>
      <c r="H745" s="1499"/>
      <c r="I745" s="1499"/>
      <c r="J745" s="1500"/>
      <c r="K745" s="1393"/>
      <c r="L745" s="1394"/>
      <c r="M745" s="1394"/>
      <c r="N745" s="1395"/>
      <c r="O745" s="1389"/>
      <c r="P745" s="1390"/>
      <c r="Q745" s="1390"/>
      <c r="R745" s="1390"/>
      <c r="S745" s="1391"/>
      <c r="T745" s="1389"/>
      <c r="U745" s="1390"/>
      <c r="V745" s="1390"/>
      <c r="W745" s="1391"/>
      <c r="X745" s="1371">
        <f t="shared" si="40"/>
        <v>0</v>
      </c>
      <c r="Y745" s="1372"/>
      <c r="Z745" s="1372"/>
      <c r="AA745" s="1372"/>
      <c r="AB745" s="1373"/>
      <c r="AC745" s="1625"/>
      <c r="AD745" s="1626"/>
      <c r="AE745" s="1626"/>
      <c r="AF745" s="1626"/>
      <c r="AG745" s="1627"/>
      <c r="AH745" s="1426" t="str">
        <f t="shared" si="37"/>
        <v/>
      </c>
      <c r="AI745" s="1427"/>
      <c r="AJ745" s="1428"/>
      <c r="AK745" s="1360" t="s">
        <v>592</v>
      </c>
      <c r="AL745" s="1361"/>
      <c r="AM745" s="1361"/>
      <c r="AN745" s="1361"/>
      <c r="AO745" s="1362"/>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47">
        <f t="shared" si="38"/>
        <v>0</v>
      </c>
      <c r="CH745" s="1349"/>
      <c r="CI745" s="1344">
        <f t="shared" si="39"/>
        <v>0</v>
      </c>
      <c r="CJ745" s="1346"/>
      <c r="CK745" s="1347">
        <f t="shared" si="17"/>
        <v>0</v>
      </c>
      <c r="CL745" s="1349"/>
      <c r="CM745" s="1344">
        <f t="shared" si="18"/>
        <v>0</v>
      </c>
      <c r="CN745" s="1346"/>
      <c r="CO745" s="3"/>
      <c r="CP745" s="1336">
        <f t="shared" si="19"/>
        <v>0</v>
      </c>
      <c r="CQ745" s="1337"/>
      <c r="CR745" s="1337"/>
      <c r="CS745" s="1337"/>
      <c r="CT745" s="1338"/>
      <c r="CU745" s="1332">
        <f t="shared" si="20"/>
        <v>0</v>
      </c>
      <c r="CV745" s="1332"/>
      <c r="CW745" s="1332"/>
      <c r="CX745" s="1332"/>
      <c r="CY745" s="1332"/>
      <c r="CZ745" s="1332">
        <f t="shared" si="21"/>
        <v>0</v>
      </c>
      <c r="DA745" s="1332"/>
      <c r="DB745" s="1332"/>
      <c r="DC745" s="1332"/>
      <c r="DD745" s="1332"/>
      <c r="DE745" s="1332">
        <f t="shared" si="22"/>
        <v>0</v>
      </c>
      <c r="DF745" s="1332"/>
      <c r="DG745" s="1332"/>
      <c r="DH745" s="1332"/>
      <c r="DI745" s="1332"/>
      <c r="DJ745" s="1332">
        <f t="shared" si="23"/>
        <v>0</v>
      </c>
      <c r="DK745" s="1332"/>
      <c r="DL745" s="1332"/>
      <c r="DM745" s="1332"/>
      <c r="DN745" s="1332"/>
      <c r="DO745" s="1332">
        <f t="shared" si="24"/>
        <v>0</v>
      </c>
      <c r="DP745" s="1332"/>
      <c r="DQ745" s="1332"/>
      <c r="DR745" s="1332"/>
      <c r="DS745" s="1332"/>
      <c r="DT745" s="6"/>
      <c r="DU745" s="1397">
        <f t="shared" si="25"/>
        <v>0</v>
      </c>
      <c r="DV745" s="1397"/>
      <c r="DW745" s="1397"/>
      <c r="DX745" s="1397"/>
      <c r="DY745" s="1397"/>
      <c r="DZ745" s="1397">
        <f t="shared" si="26"/>
        <v>0</v>
      </c>
      <c r="EA745" s="1397"/>
      <c r="EB745" s="1397"/>
      <c r="EC745" s="1397"/>
      <c r="ED745" s="1397"/>
      <c r="EE745" s="1397">
        <f t="shared" si="27"/>
        <v>0</v>
      </c>
      <c r="EF745" s="1397"/>
      <c r="EG745" s="1397"/>
      <c r="EH745" s="1397"/>
      <c r="EI745" s="1397"/>
      <c r="EJ745" s="1397">
        <f t="shared" si="28"/>
        <v>0</v>
      </c>
      <c r="EK745" s="1397"/>
      <c r="EL745" s="1397"/>
      <c r="EM745" s="1397"/>
      <c r="EN745" s="1397"/>
      <c r="EO745" s="1397">
        <f t="shared" si="29"/>
        <v>0</v>
      </c>
      <c r="EP745" s="1397"/>
      <c r="EQ745" s="1397"/>
      <c r="ER745" s="1397"/>
      <c r="ES745" s="1397"/>
      <c r="ET745" s="1397">
        <f t="shared" si="30"/>
        <v>0</v>
      </c>
      <c r="EU745" s="1397"/>
      <c r="EV745" s="1397"/>
      <c r="EW745" s="1397"/>
      <c r="EX745" s="1397"/>
      <c r="EZ745" s="1347" t="str">
        <f t="shared" si="31"/>
        <v/>
      </c>
      <c r="FA745" s="1348"/>
      <c r="FB745" s="1348"/>
      <c r="FC745" s="1348"/>
      <c r="FD745" s="1349"/>
      <c r="FE745" s="1347" t="str">
        <f t="shared" si="32"/>
        <v/>
      </c>
      <c r="FF745" s="1348"/>
      <c r="FG745" s="1348"/>
      <c r="FH745" s="1348"/>
      <c r="FI745" s="1349"/>
      <c r="FJ745" s="1347" t="str">
        <f t="shared" si="33"/>
        <v/>
      </c>
      <c r="FK745" s="1348"/>
      <c r="FL745" s="1348"/>
      <c r="FM745" s="1348"/>
      <c r="FN745" s="1349"/>
      <c r="FO745" s="1347" t="str">
        <f t="shared" si="34"/>
        <v/>
      </c>
      <c r="FP745" s="1348"/>
      <c r="FQ745" s="1348"/>
      <c r="FR745" s="1348"/>
      <c r="FS745" s="1349"/>
      <c r="FT745" s="1347" t="str">
        <f t="shared" si="35"/>
        <v/>
      </c>
      <c r="FU745" s="1348"/>
      <c r="FV745" s="1348"/>
      <c r="FW745" s="1348"/>
      <c r="FX745" s="1349"/>
      <c r="FY745" s="1347" t="str">
        <f t="shared" si="36"/>
        <v/>
      </c>
      <c r="FZ745" s="1348"/>
      <c r="GA745" s="1348"/>
      <c r="GB745" s="1348"/>
      <c r="GC745" s="1349"/>
    </row>
    <row r="746" spans="1:185" ht="12.95" customHeight="1">
      <c r="B746" s="1360"/>
      <c r="C746" s="1361"/>
      <c r="D746" s="1361"/>
      <c r="E746" s="1361"/>
      <c r="F746" s="1362"/>
      <c r="G746" s="1498"/>
      <c r="H746" s="1499"/>
      <c r="I746" s="1499"/>
      <c r="J746" s="1500"/>
      <c r="K746" s="1393"/>
      <c r="L746" s="1394"/>
      <c r="M746" s="1394"/>
      <c r="N746" s="1395"/>
      <c r="O746" s="1389"/>
      <c r="P746" s="1390"/>
      <c r="Q746" s="1390"/>
      <c r="R746" s="1390"/>
      <c r="S746" s="1391"/>
      <c r="T746" s="1389"/>
      <c r="U746" s="1390"/>
      <c r="V746" s="1390"/>
      <c r="W746" s="1391"/>
      <c r="X746" s="1371">
        <f t="shared" si="40"/>
        <v>0</v>
      </c>
      <c r="Y746" s="1372"/>
      <c r="Z746" s="1372"/>
      <c r="AA746" s="1372"/>
      <c r="AB746" s="1373"/>
      <c r="AC746" s="1625"/>
      <c r="AD746" s="1626"/>
      <c r="AE746" s="1626"/>
      <c r="AF746" s="1626"/>
      <c r="AG746" s="1627"/>
      <c r="AH746" s="1426" t="str">
        <f t="shared" si="37"/>
        <v/>
      </c>
      <c r="AI746" s="1427"/>
      <c r="AJ746" s="1428"/>
      <c r="AK746" s="1360" t="s">
        <v>592</v>
      </c>
      <c r="AL746" s="1361"/>
      <c r="AM746" s="1361"/>
      <c r="AN746" s="1361"/>
      <c r="AO746" s="1362"/>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47">
        <f t="shared" si="38"/>
        <v>0</v>
      </c>
      <c r="CH746" s="1349"/>
      <c r="CI746" s="1344">
        <f t="shared" si="39"/>
        <v>0</v>
      </c>
      <c r="CJ746" s="1346"/>
      <c r="CK746" s="1347">
        <f t="shared" si="17"/>
        <v>0</v>
      </c>
      <c r="CL746" s="1349"/>
      <c r="CM746" s="1344">
        <f t="shared" si="18"/>
        <v>0</v>
      </c>
      <c r="CN746" s="1346"/>
      <c r="CO746" s="3"/>
      <c r="CP746" s="1336">
        <f t="shared" si="19"/>
        <v>0</v>
      </c>
      <c r="CQ746" s="1337"/>
      <c r="CR746" s="1337"/>
      <c r="CS746" s="1337"/>
      <c r="CT746" s="1338"/>
      <c r="CU746" s="1332">
        <f t="shared" si="20"/>
        <v>0</v>
      </c>
      <c r="CV746" s="1332"/>
      <c r="CW746" s="1332"/>
      <c r="CX746" s="1332"/>
      <c r="CY746" s="1332"/>
      <c r="CZ746" s="1332">
        <f t="shared" si="21"/>
        <v>0</v>
      </c>
      <c r="DA746" s="1332"/>
      <c r="DB746" s="1332"/>
      <c r="DC746" s="1332"/>
      <c r="DD746" s="1332"/>
      <c r="DE746" s="1332">
        <f t="shared" si="22"/>
        <v>0</v>
      </c>
      <c r="DF746" s="1332"/>
      <c r="DG746" s="1332"/>
      <c r="DH746" s="1332"/>
      <c r="DI746" s="1332"/>
      <c r="DJ746" s="1332">
        <f t="shared" si="23"/>
        <v>0</v>
      </c>
      <c r="DK746" s="1332"/>
      <c r="DL746" s="1332"/>
      <c r="DM746" s="1332"/>
      <c r="DN746" s="1332"/>
      <c r="DO746" s="1332">
        <f t="shared" si="24"/>
        <v>0</v>
      </c>
      <c r="DP746" s="1332"/>
      <c r="DQ746" s="1332"/>
      <c r="DR746" s="1332"/>
      <c r="DS746" s="1332"/>
      <c r="DT746" s="6"/>
      <c r="DU746" s="1397">
        <f t="shared" si="25"/>
        <v>0</v>
      </c>
      <c r="DV746" s="1397"/>
      <c r="DW746" s="1397"/>
      <c r="DX746" s="1397"/>
      <c r="DY746" s="1397"/>
      <c r="DZ746" s="1397">
        <f t="shared" si="26"/>
        <v>0</v>
      </c>
      <c r="EA746" s="1397"/>
      <c r="EB746" s="1397"/>
      <c r="EC746" s="1397"/>
      <c r="ED746" s="1397"/>
      <c r="EE746" s="1397">
        <f t="shared" si="27"/>
        <v>0</v>
      </c>
      <c r="EF746" s="1397"/>
      <c r="EG746" s="1397"/>
      <c r="EH746" s="1397"/>
      <c r="EI746" s="1397"/>
      <c r="EJ746" s="1397">
        <f t="shared" si="28"/>
        <v>0</v>
      </c>
      <c r="EK746" s="1397"/>
      <c r="EL746" s="1397"/>
      <c r="EM746" s="1397"/>
      <c r="EN746" s="1397"/>
      <c r="EO746" s="1397">
        <f t="shared" si="29"/>
        <v>0</v>
      </c>
      <c r="EP746" s="1397"/>
      <c r="EQ746" s="1397"/>
      <c r="ER746" s="1397"/>
      <c r="ES746" s="1397"/>
      <c r="ET746" s="1397">
        <f t="shared" si="30"/>
        <v>0</v>
      </c>
      <c r="EU746" s="1397"/>
      <c r="EV746" s="1397"/>
      <c r="EW746" s="1397"/>
      <c r="EX746" s="1397"/>
      <c r="EZ746" s="1347" t="str">
        <f t="shared" si="31"/>
        <v/>
      </c>
      <c r="FA746" s="1348"/>
      <c r="FB746" s="1348"/>
      <c r="FC746" s="1348"/>
      <c r="FD746" s="1349"/>
      <c r="FE746" s="1347" t="str">
        <f t="shared" si="32"/>
        <v/>
      </c>
      <c r="FF746" s="1348"/>
      <c r="FG746" s="1348"/>
      <c r="FH746" s="1348"/>
      <c r="FI746" s="1349"/>
      <c r="FJ746" s="1347" t="str">
        <f t="shared" si="33"/>
        <v/>
      </c>
      <c r="FK746" s="1348"/>
      <c r="FL746" s="1348"/>
      <c r="FM746" s="1348"/>
      <c r="FN746" s="1349"/>
      <c r="FO746" s="1347" t="str">
        <f t="shared" si="34"/>
        <v/>
      </c>
      <c r="FP746" s="1348"/>
      <c r="FQ746" s="1348"/>
      <c r="FR746" s="1348"/>
      <c r="FS746" s="1349"/>
      <c r="FT746" s="1347" t="str">
        <f t="shared" si="35"/>
        <v/>
      </c>
      <c r="FU746" s="1348"/>
      <c r="FV746" s="1348"/>
      <c r="FW746" s="1348"/>
      <c r="FX746" s="1349"/>
      <c r="FY746" s="1347" t="str">
        <f t="shared" si="36"/>
        <v/>
      </c>
      <c r="FZ746" s="1348"/>
      <c r="GA746" s="1348"/>
      <c r="GB746" s="1348"/>
      <c r="GC746" s="1349"/>
    </row>
    <row r="747" spans="1:185" ht="12.95" customHeight="1">
      <c r="B747" s="1360"/>
      <c r="C747" s="1361"/>
      <c r="D747" s="1361"/>
      <c r="E747" s="1361"/>
      <c r="F747" s="1362"/>
      <c r="G747" s="1498"/>
      <c r="H747" s="1499"/>
      <c r="I747" s="1499"/>
      <c r="J747" s="1500"/>
      <c r="K747" s="1393"/>
      <c r="L747" s="1394"/>
      <c r="M747" s="1394"/>
      <c r="N747" s="1395"/>
      <c r="O747" s="1389"/>
      <c r="P747" s="1390"/>
      <c r="Q747" s="1390"/>
      <c r="R747" s="1390"/>
      <c r="S747" s="1391"/>
      <c r="T747" s="1389"/>
      <c r="U747" s="1390"/>
      <c r="V747" s="1390"/>
      <c r="W747" s="1391"/>
      <c r="X747" s="1371">
        <f t="shared" si="40"/>
        <v>0</v>
      </c>
      <c r="Y747" s="1372"/>
      <c r="Z747" s="1372"/>
      <c r="AA747" s="1372"/>
      <c r="AB747" s="1373"/>
      <c r="AC747" s="1625"/>
      <c r="AD747" s="1626"/>
      <c r="AE747" s="1626"/>
      <c r="AF747" s="1626"/>
      <c r="AG747" s="1627"/>
      <c r="AH747" s="1426" t="str">
        <f t="shared" si="37"/>
        <v/>
      </c>
      <c r="AI747" s="1427"/>
      <c r="AJ747" s="1428"/>
      <c r="AK747" s="1360" t="s">
        <v>592</v>
      </c>
      <c r="AL747" s="1361"/>
      <c r="AM747" s="1361"/>
      <c r="AN747" s="1361"/>
      <c r="AO747" s="1362"/>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47">
        <f t="shared" si="38"/>
        <v>0</v>
      </c>
      <c r="CH747" s="1349"/>
      <c r="CI747" s="1344">
        <f t="shared" si="39"/>
        <v>0</v>
      </c>
      <c r="CJ747" s="1346"/>
      <c r="CK747" s="1347">
        <f t="shared" si="17"/>
        <v>0</v>
      </c>
      <c r="CL747" s="1349"/>
      <c r="CM747" s="1344">
        <f t="shared" si="18"/>
        <v>0</v>
      </c>
      <c r="CN747" s="1346"/>
      <c r="CO747" s="3"/>
      <c r="CP747" s="1336">
        <f t="shared" si="19"/>
        <v>0</v>
      </c>
      <c r="CQ747" s="1337"/>
      <c r="CR747" s="1337"/>
      <c r="CS747" s="1337"/>
      <c r="CT747" s="1338"/>
      <c r="CU747" s="1332">
        <f t="shared" si="20"/>
        <v>0</v>
      </c>
      <c r="CV747" s="1332"/>
      <c r="CW747" s="1332"/>
      <c r="CX747" s="1332"/>
      <c r="CY747" s="1332"/>
      <c r="CZ747" s="1332">
        <f t="shared" si="21"/>
        <v>0</v>
      </c>
      <c r="DA747" s="1332"/>
      <c r="DB747" s="1332"/>
      <c r="DC747" s="1332"/>
      <c r="DD747" s="1332"/>
      <c r="DE747" s="1332">
        <f t="shared" si="22"/>
        <v>0</v>
      </c>
      <c r="DF747" s="1332"/>
      <c r="DG747" s="1332"/>
      <c r="DH747" s="1332"/>
      <c r="DI747" s="1332"/>
      <c r="DJ747" s="1332">
        <f t="shared" si="23"/>
        <v>0</v>
      </c>
      <c r="DK747" s="1332"/>
      <c r="DL747" s="1332"/>
      <c r="DM747" s="1332"/>
      <c r="DN747" s="1332"/>
      <c r="DO747" s="1332">
        <f t="shared" si="24"/>
        <v>0</v>
      </c>
      <c r="DP747" s="1332"/>
      <c r="DQ747" s="1332"/>
      <c r="DR747" s="1332"/>
      <c r="DS747" s="1332"/>
      <c r="DT747" s="6"/>
      <c r="DU747" s="1397">
        <f t="shared" si="25"/>
        <v>0</v>
      </c>
      <c r="DV747" s="1397"/>
      <c r="DW747" s="1397"/>
      <c r="DX747" s="1397"/>
      <c r="DY747" s="1397"/>
      <c r="DZ747" s="1397">
        <f t="shared" si="26"/>
        <v>0</v>
      </c>
      <c r="EA747" s="1397"/>
      <c r="EB747" s="1397"/>
      <c r="EC747" s="1397"/>
      <c r="ED747" s="1397"/>
      <c r="EE747" s="1397">
        <f t="shared" si="27"/>
        <v>0</v>
      </c>
      <c r="EF747" s="1397"/>
      <c r="EG747" s="1397"/>
      <c r="EH747" s="1397"/>
      <c r="EI747" s="1397"/>
      <c r="EJ747" s="1397">
        <f t="shared" si="28"/>
        <v>0</v>
      </c>
      <c r="EK747" s="1397"/>
      <c r="EL747" s="1397"/>
      <c r="EM747" s="1397"/>
      <c r="EN747" s="1397"/>
      <c r="EO747" s="1397">
        <f t="shared" si="29"/>
        <v>0</v>
      </c>
      <c r="EP747" s="1397"/>
      <c r="EQ747" s="1397"/>
      <c r="ER747" s="1397"/>
      <c r="ES747" s="1397"/>
      <c r="ET747" s="1397">
        <f t="shared" si="30"/>
        <v>0</v>
      </c>
      <c r="EU747" s="1397"/>
      <c r="EV747" s="1397"/>
      <c r="EW747" s="1397"/>
      <c r="EX747" s="1397"/>
      <c r="EZ747" s="1347" t="str">
        <f t="shared" si="31"/>
        <v/>
      </c>
      <c r="FA747" s="1348"/>
      <c r="FB747" s="1348"/>
      <c r="FC747" s="1348"/>
      <c r="FD747" s="1349"/>
      <c r="FE747" s="1347" t="str">
        <f t="shared" si="32"/>
        <v/>
      </c>
      <c r="FF747" s="1348"/>
      <c r="FG747" s="1348"/>
      <c r="FH747" s="1348"/>
      <c r="FI747" s="1349"/>
      <c r="FJ747" s="1347" t="str">
        <f t="shared" si="33"/>
        <v/>
      </c>
      <c r="FK747" s="1348"/>
      <c r="FL747" s="1348"/>
      <c r="FM747" s="1348"/>
      <c r="FN747" s="1349"/>
      <c r="FO747" s="1347" t="str">
        <f t="shared" si="34"/>
        <v/>
      </c>
      <c r="FP747" s="1348"/>
      <c r="FQ747" s="1348"/>
      <c r="FR747" s="1348"/>
      <c r="FS747" s="1349"/>
      <c r="FT747" s="1347" t="str">
        <f t="shared" si="35"/>
        <v/>
      </c>
      <c r="FU747" s="1348"/>
      <c r="FV747" s="1348"/>
      <c r="FW747" s="1348"/>
      <c r="FX747" s="1349"/>
      <c r="FY747" s="1347" t="str">
        <f t="shared" si="36"/>
        <v/>
      </c>
      <c r="FZ747" s="1348"/>
      <c r="GA747" s="1348"/>
      <c r="GB747" s="1348"/>
      <c r="GC747" s="1349"/>
    </row>
    <row r="748" spans="1:185" s="3" customFormat="1" ht="12.95" customHeight="1">
      <c r="A748"/>
      <c r="B748" s="1360"/>
      <c r="C748" s="1361"/>
      <c r="D748" s="1361"/>
      <c r="E748" s="1361"/>
      <c r="F748" s="1362"/>
      <c r="G748" s="1498"/>
      <c r="H748" s="1499"/>
      <c r="I748" s="1499"/>
      <c r="J748" s="1500"/>
      <c r="K748" s="1393"/>
      <c r="L748" s="1394"/>
      <c r="M748" s="1394"/>
      <c r="N748" s="1395"/>
      <c r="O748" s="1389"/>
      <c r="P748" s="1390"/>
      <c r="Q748" s="1390"/>
      <c r="R748" s="1390"/>
      <c r="S748" s="1391"/>
      <c r="T748" s="1389"/>
      <c r="U748" s="1390"/>
      <c r="V748" s="1390"/>
      <c r="W748" s="1391"/>
      <c r="X748" s="1371">
        <f t="shared" si="40"/>
        <v>0</v>
      </c>
      <c r="Y748" s="1372"/>
      <c r="Z748" s="1372"/>
      <c r="AA748" s="1372"/>
      <c r="AB748" s="1373"/>
      <c r="AC748" s="1625"/>
      <c r="AD748" s="1626"/>
      <c r="AE748" s="1626"/>
      <c r="AF748" s="1626"/>
      <c r="AG748" s="1627"/>
      <c r="AH748" s="1426" t="str">
        <f t="shared" si="37"/>
        <v/>
      </c>
      <c r="AI748" s="1427"/>
      <c r="AJ748" s="1428"/>
      <c r="AK748" s="1360" t="s">
        <v>592</v>
      </c>
      <c r="AL748" s="1361"/>
      <c r="AM748" s="1361"/>
      <c r="AN748" s="1361"/>
      <c r="AO748" s="1362"/>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47">
        <f t="shared" si="38"/>
        <v>0</v>
      </c>
      <c r="CH748" s="1349"/>
      <c r="CI748" s="1344">
        <f t="shared" si="39"/>
        <v>0</v>
      </c>
      <c r="CJ748" s="1346"/>
      <c r="CK748" s="1347">
        <f t="shared" si="17"/>
        <v>0</v>
      </c>
      <c r="CL748" s="1349"/>
      <c r="CM748" s="1344">
        <f t="shared" si="18"/>
        <v>0</v>
      </c>
      <c r="CN748" s="1346"/>
      <c r="CP748" s="1336">
        <f t="shared" si="19"/>
        <v>0</v>
      </c>
      <c r="CQ748" s="1337"/>
      <c r="CR748" s="1337"/>
      <c r="CS748" s="1337"/>
      <c r="CT748" s="1338"/>
      <c r="CU748" s="1332">
        <f t="shared" si="20"/>
        <v>0</v>
      </c>
      <c r="CV748" s="1332"/>
      <c r="CW748" s="1332"/>
      <c r="CX748" s="1332"/>
      <c r="CY748" s="1332"/>
      <c r="CZ748" s="1332">
        <f t="shared" si="21"/>
        <v>0</v>
      </c>
      <c r="DA748" s="1332"/>
      <c r="DB748" s="1332"/>
      <c r="DC748" s="1332"/>
      <c r="DD748" s="1332"/>
      <c r="DE748" s="1332">
        <f t="shared" si="22"/>
        <v>0</v>
      </c>
      <c r="DF748" s="1332"/>
      <c r="DG748" s="1332"/>
      <c r="DH748" s="1332"/>
      <c r="DI748" s="1332"/>
      <c r="DJ748" s="1332">
        <f t="shared" si="23"/>
        <v>0</v>
      </c>
      <c r="DK748" s="1332"/>
      <c r="DL748" s="1332"/>
      <c r="DM748" s="1332"/>
      <c r="DN748" s="1332"/>
      <c r="DO748" s="1332">
        <f t="shared" si="24"/>
        <v>0</v>
      </c>
      <c r="DP748" s="1332"/>
      <c r="DQ748" s="1332"/>
      <c r="DR748" s="1332"/>
      <c r="DS748" s="1332"/>
      <c r="DT748" s="6"/>
      <c r="DU748" s="1397">
        <f t="shared" si="25"/>
        <v>0</v>
      </c>
      <c r="DV748" s="1397"/>
      <c r="DW748" s="1397"/>
      <c r="DX748" s="1397"/>
      <c r="DY748" s="1397"/>
      <c r="DZ748" s="1397">
        <f t="shared" si="26"/>
        <v>0</v>
      </c>
      <c r="EA748" s="1397"/>
      <c r="EB748" s="1397"/>
      <c r="EC748" s="1397"/>
      <c r="ED748" s="1397"/>
      <c r="EE748" s="1397">
        <f t="shared" si="27"/>
        <v>0</v>
      </c>
      <c r="EF748" s="1397"/>
      <c r="EG748" s="1397"/>
      <c r="EH748" s="1397"/>
      <c r="EI748" s="1397"/>
      <c r="EJ748" s="1397">
        <f t="shared" si="28"/>
        <v>0</v>
      </c>
      <c r="EK748" s="1397"/>
      <c r="EL748" s="1397"/>
      <c r="EM748" s="1397"/>
      <c r="EN748" s="1397"/>
      <c r="EO748" s="1397">
        <f t="shared" si="29"/>
        <v>0</v>
      </c>
      <c r="EP748" s="1397"/>
      <c r="EQ748" s="1397"/>
      <c r="ER748" s="1397"/>
      <c r="ES748" s="1397"/>
      <c r="ET748" s="1397">
        <f t="shared" si="30"/>
        <v>0</v>
      </c>
      <c r="EU748" s="1397"/>
      <c r="EV748" s="1397"/>
      <c r="EW748" s="1397"/>
      <c r="EX748" s="1397"/>
      <c r="EY748"/>
      <c r="EZ748" s="1347" t="str">
        <f t="shared" si="31"/>
        <v/>
      </c>
      <c r="FA748" s="1348"/>
      <c r="FB748" s="1348"/>
      <c r="FC748" s="1348"/>
      <c r="FD748" s="1349"/>
      <c r="FE748" s="1347" t="str">
        <f t="shared" si="32"/>
        <v/>
      </c>
      <c r="FF748" s="1348"/>
      <c r="FG748" s="1348"/>
      <c r="FH748" s="1348"/>
      <c r="FI748" s="1349"/>
      <c r="FJ748" s="1347" t="str">
        <f t="shared" si="33"/>
        <v/>
      </c>
      <c r="FK748" s="1348"/>
      <c r="FL748" s="1348"/>
      <c r="FM748" s="1348"/>
      <c r="FN748" s="1349"/>
      <c r="FO748" s="1347" t="str">
        <f t="shared" si="34"/>
        <v/>
      </c>
      <c r="FP748" s="1348"/>
      <c r="FQ748" s="1348"/>
      <c r="FR748" s="1348"/>
      <c r="FS748" s="1349"/>
      <c r="FT748" s="1347" t="str">
        <f t="shared" si="35"/>
        <v/>
      </c>
      <c r="FU748" s="1348"/>
      <c r="FV748" s="1348"/>
      <c r="FW748" s="1348"/>
      <c r="FX748" s="1349"/>
      <c r="FY748" s="1347" t="str">
        <f t="shared" si="36"/>
        <v/>
      </c>
      <c r="FZ748" s="1348"/>
      <c r="GA748" s="1348"/>
      <c r="GB748" s="1348"/>
      <c r="GC748" s="1349"/>
    </row>
    <row r="749" spans="1:185" s="3" customFormat="1" ht="12.95" customHeight="1">
      <c r="A749"/>
      <c r="B749" s="1360"/>
      <c r="C749" s="1361"/>
      <c r="D749" s="1361"/>
      <c r="E749" s="1361"/>
      <c r="F749" s="1362"/>
      <c r="G749" s="1498"/>
      <c r="H749" s="1499"/>
      <c r="I749" s="1499"/>
      <c r="J749" s="1500"/>
      <c r="K749" s="1393"/>
      <c r="L749" s="1394"/>
      <c r="M749" s="1394"/>
      <c r="N749" s="1395"/>
      <c r="O749" s="1389"/>
      <c r="P749" s="1390"/>
      <c r="Q749" s="1390"/>
      <c r="R749" s="1390"/>
      <c r="S749" s="1391"/>
      <c r="T749" s="1389"/>
      <c r="U749" s="1390"/>
      <c r="V749" s="1390"/>
      <c r="W749" s="1391"/>
      <c r="X749" s="1371">
        <f t="shared" si="40"/>
        <v>0</v>
      </c>
      <c r="Y749" s="1372"/>
      <c r="Z749" s="1372"/>
      <c r="AA749" s="1372"/>
      <c r="AB749" s="1373"/>
      <c r="AC749" s="1625"/>
      <c r="AD749" s="1626"/>
      <c r="AE749" s="1626"/>
      <c r="AF749" s="1626"/>
      <c r="AG749" s="1627"/>
      <c r="AH749" s="1426" t="str">
        <f t="shared" si="37"/>
        <v/>
      </c>
      <c r="AI749" s="1427"/>
      <c r="AJ749" s="1428"/>
      <c r="AK749" s="1360" t="s">
        <v>592</v>
      </c>
      <c r="AL749" s="1361"/>
      <c r="AM749" s="1361"/>
      <c r="AN749" s="1361"/>
      <c r="AO749" s="1362"/>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47">
        <f t="shared" si="38"/>
        <v>0</v>
      </c>
      <c r="CH749" s="1349"/>
      <c r="CI749" s="1344">
        <f t="shared" si="39"/>
        <v>0</v>
      </c>
      <c r="CJ749" s="1346"/>
      <c r="CK749" s="1347">
        <f t="shared" si="17"/>
        <v>0</v>
      </c>
      <c r="CL749" s="1349"/>
      <c r="CM749" s="1344">
        <f t="shared" si="18"/>
        <v>0</v>
      </c>
      <c r="CN749" s="1346"/>
      <c r="CP749" s="1336">
        <f t="shared" si="19"/>
        <v>0</v>
      </c>
      <c r="CQ749" s="1337"/>
      <c r="CR749" s="1337"/>
      <c r="CS749" s="1337"/>
      <c r="CT749" s="1338"/>
      <c r="CU749" s="1332">
        <f t="shared" si="20"/>
        <v>0</v>
      </c>
      <c r="CV749" s="1332"/>
      <c r="CW749" s="1332"/>
      <c r="CX749" s="1332"/>
      <c r="CY749" s="1332"/>
      <c r="CZ749" s="1332">
        <f t="shared" si="21"/>
        <v>0</v>
      </c>
      <c r="DA749" s="1332"/>
      <c r="DB749" s="1332"/>
      <c r="DC749" s="1332"/>
      <c r="DD749" s="1332"/>
      <c r="DE749" s="1332">
        <f t="shared" si="22"/>
        <v>0</v>
      </c>
      <c r="DF749" s="1332"/>
      <c r="DG749" s="1332"/>
      <c r="DH749" s="1332"/>
      <c r="DI749" s="1332"/>
      <c r="DJ749" s="1332">
        <f t="shared" si="23"/>
        <v>0</v>
      </c>
      <c r="DK749" s="1332"/>
      <c r="DL749" s="1332"/>
      <c r="DM749" s="1332"/>
      <c r="DN749" s="1332"/>
      <c r="DO749" s="1332">
        <f t="shared" si="24"/>
        <v>0</v>
      </c>
      <c r="DP749" s="1332"/>
      <c r="DQ749" s="1332"/>
      <c r="DR749" s="1332"/>
      <c r="DS749" s="1332"/>
      <c r="DT749" s="6"/>
      <c r="DU749" s="1397">
        <f t="shared" si="25"/>
        <v>0</v>
      </c>
      <c r="DV749" s="1397"/>
      <c r="DW749" s="1397"/>
      <c r="DX749" s="1397"/>
      <c r="DY749" s="1397"/>
      <c r="DZ749" s="1397">
        <f t="shared" si="26"/>
        <v>0</v>
      </c>
      <c r="EA749" s="1397"/>
      <c r="EB749" s="1397"/>
      <c r="EC749" s="1397"/>
      <c r="ED749" s="1397"/>
      <c r="EE749" s="1397">
        <f t="shared" si="27"/>
        <v>0</v>
      </c>
      <c r="EF749" s="1397"/>
      <c r="EG749" s="1397"/>
      <c r="EH749" s="1397"/>
      <c r="EI749" s="1397"/>
      <c r="EJ749" s="1397">
        <f t="shared" si="28"/>
        <v>0</v>
      </c>
      <c r="EK749" s="1397"/>
      <c r="EL749" s="1397"/>
      <c r="EM749" s="1397"/>
      <c r="EN749" s="1397"/>
      <c r="EO749" s="1397">
        <f t="shared" si="29"/>
        <v>0</v>
      </c>
      <c r="EP749" s="1397"/>
      <c r="EQ749" s="1397"/>
      <c r="ER749" s="1397"/>
      <c r="ES749" s="1397"/>
      <c r="ET749" s="1397">
        <f t="shared" si="30"/>
        <v>0</v>
      </c>
      <c r="EU749" s="1397"/>
      <c r="EV749" s="1397"/>
      <c r="EW749" s="1397"/>
      <c r="EX749" s="1397"/>
      <c r="EY749"/>
      <c r="EZ749" s="1347" t="str">
        <f t="shared" si="31"/>
        <v/>
      </c>
      <c r="FA749" s="1348"/>
      <c r="FB749" s="1348"/>
      <c r="FC749" s="1348"/>
      <c r="FD749" s="1349"/>
      <c r="FE749" s="1347" t="str">
        <f t="shared" si="32"/>
        <v/>
      </c>
      <c r="FF749" s="1348"/>
      <c r="FG749" s="1348"/>
      <c r="FH749" s="1348"/>
      <c r="FI749" s="1349"/>
      <c r="FJ749" s="1347" t="str">
        <f t="shared" si="33"/>
        <v/>
      </c>
      <c r="FK749" s="1348"/>
      <c r="FL749" s="1348"/>
      <c r="FM749" s="1348"/>
      <c r="FN749" s="1349"/>
      <c r="FO749" s="1347" t="str">
        <f t="shared" si="34"/>
        <v/>
      </c>
      <c r="FP749" s="1348"/>
      <c r="FQ749" s="1348"/>
      <c r="FR749" s="1348"/>
      <c r="FS749" s="1349"/>
      <c r="FT749" s="1347" t="str">
        <f t="shared" si="35"/>
        <v/>
      </c>
      <c r="FU749" s="1348"/>
      <c r="FV749" s="1348"/>
      <c r="FW749" s="1348"/>
      <c r="FX749" s="1349"/>
      <c r="FY749" s="1347" t="str">
        <f t="shared" si="36"/>
        <v/>
      </c>
      <c r="FZ749" s="1348"/>
      <c r="GA749" s="1348"/>
      <c r="GB749" s="1348"/>
      <c r="GC749" s="1349"/>
    </row>
    <row r="750" spans="1:185" s="3" customFormat="1" ht="12.95" customHeight="1">
      <c r="A750"/>
      <c r="B750" s="1360"/>
      <c r="C750" s="1361"/>
      <c r="D750" s="1361"/>
      <c r="E750" s="1361"/>
      <c r="F750" s="1362"/>
      <c r="G750" s="1498"/>
      <c r="H750" s="1499"/>
      <c r="I750" s="1499"/>
      <c r="J750" s="1500"/>
      <c r="K750" s="1393"/>
      <c r="L750" s="1394"/>
      <c r="M750" s="1394"/>
      <c r="N750" s="1395"/>
      <c r="O750" s="1389"/>
      <c r="P750" s="1390"/>
      <c r="Q750" s="1390"/>
      <c r="R750" s="1390"/>
      <c r="S750" s="1391"/>
      <c r="T750" s="1389"/>
      <c r="U750" s="1390"/>
      <c r="V750" s="1390"/>
      <c r="W750" s="1391"/>
      <c r="X750" s="1371">
        <f t="shared" si="40"/>
        <v>0</v>
      </c>
      <c r="Y750" s="1372"/>
      <c r="Z750" s="1372"/>
      <c r="AA750" s="1372"/>
      <c r="AB750" s="1373"/>
      <c r="AC750" s="1625"/>
      <c r="AD750" s="1626"/>
      <c r="AE750" s="1626"/>
      <c r="AF750" s="1626"/>
      <c r="AG750" s="1627"/>
      <c r="AH750" s="1426" t="str">
        <f t="shared" si="37"/>
        <v/>
      </c>
      <c r="AI750" s="1427"/>
      <c r="AJ750" s="1428"/>
      <c r="AK750" s="1360" t="s">
        <v>592</v>
      </c>
      <c r="AL750" s="1361"/>
      <c r="AM750" s="1361"/>
      <c r="AN750" s="1361"/>
      <c r="AO750" s="1362"/>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47">
        <f t="shared" si="38"/>
        <v>0</v>
      </c>
      <c r="CH750" s="1349"/>
      <c r="CI750" s="1344">
        <f t="shared" si="39"/>
        <v>0</v>
      </c>
      <c r="CJ750" s="1346"/>
      <c r="CK750" s="1347">
        <f t="shared" si="17"/>
        <v>0</v>
      </c>
      <c r="CL750" s="1349"/>
      <c r="CM750" s="1344">
        <f t="shared" si="18"/>
        <v>0</v>
      </c>
      <c r="CN750" s="1346"/>
      <c r="CP750" s="1336">
        <f t="shared" si="19"/>
        <v>0</v>
      </c>
      <c r="CQ750" s="1337"/>
      <c r="CR750" s="1337"/>
      <c r="CS750" s="1337"/>
      <c r="CT750" s="1338"/>
      <c r="CU750" s="1332">
        <f t="shared" si="20"/>
        <v>0</v>
      </c>
      <c r="CV750" s="1332"/>
      <c r="CW750" s="1332"/>
      <c r="CX750" s="1332"/>
      <c r="CY750" s="1332"/>
      <c r="CZ750" s="1332">
        <f t="shared" si="21"/>
        <v>0</v>
      </c>
      <c r="DA750" s="1332"/>
      <c r="DB750" s="1332"/>
      <c r="DC750" s="1332"/>
      <c r="DD750" s="1332"/>
      <c r="DE750" s="1332">
        <f t="shared" si="22"/>
        <v>0</v>
      </c>
      <c r="DF750" s="1332"/>
      <c r="DG750" s="1332"/>
      <c r="DH750" s="1332"/>
      <c r="DI750" s="1332"/>
      <c r="DJ750" s="1332">
        <f t="shared" si="23"/>
        <v>0</v>
      </c>
      <c r="DK750" s="1332"/>
      <c r="DL750" s="1332"/>
      <c r="DM750" s="1332"/>
      <c r="DN750" s="1332"/>
      <c r="DO750" s="1332">
        <f t="shared" si="24"/>
        <v>0</v>
      </c>
      <c r="DP750" s="1332"/>
      <c r="DQ750" s="1332"/>
      <c r="DR750" s="1332"/>
      <c r="DS750" s="1332"/>
      <c r="DT750" s="6"/>
      <c r="DU750" s="1397">
        <f t="shared" si="25"/>
        <v>0</v>
      </c>
      <c r="DV750" s="1397"/>
      <c r="DW750" s="1397"/>
      <c r="DX750" s="1397"/>
      <c r="DY750" s="1397"/>
      <c r="DZ750" s="1397">
        <f t="shared" si="26"/>
        <v>0</v>
      </c>
      <c r="EA750" s="1397"/>
      <c r="EB750" s="1397"/>
      <c r="EC750" s="1397"/>
      <c r="ED750" s="1397"/>
      <c r="EE750" s="1397">
        <f t="shared" si="27"/>
        <v>0</v>
      </c>
      <c r="EF750" s="1397"/>
      <c r="EG750" s="1397"/>
      <c r="EH750" s="1397"/>
      <c r="EI750" s="1397"/>
      <c r="EJ750" s="1397">
        <f t="shared" si="28"/>
        <v>0</v>
      </c>
      <c r="EK750" s="1397"/>
      <c r="EL750" s="1397"/>
      <c r="EM750" s="1397"/>
      <c r="EN750" s="1397"/>
      <c r="EO750" s="1397">
        <f t="shared" si="29"/>
        <v>0</v>
      </c>
      <c r="EP750" s="1397"/>
      <c r="EQ750" s="1397"/>
      <c r="ER750" s="1397"/>
      <c r="ES750" s="1397"/>
      <c r="ET750" s="1397">
        <f t="shared" si="30"/>
        <v>0</v>
      </c>
      <c r="EU750" s="1397"/>
      <c r="EV750" s="1397"/>
      <c r="EW750" s="1397"/>
      <c r="EX750" s="1397"/>
      <c r="EY750"/>
      <c r="EZ750" s="1347" t="str">
        <f t="shared" si="31"/>
        <v/>
      </c>
      <c r="FA750" s="1348"/>
      <c r="FB750" s="1348"/>
      <c r="FC750" s="1348"/>
      <c r="FD750" s="1349"/>
      <c r="FE750" s="1347" t="str">
        <f t="shared" si="32"/>
        <v/>
      </c>
      <c r="FF750" s="1348"/>
      <c r="FG750" s="1348"/>
      <c r="FH750" s="1348"/>
      <c r="FI750" s="1349"/>
      <c r="FJ750" s="1347" t="str">
        <f t="shared" si="33"/>
        <v/>
      </c>
      <c r="FK750" s="1348"/>
      <c r="FL750" s="1348"/>
      <c r="FM750" s="1348"/>
      <c r="FN750" s="1349"/>
      <c r="FO750" s="1347" t="str">
        <f t="shared" si="34"/>
        <v/>
      </c>
      <c r="FP750" s="1348"/>
      <c r="FQ750" s="1348"/>
      <c r="FR750" s="1348"/>
      <c r="FS750" s="1349"/>
      <c r="FT750" s="1347" t="str">
        <f t="shared" si="35"/>
        <v/>
      </c>
      <c r="FU750" s="1348"/>
      <c r="FV750" s="1348"/>
      <c r="FW750" s="1348"/>
      <c r="FX750" s="1349"/>
      <c r="FY750" s="1347" t="str">
        <f t="shared" si="36"/>
        <v/>
      </c>
      <c r="FZ750" s="1348"/>
      <c r="GA750" s="1348"/>
      <c r="GB750" s="1348"/>
      <c r="GC750" s="1349"/>
    </row>
    <row r="751" spans="1:185" s="3" customFormat="1" ht="12.95" customHeight="1">
      <c r="A751"/>
      <c r="B751" s="1360"/>
      <c r="C751" s="1361"/>
      <c r="D751" s="1361"/>
      <c r="E751" s="1361"/>
      <c r="F751" s="1362"/>
      <c r="G751" s="1498"/>
      <c r="H751" s="1499"/>
      <c r="I751" s="1499"/>
      <c r="J751" s="1500"/>
      <c r="K751" s="1393"/>
      <c r="L751" s="1394"/>
      <c r="M751" s="1394"/>
      <c r="N751" s="1395"/>
      <c r="O751" s="1389"/>
      <c r="P751" s="1390"/>
      <c r="Q751" s="1390"/>
      <c r="R751" s="1390"/>
      <c r="S751" s="1391"/>
      <c r="T751" s="1389"/>
      <c r="U751" s="1390"/>
      <c r="V751" s="1390"/>
      <c r="W751" s="1391"/>
      <c r="X751" s="1371">
        <f t="shared" si="40"/>
        <v>0</v>
      </c>
      <c r="Y751" s="1372"/>
      <c r="Z751" s="1372"/>
      <c r="AA751" s="1372"/>
      <c r="AB751" s="1373"/>
      <c r="AC751" s="1625"/>
      <c r="AD751" s="1626"/>
      <c r="AE751" s="1626"/>
      <c r="AF751" s="1626"/>
      <c r="AG751" s="1627"/>
      <c r="AH751" s="1426" t="str">
        <f t="shared" si="37"/>
        <v/>
      </c>
      <c r="AI751" s="1427"/>
      <c r="AJ751" s="1428"/>
      <c r="AK751" s="1360" t="s">
        <v>592</v>
      </c>
      <c r="AL751" s="1361"/>
      <c r="AM751" s="1361"/>
      <c r="AN751" s="1361"/>
      <c r="AO751" s="1362"/>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47">
        <f t="shared" si="38"/>
        <v>0</v>
      </c>
      <c r="CH751" s="1349"/>
      <c r="CI751" s="1344">
        <f t="shared" si="39"/>
        <v>0</v>
      </c>
      <c r="CJ751" s="1346"/>
      <c r="CK751" s="1347">
        <f t="shared" si="17"/>
        <v>0</v>
      </c>
      <c r="CL751" s="1349"/>
      <c r="CM751" s="1344">
        <f t="shared" si="18"/>
        <v>0</v>
      </c>
      <c r="CN751" s="1346"/>
      <c r="CP751" s="1336">
        <f t="shared" si="19"/>
        <v>0</v>
      </c>
      <c r="CQ751" s="1337"/>
      <c r="CR751" s="1337"/>
      <c r="CS751" s="1337"/>
      <c r="CT751" s="1338"/>
      <c r="CU751" s="1332">
        <f t="shared" si="20"/>
        <v>0</v>
      </c>
      <c r="CV751" s="1332"/>
      <c r="CW751" s="1332"/>
      <c r="CX751" s="1332"/>
      <c r="CY751" s="1332"/>
      <c r="CZ751" s="1332">
        <f t="shared" si="21"/>
        <v>0</v>
      </c>
      <c r="DA751" s="1332"/>
      <c r="DB751" s="1332"/>
      <c r="DC751" s="1332"/>
      <c r="DD751" s="1332"/>
      <c r="DE751" s="1332">
        <f t="shared" si="22"/>
        <v>0</v>
      </c>
      <c r="DF751" s="1332"/>
      <c r="DG751" s="1332"/>
      <c r="DH751" s="1332"/>
      <c r="DI751" s="1332"/>
      <c r="DJ751" s="1332">
        <f t="shared" si="23"/>
        <v>0</v>
      </c>
      <c r="DK751" s="1332"/>
      <c r="DL751" s="1332"/>
      <c r="DM751" s="1332"/>
      <c r="DN751" s="1332"/>
      <c r="DO751" s="1332">
        <f t="shared" si="24"/>
        <v>0</v>
      </c>
      <c r="DP751" s="1332"/>
      <c r="DQ751" s="1332"/>
      <c r="DR751" s="1332"/>
      <c r="DS751" s="1332"/>
      <c r="DT751" s="6"/>
      <c r="DU751" s="1397">
        <f t="shared" si="25"/>
        <v>0</v>
      </c>
      <c r="DV751" s="1397"/>
      <c r="DW751" s="1397"/>
      <c r="DX751" s="1397"/>
      <c r="DY751" s="1397"/>
      <c r="DZ751" s="1397">
        <f t="shared" si="26"/>
        <v>0</v>
      </c>
      <c r="EA751" s="1397"/>
      <c r="EB751" s="1397"/>
      <c r="EC751" s="1397"/>
      <c r="ED751" s="1397"/>
      <c r="EE751" s="1397">
        <f t="shared" si="27"/>
        <v>0</v>
      </c>
      <c r="EF751" s="1397"/>
      <c r="EG751" s="1397"/>
      <c r="EH751" s="1397"/>
      <c r="EI751" s="1397"/>
      <c r="EJ751" s="1397">
        <f t="shared" si="28"/>
        <v>0</v>
      </c>
      <c r="EK751" s="1397"/>
      <c r="EL751" s="1397"/>
      <c r="EM751" s="1397"/>
      <c r="EN751" s="1397"/>
      <c r="EO751" s="1397">
        <f t="shared" si="29"/>
        <v>0</v>
      </c>
      <c r="EP751" s="1397"/>
      <c r="EQ751" s="1397"/>
      <c r="ER751" s="1397"/>
      <c r="ES751" s="1397"/>
      <c r="ET751" s="1397">
        <f t="shared" si="30"/>
        <v>0</v>
      </c>
      <c r="EU751" s="1397"/>
      <c r="EV751" s="1397"/>
      <c r="EW751" s="1397"/>
      <c r="EX751" s="1397"/>
      <c r="EY751"/>
      <c r="EZ751" s="1347" t="str">
        <f t="shared" si="31"/>
        <v/>
      </c>
      <c r="FA751" s="1348"/>
      <c r="FB751" s="1348"/>
      <c r="FC751" s="1348"/>
      <c r="FD751" s="1349"/>
      <c r="FE751" s="1347" t="str">
        <f t="shared" si="32"/>
        <v/>
      </c>
      <c r="FF751" s="1348"/>
      <c r="FG751" s="1348"/>
      <c r="FH751" s="1348"/>
      <c r="FI751" s="1349"/>
      <c r="FJ751" s="1347" t="str">
        <f t="shared" si="33"/>
        <v/>
      </c>
      <c r="FK751" s="1348"/>
      <c r="FL751" s="1348"/>
      <c r="FM751" s="1348"/>
      <c r="FN751" s="1349"/>
      <c r="FO751" s="1347" t="str">
        <f t="shared" si="34"/>
        <v/>
      </c>
      <c r="FP751" s="1348"/>
      <c r="FQ751" s="1348"/>
      <c r="FR751" s="1348"/>
      <c r="FS751" s="1349"/>
      <c r="FT751" s="1347" t="str">
        <f t="shared" si="35"/>
        <v/>
      </c>
      <c r="FU751" s="1348"/>
      <c r="FV751" s="1348"/>
      <c r="FW751" s="1348"/>
      <c r="FX751" s="1349"/>
      <c r="FY751" s="1347" t="str">
        <f t="shared" si="36"/>
        <v/>
      </c>
      <c r="FZ751" s="1348"/>
      <c r="GA751" s="1348"/>
      <c r="GB751" s="1348"/>
      <c r="GC751" s="1349"/>
    </row>
    <row r="752" spans="1:185" s="3" customFormat="1" ht="12.95" customHeight="1">
      <c r="A752"/>
      <c r="B752" s="1360"/>
      <c r="C752" s="1361"/>
      <c r="D752" s="1361"/>
      <c r="E752" s="1361"/>
      <c r="F752" s="1362"/>
      <c r="G752" s="1498"/>
      <c r="H752" s="1499"/>
      <c r="I752" s="1499"/>
      <c r="J752" s="1500"/>
      <c r="K752" s="1393"/>
      <c r="L752" s="1394"/>
      <c r="M752" s="1394"/>
      <c r="N752" s="1395"/>
      <c r="O752" s="1389"/>
      <c r="P752" s="1390"/>
      <c r="Q752" s="1390"/>
      <c r="R752" s="1390"/>
      <c r="S752" s="1391"/>
      <c r="T752" s="1389"/>
      <c r="U752" s="1390"/>
      <c r="V752" s="1390"/>
      <c r="W752" s="1391"/>
      <c r="X752" s="1371">
        <f>O752+T752</f>
        <v>0</v>
      </c>
      <c r="Y752" s="1372"/>
      <c r="Z752" s="1372"/>
      <c r="AA752" s="1372"/>
      <c r="AB752" s="1373"/>
      <c r="AC752" s="1625"/>
      <c r="AD752" s="1626"/>
      <c r="AE752" s="1626"/>
      <c r="AF752" s="1626"/>
      <c r="AG752" s="1627"/>
      <c r="AH752" s="1426" t="str">
        <f t="shared" si="37"/>
        <v/>
      </c>
      <c r="AI752" s="1427"/>
      <c r="AJ752" s="1428"/>
      <c r="AK752" s="1360" t="s">
        <v>592</v>
      </c>
      <c r="AL752" s="1361"/>
      <c r="AM752" s="1361"/>
      <c r="AN752" s="1361"/>
      <c r="AO752" s="1362"/>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47">
        <f t="shared" si="38"/>
        <v>0</v>
      </c>
      <c r="CH752" s="1349"/>
      <c r="CI752" s="1344">
        <f t="shared" si="39"/>
        <v>0</v>
      </c>
      <c r="CJ752" s="1346"/>
      <c r="CK752" s="1347">
        <f t="shared" si="17"/>
        <v>0</v>
      </c>
      <c r="CL752" s="1349"/>
      <c r="CM752" s="1344">
        <f t="shared" si="18"/>
        <v>0</v>
      </c>
      <c r="CN752" s="1346"/>
      <c r="CP752" s="1336">
        <f t="shared" si="19"/>
        <v>0</v>
      </c>
      <c r="CQ752" s="1337"/>
      <c r="CR752" s="1337"/>
      <c r="CS752" s="1337"/>
      <c r="CT752" s="1338"/>
      <c r="CU752" s="1332">
        <f t="shared" si="20"/>
        <v>0</v>
      </c>
      <c r="CV752" s="1332"/>
      <c r="CW752" s="1332"/>
      <c r="CX752" s="1332"/>
      <c r="CY752" s="1332"/>
      <c r="CZ752" s="1332">
        <f t="shared" si="21"/>
        <v>0</v>
      </c>
      <c r="DA752" s="1332"/>
      <c r="DB752" s="1332"/>
      <c r="DC752" s="1332"/>
      <c r="DD752" s="1332"/>
      <c r="DE752" s="1332">
        <f t="shared" si="22"/>
        <v>0</v>
      </c>
      <c r="DF752" s="1332"/>
      <c r="DG752" s="1332"/>
      <c r="DH752" s="1332"/>
      <c r="DI752" s="1332"/>
      <c r="DJ752" s="1332">
        <f t="shared" si="23"/>
        <v>0</v>
      </c>
      <c r="DK752" s="1332"/>
      <c r="DL752" s="1332"/>
      <c r="DM752" s="1332"/>
      <c r="DN752" s="1332"/>
      <c r="DO752" s="1332">
        <f t="shared" si="24"/>
        <v>0</v>
      </c>
      <c r="DP752" s="1332"/>
      <c r="DQ752" s="1332"/>
      <c r="DR752" s="1332"/>
      <c r="DS752" s="1332"/>
      <c r="DT752" s="6"/>
      <c r="DU752" s="1397">
        <f t="shared" si="25"/>
        <v>0</v>
      </c>
      <c r="DV752" s="1397"/>
      <c r="DW752" s="1397"/>
      <c r="DX752" s="1397"/>
      <c r="DY752" s="1397"/>
      <c r="DZ752" s="1397">
        <f t="shared" si="26"/>
        <v>0</v>
      </c>
      <c r="EA752" s="1397"/>
      <c r="EB752" s="1397"/>
      <c r="EC752" s="1397"/>
      <c r="ED752" s="1397"/>
      <c r="EE752" s="1397">
        <f t="shared" si="27"/>
        <v>0</v>
      </c>
      <c r="EF752" s="1397"/>
      <c r="EG752" s="1397"/>
      <c r="EH752" s="1397"/>
      <c r="EI752" s="1397"/>
      <c r="EJ752" s="1397">
        <f t="shared" si="28"/>
        <v>0</v>
      </c>
      <c r="EK752" s="1397"/>
      <c r="EL752" s="1397"/>
      <c r="EM752" s="1397"/>
      <c r="EN752" s="1397"/>
      <c r="EO752" s="1397">
        <f t="shared" si="29"/>
        <v>0</v>
      </c>
      <c r="EP752" s="1397"/>
      <c r="EQ752" s="1397"/>
      <c r="ER752" s="1397"/>
      <c r="ES752" s="1397"/>
      <c r="ET752" s="1397">
        <f t="shared" si="30"/>
        <v>0</v>
      </c>
      <c r="EU752" s="1397"/>
      <c r="EV752" s="1397"/>
      <c r="EW752" s="1397"/>
      <c r="EX752" s="1397"/>
      <c r="EY752"/>
      <c r="EZ752" s="1347" t="str">
        <f t="shared" si="31"/>
        <v/>
      </c>
      <c r="FA752" s="1348"/>
      <c r="FB752" s="1348"/>
      <c r="FC752" s="1348"/>
      <c r="FD752" s="1349"/>
      <c r="FE752" s="1347" t="str">
        <f t="shared" si="32"/>
        <v/>
      </c>
      <c r="FF752" s="1348"/>
      <c r="FG752" s="1348"/>
      <c r="FH752" s="1348"/>
      <c r="FI752" s="1349"/>
      <c r="FJ752" s="1347" t="str">
        <f t="shared" si="33"/>
        <v/>
      </c>
      <c r="FK752" s="1348"/>
      <c r="FL752" s="1348"/>
      <c r="FM752" s="1348"/>
      <c r="FN752" s="1349"/>
      <c r="FO752" s="1347" t="str">
        <f t="shared" si="34"/>
        <v/>
      </c>
      <c r="FP752" s="1348"/>
      <c r="FQ752" s="1348"/>
      <c r="FR752" s="1348"/>
      <c r="FS752" s="1349"/>
      <c r="FT752" s="1347" t="str">
        <f t="shared" si="35"/>
        <v/>
      </c>
      <c r="FU752" s="1348"/>
      <c r="FV752" s="1348"/>
      <c r="FW752" s="1348"/>
      <c r="FX752" s="1349"/>
      <c r="FY752" s="1347" t="str">
        <f t="shared" si="36"/>
        <v/>
      </c>
      <c r="FZ752" s="1348"/>
      <c r="GA752" s="1348"/>
      <c r="GB752" s="1348"/>
      <c r="GC752" s="1349"/>
    </row>
    <row r="753" spans="1:185" s="3" customFormat="1" ht="12.95" customHeight="1">
      <c r="A753"/>
      <c r="B753" s="1357" t="s">
        <v>125</v>
      </c>
      <c r="C753" s="1358"/>
      <c r="D753" s="1358"/>
      <c r="E753" s="1358"/>
      <c r="F753" s="1359"/>
      <c r="G753" s="1728">
        <f>SUM(G718:G752)</f>
        <v>113</v>
      </c>
      <c r="H753" s="1729"/>
      <c r="I753" s="1729"/>
      <c r="J753" s="1730"/>
      <c r="K753" s="902" t="s">
        <v>124</v>
      </c>
      <c r="L753" s="5"/>
      <c r="M753" s="5"/>
      <c r="N753" s="46"/>
      <c r="O753" s="1371">
        <f>SUMPRODUCT(G718:G752,O718:O752)</f>
        <v>197337</v>
      </c>
      <c r="P753" s="1372"/>
      <c r="Q753" s="1372"/>
      <c r="R753" s="1372"/>
      <c r="S753" s="1373"/>
      <c r="T753"/>
      <c r="U753"/>
      <c r="V753"/>
      <c r="W753"/>
      <c r="X753" s="904" t="s">
        <v>901</v>
      </c>
      <c r="Y753" s="903"/>
      <c r="Z753" s="903"/>
      <c r="AA753" s="903"/>
      <c r="AB753" s="905"/>
      <c r="AC753" s="1629">
        <f>BH753</f>
        <v>0.44159292035398229</v>
      </c>
      <c r="AD753" s="1630"/>
      <c r="AE753" s="1630"/>
      <c r="AF753" s="1630"/>
      <c r="AG753" s="1631"/>
      <c r="AH753" s="1629">
        <f>IFERROR(BU753,"")</f>
        <v>0.4416051233037927</v>
      </c>
      <c r="AI753" s="1630"/>
      <c r="AJ753" s="1631"/>
      <c r="AK753"/>
      <c r="AL753"/>
      <c r="AM753"/>
      <c r="AN753"/>
      <c r="AO753"/>
      <c r="AP753" s="205"/>
      <c r="AQ753" s="205"/>
      <c r="AR753" s="205"/>
      <c r="AS753" s="205"/>
      <c r="AT753"/>
      <c r="AU753"/>
      <c r="AV753"/>
      <c r="AW753"/>
      <c r="AX753"/>
      <c r="AY753"/>
      <c r="AZ753" s="34"/>
      <c r="BA753" s="34"/>
      <c r="BB753" s="34"/>
      <c r="BC753" s="34"/>
      <c r="BE753" s="290" t="s">
        <v>900</v>
      </c>
      <c r="BF753" s="299">
        <f>SUM(BF718:BF752)</f>
        <v>113</v>
      </c>
      <c r="BG753" s="300">
        <f>SUM(BG718:BG752)</f>
        <v>1</v>
      </c>
      <c r="BH753" s="300">
        <f>SUM(BH718:BH752)</f>
        <v>0.44159292035398229</v>
      </c>
      <c r="BI753"/>
      <c r="BJ753"/>
      <c r="BK753"/>
      <c r="BL753"/>
      <c r="BO753"/>
      <c r="BP753"/>
      <c r="BQ753"/>
      <c r="BR753"/>
      <c r="BS753" s="859">
        <f>SUM(BS718:BS752)</f>
        <v>113</v>
      </c>
      <c r="BT753" s="300">
        <f>SUM(BT718:BT752)</f>
        <v>1</v>
      </c>
      <c r="BU753" s="300">
        <f>SUM(BU718:BU752)</f>
        <v>0.4416051233037927</v>
      </c>
      <c r="CI753" s="1347">
        <f>SUM(CI718:CJ752)</f>
        <v>65</v>
      </c>
      <c r="CJ753" s="1349"/>
      <c r="CM753" s="1347">
        <f>SUM(CM718:CN752)</f>
        <v>29</v>
      </c>
      <c r="CN753" s="1349"/>
      <c r="CP753" s="1347">
        <f>SUM(CP718:CT752)</f>
        <v>30</v>
      </c>
      <c r="CQ753" s="1348"/>
      <c r="CR753" s="1348"/>
      <c r="CS753" s="1348"/>
      <c r="CT753" s="1349"/>
      <c r="CU753" s="1343">
        <f>SUM(CU718:CY752)</f>
        <v>24</v>
      </c>
      <c r="CV753" s="1343"/>
      <c r="CW753" s="1343"/>
      <c r="CX753" s="1343"/>
      <c r="CY753" s="1343"/>
      <c r="CZ753" s="1343">
        <f>SUM(CZ718:DD752)</f>
        <v>29</v>
      </c>
      <c r="DA753" s="1343"/>
      <c r="DB753" s="1343"/>
      <c r="DC753" s="1343"/>
      <c r="DD753" s="1343"/>
      <c r="DE753" s="1343">
        <f>SUM(DE718:DI752)</f>
        <v>30</v>
      </c>
      <c r="DF753" s="1343"/>
      <c r="DG753" s="1343"/>
      <c r="DH753" s="1343"/>
      <c r="DI753" s="1343"/>
      <c r="DJ753" s="1343">
        <f>SUM(DJ718:DN752)</f>
        <v>0</v>
      </c>
      <c r="DK753" s="1343"/>
      <c r="DL753" s="1343"/>
      <c r="DM753" s="1343"/>
      <c r="DN753" s="1343"/>
      <c r="DO753" s="1343">
        <f>SUM(DO718:DS752)</f>
        <v>0</v>
      </c>
      <c r="DP753" s="1343"/>
      <c r="DQ753" s="1343"/>
      <c r="DR753" s="1343"/>
      <c r="DS753" s="1343"/>
      <c r="DT753" s="354"/>
      <c r="DU753" s="1343">
        <f>SUM(DU718:DY752)</f>
        <v>10</v>
      </c>
      <c r="DV753" s="1343"/>
      <c r="DW753" s="1343"/>
      <c r="DX753" s="1343"/>
      <c r="DY753" s="1343"/>
      <c r="DZ753" s="1343">
        <f>SUM(DZ718:ED752)</f>
        <v>10</v>
      </c>
      <c r="EA753" s="1343"/>
      <c r="EB753" s="1343"/>
      <c r="EC753" s="1343"/>
      <c r="ED753" s="1343"/>
      <c r="EE753" s="1343">
        <f>SUM(EE718:EI752)</f>
        <v>6</v>
      </c>
      <c r="EF753" s="1343"/>
      <c r="EG753" s="1343"/>
      <c r="EH753" s="1343"/>
      <c r="EI753" s="1343"/>
      <c r="EJ753" s="1343">
        <f>SUM(EJ718:EN752)</f>
        <v>3</v>
      </c>
      <c r="EK753" s="1343"/>
      <c r="EL753" s="1343"/>
      <c r="EM753" s="1343"/>
      <c r="EN753" s="1343"/>
      <c r="EO753" s="1343">
        <f>SUM(EO718:ES752)</f>
        <v>0</v>
      </c>
      <c r="EP753" s="1343"/>
      <c r="EQ753" s="1343"/>
      <c r="ER753" s="1343"/>
      <c r="ES753" s="1343"/>
      <c r="ET753" s="1343">
        <f>SUM(ET718:EX752)</f>
        <v>0</v>
      </c>
      <c r="EU753" s="1343"/>
      <c r="EV753" s="1343"/>
      <c r="EW753" s="1343"/>
      <c r="EX753" s="1343"/>
      <c r="EY753"/>
      <c r="EZ753" s="1343">
        <f>SUM(EZ718:FD752)</f>
        <v>3872</v>
      </c>
      <c r="FA753" s="1343"/>
      <c r="FB753" s="1343"/>
      <c r="FC753" s="1343"/>
      <c r="FD753" s="1343"/>
      <c r="FE753" s="1343">
        <f>SUM(FE718:FI752)</f>
        <v>6224</v>
      </c>
      <c r="FF753" s="1343"/>
      <c r="FG753" s="1343"/>
      <c r="FH753" s="1343"/>
      <c r="FI753" s="1343"/>
      <c r="FJ753" s="1343">
        <f>SUM(FJ718:FN752)</f>
        <v>7409</v>
      </c>
      <c r="FK753" s="1343"/>
      <c r="FL753" s="1343"/>
      <c r="FM753" s="1343"/>
      <c r="FN753" s="1343"/>
      <c r="FO753" s="1343">
        <f>SUM(FO718:FS752)</f>
        <v>8502</v>
      </c>
      <c r="FP753" s="1343"/>
      <c r="FQ753" s="1343"/>
      <c r="FR753" s="1343"/>
      <c r="FS753" s="1343"/>
      <c r="FT753" s="1343">
        <f>SUM(FT718:FX752)</f>
        <v>0</v>
      </c>
      <c r="FU753" s="1343"/>
      <c r="FV753" s="1343"/>
      <c r="FW753" s="1343"/>
      <c r="FX753" s="1343"/>
      <c r="FY753" s="1343">
        <f>SUM(FY718:GC752)</f>
        <v>0</v>
      </c>
      <c r="FZ753" s="1343"/>
      <c r="GA753" s="1343"/>
      <c r="GB753" s="1343"/>
      <c r="GC753" s="1343"/>
    </row>
    <row r="754" spans="1:185" s="3" customFormat="1" ht="12.95" customHeight="1">
      <c r="A754"/>
      <c r="B754" s="1727" t="s">
        <v>1894</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1861</v>
      </c>
      <c r="DO754" s="1347">
        <f>CP753+CU753+CZ753+DE753+DJ753+DO753</f>
        <v>113</v>
      </c>
      <c r="DP754" s="1348"/>
      <c r="DQ754" s="1348"/>
      <c r="DR754" s="1348"/>
      <c r="DS754" s="1349"/>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30</v>
      </c>
      <c r="CU755" s="3"/>
      <c r="CV755" s="3"/>
      <c r="CW755" s="3"/>
      <c r="CX755" s="3"/>
      <c r="CY755" s="861">
        <f>CU753*1</f>
        <v>24</v>
      </c>
      <c r="CZ755" s="3"/>
      <c r="DA755" s="3"/>
      <c r="DB755" s="3"/>
      <c r="DC755" s="3"/>
      <c r="DD755" s="861">
        <f>CZ753*2</f>
        <v>58</v>
      </c>
      <c r="DE755" s="3"/>
      <c r="DF755" s="3"/>
      <c r="DG755" s="3"/>
      <c r="DH755" s="3"/>
      <c r="DI755" s="861">
        <f>DE753*3</f>
        <v>90</v>
      </c>
      <c r="DJ755" s="3"/>
      <c r="DK755" s="3"/>
      <c r="DL755" s="3"/>
      <c r="DM755" s="3"/>
      <c r="DN755" s="861">
        <f>DJ753*4</f>
        <v>0</v>
      </c>
      <c r="DO755" s="3"/>
      <c r="DP755" s="3"/>
      <c r="DQ755" s="3"/>
      <c r="DR755" s="3"/>
      <c r="DS755" s="861">
        <f>DO753*5</f>
        <v>0</v>
      </c>
      <c r="DU755" s="861">
        <f>CT755+CY755+DD755+DI755+DN755+DS755</f>
        <v>202</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43">
        <f>DU755</f>
        <v>202</v>
      </c>
      <c r="P756" s="1343"/>
      <c r="Q756" s="1343"/>
      <c r="R756" s="1343"/>
      <c r="S756" s="969"/>
      <c r="T756" s="969"/>
      <c r="U756" s="118" t="s">
        <v>1893</v>
      </c>
      <c r="V756" s="1032"/>
      <c r="W756" s="1032"/>
      <c r="X756" s="1032"/>
      <c r="Y756" s="1033"/>
      <c r="Z756" s="1033"/>
      <c r="AA756" s="1033"/>
      <c r="AB756" s="1033"/>
      <c r="AC756" s="1032"/>
      <c r="AD756" s="1032"/>
      <c r="AE756" s="1032"/>
      <c r="AF756" s="1032"/>
      <c r="AG756" s="1706">
        <v>41</v>
      </c>
      <c r="AH756" s="1706"/>
      <c r="AI756" s="1706"/>
      <c r="AJ756" s="170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77" t="s">
        <v>389</v>
      </c>
      <c r="K769" s="1378"/>
      <c r="L769" s="1378"/>
      <c r="M769" s="1378"/>
      <c r="N769" s="1379"/>
      <c r="O769" s="1617" t="s">
        <v>285</v>
      </c>
      <c r="P769" s="1617"/>
      <c r="Q769" s="1617"/>
      <c r="R769" s="1617"/>
      <c r="S769" s="1617"/>
      <c r="T769" s="1526" t="s">
        <v>1680</v>
      </c>
      <c r="U769" s="1527"/>
      <c r="V769" s="1527"/>
      <c r="W769" s="1528"/>
      <c r="X769" s="1377" t="s">
        <v>448</v>
      </c>
      <c r="Y769" s="1378"/>
      <c r="Z769" s="1378"/>
      <c r="AA769" s="1378"/>
      <c r="AB769" s="1379"/>
      <c r="AC769" s="1377" t="s">
        <v>286</v>
      </c>
      <c r="AD769" s="1378"/>
      <c r="AE769" s="1378"/>
      <c r="AF769" s="1378"/>
      <c r="AG769" s="13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80"/>
      <c r="K770" s="1381"/>
      <c r="L770" s="1381"/>
      <c r="M770" s="1381"/>
      <c r="N770" s="1382"/>
      <c r="O770" s="1617"/>
      <c r="P770" s="1617"/>
      <c r="Q770" s="1617"/>
      <c r="R770" s="1617"/>
      <c r="S770" s="1617"/>
      <c r="T770" s="1529"/>
      <c r="U770" s="1530"/>
      <c r="V770" s="1530"/>
      <c r="W770" s="1531"/>
      <c r="X770" s="1380"/>
      <c r="Y770" s="1381"/>
      <c r="Z770" s="1381"/>
      <c r="AA770" s="1381"/>
      <c r="AB770" s="1382"/>
      <c r="AC770" s="1380"/>
      <c r="AD770" s="1381"/>
      <c r="AE770" s="1381"/>
      <c r="AF770" s="1381"/>
      <c r="AG770" s="13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80"/>
      <c r="K771" s="1381"/>
      <c r="L771" s="1381"/>
      <c r="M771" s="1381"/>
      <c r="N771" s="1382"/>
      <c r="O771" s="1617"/>
      <c r="P771" s="1617"/>
      <c r="Q771" s="1617"/>
      <c r="R771" s="1617"/>
      <c r="S771" s="1617"/>
      <c r="T771" s="1529"/>
      <c r="U771" s="1530"/>
      <c r="V771" s="1530"/>
      <c r="W771" s="1531"/>
      <c r="X771" s="1380"/>
      <c r="Y771" s="1381"/>
      <c r="Z771" s="1381"/>
      <c r="AA771" s="1381"/>
      <c r="AB771" s="1382"/>
      <c r="AC771" s="1380"/>
      <c r="AD771" s="1381"/>
      <c r="AE771" s="1381"/>
      <c r="AF771" s="1381"/>
      <c r="AG771" s="13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83"/>
      <c r="K772" s="1384"/>
      <c r="L772" s="1384"/>
      <c r="M772" s="1384"/>
      <c r="N772" s="1385"/>
      <c r="O772" s="1617"/>
      <c r="P772" s="1617"/>
      <c r="Q772" s="1617"/>
      <c r="R772" s="1617"/>
      <c r="S772" s="1617"/>
      <c r="T772" s="1622"/>
      <c r="U772" s="1623"/>
      <c r="V772" s="1623"/>
      <c r="W772" s="1624"/>
      <c r="X772" s="1383"/>
      <c r="Y772" s="1384"/>
      <c r="Z772" s="1384"/>
      <c r="AA772" s="1384"/>
      <c r="AB772" s="1385"/>
      <c r="AC772" s="1383"/>
      <c r="AD772" s="1384"/>
      <c r="AE772" s="1384"/>
      <c r="AF772" s="1384"/>
      <c r="AG772" s="13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0" t="s">
        <v>163</v>
      </c>
      <c r="K773" s="1361"/>
      <c r="L773" s="1361"/>
      <c r="M773" s="1361"/>
      <c r="N773" s="1362"/>
      <c r="O773" s="1367">
        <v>2</v>
      </c>
      <c r="P773" s="1367"/>
      <c r="Q773" s="1367"/>
      <c r="R773" s="1367"/>
      <c r="S773" s="1367"/>
      <c r="T773" s="1393">
        <v>930</v>
      </c>
      <c r="U773" s="1394"/>
      <c r="V773" s="1394"/>
      <c r="W773" s="1395"/>
      <c r="X773" s="1389">
        <v>0</v>
      </c>
      <c r="Y773" s="1390"/>
      <c r="Z773" s="1390"/>
      <c r="AA773" s="1390"/>
      <c r="AB773" s="1391"/>
      <c r="AC773" s="1371">
        <f>X773*O773</f>
        <v>0</v>
      </c>
      <c r="AD773" s="1372"/>
      <c r="AE773" s="1372"/>
      <c r="AF773" s="1372"/>
      <c r="AG773" s="137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32">
        <f>IF(J773="1 Bedroom",O773,0)</f>
        <v>0</v>
      </c>
      <c r="CV773" s="1332"/>
      <c r="CW773" s="1332"/>
      <c r="CX773" s="1332"/>
      <c r="CY773" s="1332"/>
      <c r="CZ773" s="1332">
        <f>IF(J773="2 Bedrooms",O773,0)</f>
        <v>2</v>
      </c>
      <c r="DA773" s="1332"/>
      <c r="DB773" s="1332"/>
      <c r="DC773" s="1332"/>
      <c r="DD773" s="1332"/>
      <c r="DE773" s="1332">
        <f>IF(J773="3 Bedrooms",O773,0)</f>
        <v>0</v>
      </c>
      <c r="DF773" s="1332"/>
      <c r="DG773" s="1332"/>
      <c r="DH773" s="1332"/>
      <c r="DI773" s="1332"/>
      <c r="DJ773" s="1332">
        <f>IF(J773="4 Bedrooms",O773,0)</f>
        <v>0</v>
      </c>
      <c r="DK773" s="1332"/>
      <c r="DL773" s="1332"/>
      <c r="DM773" s="1332"/>
      <c r="DN773" s="1332"/>
      <c r="DO773" s="1332">
        <f>IF(J773="5 Bedrooms",O773,0)</f>
        <v>0</v>
      </c>
      <c r="DP773" s="1332"/>
      <c r="DQ773" s="1332"/>
      <c r="DR773" s="1332"/>
      <c r="DS773" s="1332"/>
      <c r="DT773" s="6"/>
      <c r="DU773" s="3"/>
      <c r="DV773" s="3"/>
    </row>
    <row r="774" spans="1:126" ht="12.95" customHeight="1">
      <c r="J774" s="1360"/>
      <c r="K774" s="1361"/>
      <c r="L774" s="1361"/>
      <c r="M774" s="1361"/>
      <c r="N774" s="1362"/>
      <c r="O774" s="1367"/>
      <c r="P774" s="1367"/>
      <c r="Q774" s="1367"/>
      <c r="R774" s="1367"/>
      <c r="S774" s="1367"/>
      <c r="T774" s="1393"/>
      <c r="U774" s="1394"/>
      <c r="V774" s="1394"/>
      <c r="W774" s="1395"/>
      <c r="X774" s="1389"/>
      <c r="Y774" s="1390"/>
      <c r="Z774" s="1390"/>
      <c r="AA774" s="1390"/>
      <c r="AB774" s="1391"/>
      <c r="AC774" s="1371">
        <f>X774*O774</f>
        <v>0</v>
      </c>
      <c r="AD774" s="1372"/>
      <c r="AE774" s="1372"/>
      <c r="AF774" s="1372"/>
      <c r="AG774" s="137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32">
        <f>IF(J774="1 Bedroom",O774,0)</f>
        <v>0</v>
      </c>
      <c r="CV774" s="1332"/>
      <c r="CW774" s="1332"/>
      <c r="CX774" s="1332"/>
      <c r="CY774" s="1332"/>
      <c r="CZ774" s="1332">
        <f>IF(J774="2 Bedrooms",O774,0)</f>
        <v>0</v>
      </c>
      <c r="DA774" s="1332"/>
      <c r="DB774" s="1332"/>
      <c r="DC774" s="1332"/>
      <c r="DD774" s="1332"/>
      <c r="DE774" s="1332">
        <f>IF(J774="3 Bedrooms",O774,0)</f>
        <v>0</v>
      </c>
      <c r="DF774" s="1332"/>
      <c r="DG774" s="1332"/>
      <c r="DH774" s="1332"/>
      <c r="DI774" s="1332"/>
      <c r="DJ774" s="1332">
        <f>IF(J774="4 Bedrooms",O774,0)</f>
        <v>0</v>
      </c>
      <c r="DK774" s="1332"/>
      <c r="DL774" s="1332"/>
      <c r="DM774" s="1332"/>
      <c r="DN774" s="1332"/>
      <c r="DO774" s="1332">
        <f>IF(J774="5 Bedrooms",O774,0)</f>
        <v>0</v>
      </c>
      <c r="DP774" s="1332"/>
      <c r="DQ774" s="1332"/>
      <c r="DR774" s="1332"/>
      <c r="DS774" s="1332"/>
      <c r="DT774" s="6"/>
      <c r="DU774" s="3"/>
      <c r="DV774" s="3"/>
    </row>
    <row r="775" spans="1:126" ht="12.95" customHeight="1">
      <c r="J775" s="1360"/>
      <c r="K775" s="1361"/>
      <c r="L775" s="1361"/>
      <c r="M775" s="1361"/>
      <c r="N775" s="1362"/>
      <c r="O775" s="1367"/>
      <c r="P775" s="1367"/>
      <c r="Q775" s="1367"/>
      <c r="R775" s="1367"/>
      <c r="S775" s="1367"/>
      <c r="T775" s="1393"/>
      <c r="U775" s="1394"/>
      <c r="V775" s="1394"/>
      <c r="W775" s="1395"/>
      <c r="X775" s="1389"/>
      <c r="Y775" s="1390"/>
      <c r="Z775" s="1390"/>
      <c r="AA775" s="1390"/>
      <c r="AB775" s="1391"/>
      <c r="AC775" s="1371">
        <f>X775*O775</f>
        <v>0</v>
      </c>
      <c r="AD775" s="1372"/>
      <c r="AE775" s="1372"/>
      <c r="AF775" s="1372"/>
      <c r="AG775" s="137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32">
        <f>IF(J775="1 Bedroom",O775,0)</f>
        <v>0</v>
      </c>
      <c r="CV775" s="1332"/>
      <c r="CW775" s="1332"/>
      <c r="CX775" s="1332"/>
      <c r="CY775" s="1332"/>
      <c r="CZ775" s="1332">
        <f>IF(J775="2 Bedrooms",O775,0)</f>
        <v>0</v>
      </c>
      <c r="DA775" s="1332"/>
      <c r="DB775" s="1332"/>
      <c r="DC775" s="1332"/>
      <c r="DD775" s="1332"/>
      <c r="DE775" s="1332">
        <f>IF(J775="3 Bedrooms",O775,0)</f>
        <v>0</v>
      </c>
      <c r="DF775" s="1332"/>
      <c r="DG775" s="1332"/>
      <c r="DH775" s="1332"/>
      <c r="DI775" s="1332"/>
      <c r="DJ775" s="1332">
        <f>IF(J775="4 Bedrooms",O775,0)</f>
        <v>0</v>
      </c>
      <c r="DK775" s="1332"/>
      <c r="DL775" s="1332"/>
      <c r="DM775" s="1332"/>
      <c r="DN775" s="1332"/>
      <c r="DO775" s="1332">
        <f>IF(J775="5 Bedrooms",O775,0)</f>
        <v>0</v>
      </c>
      <c r="DP775" s="1332"/>
      <c r="DQ775" s="1332"/>
      <c r="DR775" s="1332"/>
      <c r="DS775" s="1332"/>
      <c r="DT775" s="1012"/>
    </row>
    <row r="776" spans="1:126" ht="12.95" customHeight="1">
      <c r="J776" s="1360"/>
      <c r="K776" s="1361"/>
      <c r="L776" s="1361"/>
      <c r="M776" s="1361"/>
      <c r="N776" s="1362"/>
      <c r="O776" s="1367"/>
      <c r="P776" s="1367"/>
      <c r="Q776" s="1367"/>
      <c r="R776" s="1367"/>
      <c r="S776" s="1367"/>
      <c r="T776" s="1393"/>
      <c r="U776" s="1394"/>
      <c r="V776" s="1394"/>
      <c r="W776" s="1395"/>
      <c r="X776" s="1389"/>
      <c r="Y776" s="1390"/>
      <c r="Z776" s="1390"/>
      <c r="AA776" s="1390"/>
      <c r="AB776" s="1391"/>
      <c r="AC776" s="1371">
        <f>X776*O776</f>
        <v>0</v>
      </c>
      <c r="AD776" s="1372"/>
      <c r="AE776" s="1372"/>
      <c r="AF776" s="1372"/>
      <c r="AG776" s="137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32">
        <f>IF(J776="1 Bedroom",O776,0)</f>
        <v>0</v>
      </c>
      <c r="CV776" s="1332"/>
      <c r="CW776" s="1332"/>
      <c r="CX776" s="1332"/>
      <c r="CY776" s="1332"/>
      <c r="CZ776" s="1332">
        <f>IF(J776="2 Bedrooms",O776,0)</f>
        <v>0</v>
      </c>
      <c r="DA776" s="1332"/>
      <c r="DB776" s="1332"/>
      <c r="DC776" s="1332"/>
      <c r="DD776" s="1332"/>
      <c r="DE776" s="1332">
        <f>IF(J776="3 Bedrooms",O776,0)</f>
        <v>0</v>
      </c>
      <c r="DF776" s="1332"/>
      <c r="DG776" s="1332"/>
      <c r="DH776" s="1332"/>
      <c r="DI776" s="1332"/>
      <c r="DJ776" s="1332">
        <f>IF(J776="4 Bedrooms",O776,0)</f>
        <v>0</v>
      </c>
      <c r="DK776" s="1332"/>
      <c r="DL776" s="1332"/>
      <c r="DM776" s="1332"/>
      <c r="DN776" s="1332"/>
      <c r="DO776" s="1332">
        <f>IF(J776="5 Bedrooms",O776,0)</f>
        <v>0</v>
      </c>
      <c r="DP776" s="1332"/>
      <c r="DQ776" s="1332"/>
      <c r="DR776" s="1332"/>
      <c r="DS776" s="1332"/>
    </row>
    <row r="777" spans="1:126" ht="12.95" customHeight="1">
      <c r="J777" s="1357" t="s">
        <v>125</v>
      </c>
      <c r="K777" s="1358"/>
      <c r="L777" s="1358"/>
      <c r="M777" s="1358"/>
      <c r="N777" s="1359"/>
      <c r="O777" s="1344">
        <f>SUM(O773:S776)</f>
        <v>2</v>
      </c>
      <c r="P777" s="1345"/>
      <c r="Q777" s="1345"/>
      <c r="R777" s="1345"/>
      <c r="S777" s="1346"/>
      <c r="X777" s="1357" t="s">
        <v>124</v>
      </c>
      <c r="Y777" s="1358"/>
      <c r="Z777" s="1358"/>
      <c r="AA777" s="1358"/>
      <c r="AB777" s="1359"/>
      <c r="AC777" s="1371">
        <f>SUM(AC773:AG776)</f>
        <v>0</v>
      </c>
      <c r="AD777" s="1372"/>
      <c r="AE777" s="1372"/>
      <c r="AF777" s="1372"/>
      <c r="AG777" s="137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4">
        <f>SUM(CP773:CT776)</f>
        <v>0</v>
      </c>
      <c r="CQ777" s="1345"/>
      <c r="CR777" s="1345"/>
      <c r="CS777" s="1345"/>
      <c r="CT777" s="1346"/>
      <c r="CU777" s="1333">
        <f>SUM(CU773:CY776)</f>
        <v>0</v>
      </c>
      <c r="CV777" s="1334"/>
      <c r="CW777" s="1334"/>
      <c r="CX777" s="1334"/>
      <c r="CY777" s="1335"/>
      <c r="CZ777" s="1333">
        <f>SUM(CZ773:DD776)</f>
        <v>2</v>
      </c>
      <c r="DA777" s="1334"/>
      <c r="DB777" s="1334"/>
      <c r="DC777" s="1334"/>
      <c r="DD777" s="1335"/>
      <c r="DE777" s="1333">
        <f>SUM(DE773:DI776)</f>
        <v>0</v>
      </c>
      <c r="DF777" s="1334"/>
      <c r="DG777" s="1334"/>
      <c r="DH777" s="1334"/>
      <c r="DI777" s="1335"/>
      <c r="DJ777" s="1333">
        <f>SUM(DJ773:DN776)</f>
        <v>0</v>
      </c>
      <c r="DK777" s="1334"/>
      <c r="DL777" s="1334"/>
      <c r="DM777" s="1334"/>
      <c r="DN777" s="1335"/>
      <c r="DO777" s="1333">
        <f>SUM(DO773:DS776)</f>
        <v>0</v>
      </c>
      <c r="DP777" s="1334"/>
      <c r="DQ777" s="1334"/>
      <c r="DR777" s="1334"/>
      <c r="DS777" s="1335"/>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396" t="s">
        <v>670</v>
      </c>
      <c r="K779" s="1396"/>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77" t="s">
        <v>389</v>
      </c>
      <c r="K783" s="1378"/>
      <c r="L783" s="1378"/>
      <c r="M783" s="1378"/>
      <c r="N783" s="1379"/>
      <c r="O783" s="1617" t="s">
        <v>285</v>
      </c>
      <c r="P783" s="1617"/>
      <c r="Q783" s="1617"/>
      <c r="R783" s="1617"/>
      <c r="S783" s="1617"/>
      <c r="T783" s="1526" t="s">
        <v>1680</v>
      </c>
      <c r="U783" s="1527"/>
      <c r="V783" s="1527"/>
      <c r="W783" s="1528"/>
      <c r="X783" s="1377" t="s">
        <v>448</v>
      </c>
      <c r="Y783" s="1378"/>
      <c r="Z783" s="1378"/>
      <c r="AA783" s="1378"/>
      <c r="AB783" s="1379"/>
      <c r="AC783" s="1377" t="s">
        <v>286</v>
      </c>
      <c r="AD783" s="1378"/>
      <c r="AE783" s="1378"/>
      <c r="AF783" s="1378"/>
      <c r="AG783" s="13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80"/>
      <c r="K784" s="1381"/>
      <c r="L784" s="1381"/>
      <c r="M784" s="1381"/>
      <c r="N784" s="1382"/>
      <c r="O784" s="1617"/>
      <c r="P784" s="1617"/>
      <c r="Q784" s="1617"/>
      <c r="R784" s="1617"/>
      <c r="S784" s="1617"/>
      <c r="T784" s="1529"/>
      <c r="U784" s="1530"/>
      <c r="V784" s="1530"/>
      <c r="W784" s="1531"/>
      <c r="X784" s="1380"/>
      <c r="Y784" s="1381"/>
      <c r="Z784" s="1381"/>
      <c r="AA784" s="1381"/>
      <c r="AB784" s="1382"/>
      <c r="AC784" s="1380"/>
      <c r="AD784" s="1381"/>
      <c r="AE784" s="1381"/>
      <c r="AF784" s="1381"/>
      <c r="AG784" s="13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80"/>
      <c r="K785" s="1381"/>
      <c r="L785" s="1381"/>
      <c r="M785" s="1381"/>
      <c r="N785" s="1382"/>
      <c r="O785" s="1617"/>
      <c r="P785" s="1617"/>
      <c r="Q785" s="1617"/>
      <c r="R785" s="1617"/>
      <c r="S785" s="1617"/>
      <c r="T785" s="1529"/>
      <c r="U785" s="1530"/>
      <c r="V785" s="1530"/>
      <c r="W785" s="1531"/>
      <c r="X785" s="1380"/>
      <c r="Y785" s="1381"/>
      <c r="Z785" s="1381"/>
      <c r="AA785" s="1381"/>
      <c r="AB785" s="1382"/>
      <c r="AC785" s="1380"/>
      <c r="AD785" s="1381"/>
      <c r="AE785" s="1381"/>
      <c r="AF785" s="1381"/>
      <c r="AG785" s="13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83"/>
      <c r="K786" s="1384"/>
      <c r="L786" s="1384"/>
      <c r="M786" s="1384"/>
      <c r="N786" s="1385"/>
      <c r="O786" s="1617"/>
      <c r="P786" s="1617"/>
      <c r="Q786" s="1617"/>
      <c r="R786" s="1617"/>
      <c r="S786" s="1617"/>
      <c r="T786" s="1622"/>
      <c r="U786" s="1623"/>
      <c r="V786" s="1623"/>
      <c r="W786" s="1624"/>
      <c r="X786" s="1383"/>
      <c r="Y786" s="1384"/>
      <c r="Z786" s="1384"/>
      <c r="AA786" s="1384"/>
      <c r="AB786" s="1385"/>
      <c r="AC786" s="1383"/>
      <c r="AD786" s="1384"/>
      <c r="AE786" s="1384"/>
      <c r="AF786" s="1384"/>
      <c r="AG786" s="13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60"/>
      <c r="K787" s="1361"/>
      <c r="L787" s="1361"/>
      <c r="M787" s="1361"/>
      <c r="N787" s="1362"/>
      <c r="O787" s="1367"/>
      <c r="P787" s="1367"/>
      <c r="Q787" s="1367"/>
      <c r="R787" s="1367"/>
      <c r="S787" s="1367"/>
      <c r="T787" s="1393"/>
      <c r="U787" s="1394"/>
      <c r="V787" s="1394"/>
      <c r="W787" s="1395"/>
      <c r="X787" s="1389"/>
      <c r="Y787" s="1390"/>
      <c r="Z787" s="1390"/>
      <c r="AA787" s="1390"/>
      <c r="AB787" s="1391"/>
      <c r="AC787" s="1371">
        <f t="shared" ref="AC787:AC796" si="41">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2">IF(J787="SRO/Studio",O787,0)</f>
        <v>0</v>
      </c>
      <c r="CQ787" s="1337"/>
      <c r="CR787" s="1337"/>
      <c r="CS787" s="1337"/>
      <c r="CT787" s="1338"/>
      <c r="CU787" s="1336">
        <f t="shared" ref="CU787:CU796" si="43">IF(J787="1 Bedroom",O787,0)</f>
        <v>0</v>
      </c>
      <c r="CV787" s="1337"/>
      <c r="CW787" s="1337"/>
      <c r="CX787" s="1337"/>
      <c r="CY787" s="1338"/>
      <c r="CZ787" s="1336">
        <f t="shared" ref="CZ787:CZ796" si="44">IF(J787="2 Bedrooms",O787,0)</f>
        <v>0</v>
      </c>
      <c r="DA787" s="1337"/>
      <c r="DB787" s="1337"/>
      <c r="DC787" s="1337"/>
      <c r="DD787" s="1338"/>
      <c r="DE787" s="1336">
        <f t="shared" ref="DE787:DE796" si="45">IF(J787="3 Bedrooms",O787,0)</f>
        <v>0</v>
      </c>
      <c r="DF787" s="1337"/>
      <c r="DG787" s="1337"/>
      <c r="DH787" s="1337"/>
      <c r="DI787" s="1338"/>
      <c r="DJ787" s="1336">
        <f t="shared" ref="DJ787:DJ796" si="46">IF(J787="4 Bedrooms",O787,0)</f>
        <v>0</v>
      </c>
      <c r="DK787" s="1337"/>
      <c r="DL787" s="1337"/>
      <c r="DM787" s="1337"/>
      <c r="DN787" s="1338"/>
      <c r="DO787" s="1336">
        <f t="shared" ref="DO787:DO796" si="47">IF(J787="5 Bedrooms",O787,0)</f>
        <v>0</v>
      </c>
      <c r="DP787" s="1337"/>
      <c r="DQ787" s="1337"/>
      <c r="DR787" s="1337"/>
      <c r="DS787" s="1338"/>
      <c r="DT787" s="6"/>
      <c r="DU787" s="1336">
        <f t="shared" ref="DU787:DU796" si="48">IF(AND(CP787&gt;=1,AH787&gt;=0.1,AH787&lt;=1),O787,0)</f>
        <v>0</v>
      </c>
      <c r="DV787" s="1337"/>
      <c r="DW787" s="1337"/>
      <c r="DX787" s="1337"/>
      <c r="DY787" s="1338"/>
      <c r="DZ787" s="1336">
        <f t="shared" ref="DZ787:DZ796" si="49">IF(AND(CU787&gt;=1,AH787&gt;=0.1,AH787&lt;=1),O787,0)</f>
        <v>0</v>
      </c>
      <c r="EA787" s="1337"/>
      <c r="EB787" s="1337"/>
      <c r="EC787" s="1337"/>
      <c r="ED787" s="1338"/>
      <c r="EE787" s="1336">
        <f t="shared" ref="EE787:EE796" si="50">IF(AND(CZ787&gt;=1,AH787&gt;=0.1,AH787&lt;=1),O787,0)</f>
        <v>0</v>
      </c>
      <c r="EF787" s="1337"/>
      <c r="EG787" s="1337"/>
      <c r="EH787" s="1337"/>
      <c r="EI787" s="1338"/>
      <c r="EJ787" s="1336">
        <f t="shared" ref="EJ787:EJ796" si="51">IF(AND(DE787&gt;=1,AH787&gt;=0.1,AH787&lt;=1),O787,0)</f>
        <v>0</v>
      </c>
      <c r="EK787" s="1337"/>
      <c r="EL787" s="1337"/>
      <c r="EM787" s="1337"/>
      <c r="EN787" s="1338"/>
      <c r="EO787" s="1336">
        <f t="shared" ref="EO787:EO796" si="52">IF(AND(DJ787&gt;=1,AH787&gt;=0.1,AH787&lt;=1),O787,0)</f>
        <v>0</v>
      </c>
      <c r="EP787" s="1337"/>
      <c r="EQ787" s="1337"/>
      <c r="ER787" s="1337"/>
      <c r="ES787" s="1338"/>
      <c r="ET787" s="1336">
        <f t="shared" ref="ET787:ET796" si="53">IF(AND(DO787&gt;=1,AH787&gt;=0.1,AH787&lt;=1),O787,0)</f>
        <v>0</v>
      </c>
      <c r="EU787" s="1337"/>
      <c r="EV787" s="1337"/>
      <c r="EW787" s="1337"/>
      <c r="EX787" s="1338"/>
    </row>
    <row r="788" spans="1:154" s="14" customFormat="1" ht="12.95" customHeight="1">
      <c r="A788"/>
      <c r="B788"/>
      <c r="C788"/>
      <c r="D788"/>
      <c r="E788"/>
      <c r="F788"/>
      <c r="G788"/>
      <c r="H788"/>
      <c r="I788"/>
      <c r="J788" s="1360"/>
      <c r="K788" s="1361"/>
      <c r="L788" s="1361"/>
      <c r="M788" s="1361"/>
      <c r="N788" s="1362"/>
      <c r="O788" s="1367"/>
      <c r="P788" s="1367"/>
      <c r="Q788" s="1367"/>
      <c r="R788" s="1367"/>
      <c r="S788" s="1367"/>
      <c r="T788" s="1393"/>
      <c r="U788" s="1394"/>
      <c r="V788" s="1394"/>
      <c r="W788" s="1395"/>
      <c r="X788" s="1389"/>
      <c r="Y788" s="1390"/>
      <c r="Z788" s="1390"/>
      <c r="AA788" s="1390"/>
      <c r="AB788" s="1391"/>
      <c r="AC788" s="1371">
        <f t="shared" si="41"/>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2"/>
        <v>0</v>
      </c>
      <c r="CQ788" s="1337"/>
      <c r="CR788" s="1337"/>
      <c r="CS788" s="1337"/>
      <c r="CT788" s="1338"/>
      <c r="CU788" s="1336">
        <f t="shared" si="43"/>
        <v>0</v>
      </c>
      <c r="CV788" s="1337"/>
      <c r="CW788" s="1337"/>
      <c r="CX788" s="1337"/>
      <c r="CY788" s="1338"/>
      <c r="CZ788" s="1336">
        <f t="shared" si="44"/>
        <v>0</v>
      </c>
      <c r="DA788" s="1337"/>
      <c r="DB788" s="1337"/>
      <c r="DC788" s="1337"/>
      <c r="DD788" s="1338"/>
      <c r="DE788" s="1336">
        <f t="shared" si="45"/>
        <v>0</v>
      </c>
      <c r="DF788" s="1337"/>
      <c r="DG788" s="1337"/>
      <c r="DH788" s="1337"/>
      <c r="DI788" s="1338"/>
      <c r="DJ788" s="1336">
        <f t="shared" si="46"/>
        <v>0</v>
      </c>
      <c r="DK788" s="1337"/>
      <c r="DL788" s="1337"/>
      <c r="DM788" s="1337"/>
      <c r="DN788" s="1338"/>
      <c r="DO788" s="1336">
        <f t="shared" si="47"/>
        <v>0</v>
      </c>
      <c r="DP788" s="1337"/>
      <c r="DQ788" s="1337"/>
      <c r="DR788" s="1337"/>
      <c r="DS788" s="1338"/>
      <c r="DT788" s="6"/>
      <c r="DU788" s="1336">
        <f t="shared" si="48"/>
        <v>0</v>
      </c>
      <c r="DV788" s="1337"/>
      <c r="DW788" s="1337"/>
      <c r="DX788" s="1337"/>
      <c r="DY788" s="1338"/>
      <c r="DZ788" s="1336">
        <f t="shared" si="49"/>
        <v>0</v>
      </c>
      <c r="EA788" s="1337"/>
      <c r="EB788" s="1337"/>
      <c r="EC788" s="1337"/>
      <c r="ED788" s="1338"/>
      <c r="EE788" s="1336">
        <f t="shared" si="50"/>
        <v>0</v>
      </c>
      <c r="EF788" s="1337"/>
      <c r="EG788" s="1337"/>
      <c r="EH788" s="1337"/>
      <c r="EI788" s="1338"/>
      <c r="EJ788" s="1336">
        <f t="shared" si="51"/>
        <v>0</v>
      </c>
      <c r="EK788" s="1337"/>
      <c r="EL788" s="1337"/>
      <c r="EM788" s="1337"/>
      <c r="EN788" s="1338"/>
      <c r="EO788" s="1336">
        <f t="shared" si="52"/>
        <v>0</v>
      </c>
      <c r="EP788" s="1337"/>
      <c r="EQ788" s="1337"/>
      <c r="ER788" s="1337"/>
      <c r="ES788" s="1338"/>
      <c r="ET788" s="1336">
        <f t="shared" si="53"/>
        <v>0</v>
      </c>
      <c r="EU788" s="1337"/>
      <c r="EV788" s="1337"/>
      <c r="EW788" s="1337"/>
      <c r="EX788" s="1338"/>
    </row>
    <row r="789" spans="1:154" s="14" customFormat="1" ht="12.95" customHeight="1">
      <c r="A789"/>
      <c r="B789"/>
      <c r="C789"/>
      <c r="D789"/>
      <c r="E789"/>
      <c r="F789"/>
      <c r="G789"/>
      <c r="H789"/>
      <c r="I789"/>
      <c r="J789" s="1360"/>
      <c r="K789" s="1361"/>
      <c r="L789" s="1361"/>
      <c r="M789" s="1361"/>
      <c r="N789" s="1362"/>
      <c r="O789" s="1367"/>
      <c r="P789" s="1367"/>
      <c r="Q789" s="1367"/>
      <c r="R789" s="1367"/>
      <c r="S789" s="1367"/>
      <c r="T789" s="1393"/>
      <c r="U789" s="1394"/>
      <c r="V789" s="1394"/>
      <c r="W789" s="1395"/>
      <c r="X789" s="1389"/>
      <c r="Y789" s="1390"/>
      <c r="Z789" s="1390"/>
      <c r="AA789" s="1390"/>
      <c r="AB789" s="1391"/>
      <c r="AC789" s="1371">
        <f t="shared" si="41"/>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2"/>
        <v>0</v>
      </c>
      <c r="CQ789" s="1337"/>
      <c r="CR789" s="1337"/>
      <c r="CS789" s="1337"/>
      <c r="CT789" s="1338"/>
      <c r="CU789" s="1336">
        <f t="shared" si="43"/>
        <v>0</v>
      </c>
      <c r="CV789" s="1337"/>
      <c r="CW789" s="1337"/>
      <c r="CX789" s="1337"/>
      <c r="CY789" s="1338"/>
      <c r="CZ789" s="1336">
        <f t="shared" si="44"/>
        <v>0</v>
      </c>
      <c r="DA789" s="1337"/>
      <c r="DB789" s="1337"/>
      <c r="DC789" s="1337"/>
      <c r="DD789" s="1338"/>
      <c r="DE789" s="1336">
        <f t="shared" si="45"/>
        <v>0</v>
      </c>
      <c r="DF789" s="1337"/>
      <c r="DG789" s="1337"/>
      <c r="DH789" s="1337"/>
      <c r="DI789" s="1338"/>
      <c r="DJ789" s="1336">
        <f t="shared" si="46"/>
        <v>0</v>
      </c>
      <c r="DK789" s="1337"/>
      <c r="DL789" s="1337"/>
      <c r="DM789" s="1337"/>
      <c r="DN789" s="1338"/>
      <c r="DO789" s="1336">
        <f t="shared" si="47"/>
        <v>0</v>
      </c>
      <c r="DP789" s="1337"/>
      <c r="DQ789" s="1337"/>
      <c r="DR789" s="1337"/>
      <c r="DS789" s="1338"/>
      <c r="DT789" s="6"/>
      <c r="DU789" s="1336">
        <f t="shared" si="48"/>
        <v>0</v>
      </c>
      <c r="DV789" s="1337"/>
      <c r="DW789" s="1337"/>
      <c r="DX789" s="1337"/>
      <c r="DY789" s="1338"/>
      <c r="DZ789" s="1336">
        <f t="shared" si="49"/>
        <v>0</v>
      </c>
      <c r="EA789" s="1337"/>
      <c r="EB789" s="1337"/>
      <c r="EC789" s="1337"/>
      <c r="ED789" s="1338"/>
      <c r="EE789" s="1336">
        <f t="shared" si="50"/>
        <v>0</v>
      </c>
      <c r="EF789" s="1337"/>
      <c r="EG789" s="1337"/>
      <c r="EH789" s="1337"/>
      <c r="EI789" s="1338"/>
      <c r="EJ789" s="1336">
        <f t="shared" si="51"/>
        <v>0</v>
      </c>
      <c r="EK789" s="1337"/>
      <c r="EL789" s="1337"/>
      <c r="EM789" s="1337"/>
      <c r="EN789" s="1338"/>
      <c r="EO789" s="1336">
        <f t="shared" si="52"/>
        <v>0</v>
      </c>
      <c r="EP789" s="1337"/>
      <c r="EQ789" s="1337"/>
      <c r="ER789" s="1337"/>
      <c r="ES789" s="1338"/>
      <c r="ET789" s="1336">
        <f t="shared" si="53"/>
        <v>0</v>
      </c>
      <c r="EU789" s="1337"/>
      <c r="EV789" s="1337"/>
      <c r="EW789" s="1337"/>
      <c r="EX789" s="1338"/>
    </row>
    <row r="790" spans="1:154" s="14" customFormat="1" ht="12.95" customHeight="1">
      <c r="A790"/>
      <c r="B790"/>
      <c r="C790"/>
      <c r="D790"/>
      <c r="E790"/>
      <c r="F790"/>
      <c r="G790"/>
      <c r="H790"/>
      <c r="I790"/>
      <c r="J790" s="1360"/>
      <c r="K790" s="1361"/>
      <c r="L790" s="1361"/>
      <c r="M790" s="1361"/>
      <c r="N790" s="1362"/>
      <c r="O790" s="1367"/>
      <c r="P790" s="1367"/>
      <c r="Q790" s="1367"/>
      <c r="R790" s="1367"/>
      <c r="S790" s="1367"/>
      <c r="T790" s="1393"/>
      <c r="U790" s="1394"/>
      <c r="V790" s="1394"/>
      <c r="W790" s="1395"/>
      <c r="X790" s="1389"/>
      <c r="Y790" s="1390"/>
      <c r="Z790" s="1390"/>
      <c r="AA790" s="1390"/>
      <c r="AB790" s="1391"/>
      <c r="AC790" s="1371">
        <f t="shared" si="41"/>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2"/>
        <v>0</v>
      </c>
      <c r="CQ790" s="1337"/>
      <c r="CR790" s="1337"/>
      <c r="CS790" s="1337"/>
      <c r="CT790" s="1338"/>
      <c r="CU790" s="1336">
        <f t="shared" si="43"/>
        <v>0</v>
      </c>
      <c r="CV790" s="1337"/>
      <c r="CW790" s="1337"/>
      <c r="CX790" s="1337"/>
      <c r="CY790" s="1338"/>
      <c r="CZ790" s="1336">
        <f t="shared" si="44"/>
        <v>0</v>
      </c>
      <c r="DA790" s="1337"/>
      <c r="DB790" s="1337"/>
      <c r="DC790" s="1337"/>
      <c r="DD790" s="1338"/>
      <c r="DE790" s="1336">
        <f t="shared" si="45"/>
        <v>0</v>
      </c>
      <c r="DF790" s="1337"/>
      <c r="DG790" s="1337"/>
      <c r="DH790" s="1337"/>
      <c r="DI790" s="1338"/>
      <c r="DJ790" s="1336">
        <f t="shared" si="46"/>
        <v>0</v>
      </c>
      <c r="DK790" s="1337"/>
      <c r="DL790" s="1337"/>
      <c r="DM790" s="1337"/>
      <c r="DN790" s="1338"/>
      <c r="DO790" s="1336">
        <f t="shared" si="47"/>
        <v>0</v>
      </c>
      <c r="DP790" s="1337"/>
      <c r="DQ790" s="1337"/>
      <c r="DR790" s="1337"/>
      <c r="DS790" s="1338"/>
      <c r="DT790" s="6"/>
      <c r="DU790" s="1336">
        <f t="shared" si="48"/>
        <v>0</v>
      </c>
      <c r="DV790" s="1337"/>
      <c r="DW790" s="1337"/>
      <c r="DX790" s="1337"/>
      <c r="DY790" s="1338"/>
      <c r="DZ790" s="1336">
        <f t="shared" si="49"/>
        <v>0</v>
      </c>
      <c r="EA790" s="1337"/>
      <c r="EB790" s="1337"/>
      <c r="EC790" s="1337"/>
      <c r="ED790" s="1338"/>
      <c r="EE790" s="1336">
        <f t="shared" si="50"/>
        <v>0</v>
      </c>
      <c r="EF790" s="1337"/>
      <c r="EG790" s="1337"/>
      <c r="EH790" s="1337"/>
      <c r="EI790" s="1338"/>
      <c r="EJ790" s="1336">
        <f t="shared" si="51"/>
        <v>0</v>
      </c>
      <c r="EK790" s="1337"/>
      <c r="EL790" s="1337"/>
      <c r="EM790" s="1337"/>
      <c r="EN790" s="1338"/>
      <c r="EO790" s="1336">
        <f t="shared" si="52"/>
        <v>0</v>
      </c>
      <c r="EP790" s="1337"/>
      <c r="EQ790" s="1337"/>
      <c r="ER790" s="1337"/>
      <c r="ES790" s="1338"/>
      <c r="ET790" s="1336">
        <f t="shared" si="53"/>
        <v>0</v>
      </c>
      <c r="EU790" s="1337"/>
      <c r="EV790" s="1337"/>
      <c r="EW790" s="1337"/>
      <c r="EX790" s="1338"/>
    </row>
    <row r="791" spans="1:154" s="14" customFormat="1" ht="12.95" customHeight="1">
      <c r="A791"/>
      <c r="B791"/>
      <c r="C791"/>
      <c r="D791"/>
      <c r="E791"/>
      <c r="F791"/>
      <c r="G791"/>
      <c r="H791"/>
      <c r="I791"/>
      <c r="J791" s="1360"/>
      <c r="K791" s="1361"/>
      <c r="L791" s="1361"/>
      <c r="M791" s="1361"/>
      <c r="N791" s="1362"/>
      <c r="O791" s="1367"/>
      <c r="P791" s="1367"/>
      <c r="Q791" s="1367"/>
      <c r="R791" s="1367"/>
      <c r="S791" s="1367"/>
      <c r="T791" s="1393"/>
      <c r="U791" s="1394"/>
      <c r="V791" s="1394"/>
      <c r="W791" s="1395"/>
      <c r="X791" s="1389"/>
      <c r="Y791" s="1390"/>
      <c r="Z791" s="1390"/>
      <c r="AA791" s="1390"/>
      <c r="AB791" s="1391"/>
      <c r="AC791" s="1371">
        <f t="shared" si="41"/>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2"/>
        <v>0</v>
      </c>
      <c r="CQ791" s="1337"/>
      <c r="CR791" s="1337"/>
      <c r="CS791" s="1337"/>
      <c r="CT791" s="1338"/>
      <c r="CU791" s="1336">
        <f t="shared" si="43"/>
        <v>0</v>
      </c>
      <c r="CV791" s="1337"/>
      <c r="CW791" s="1337"/>
      <c r="CX791" s="1337"/>
      <c r="CY791" s="1338"/>
      <c r="CZ791" s="1336">
        <f t="shared" si="44"/>
        <v>0</v>
      </c>
      <c r="DA791" s="1337"/>
      <c r="DB791" s="1337"/>
      <c r="DC791" s="1337"/>
      <c r="DD791" s="1338"/>
      <c r="DE791" s="1336">
        <f t="shared" si="45"/>
        <v>0</v>
      </c>
      <c r="DF791" s="1337"/>
      <c r="DG791" s="1337"/>
      <c r="DH791" s="1337"/>
      <c r="DI791" s="1338"/>
      <c r="DJ791" s="1336">
        <f t="shared" si="46"/>
        <v>0</v>
      </c>
      <c r="DK791" s="1337"/>
      <c r="DL791" s="1337"/>
      <c r="DM791" s="1337"/>
      <c r="DN791" s="1338"/>
      <c r="DO791" s="1336">
        <f t="shared" si="47"/>
        <v>0</v>
      </c>
      <c r="DP791" s="1337"/>
      <c r="DQ791" s="1337"/>
      <c r="DR791" s="1337"/>
      <c r="DS791" s="1338"/>
      <c r="DT791" s="6"/>
      <c r="DU791" s="1336">
        <f t="shared" si="48"/>
        <v>0</v>
      </c>
      <c r="DV791" s="1337"/>
      <c r="DW791" s="1337"/>
      <c r="DX791" s="1337"/>
      <c r="DY791" s="1338"/>
      <c r="DZ791" s="1336">
        <f t="shared" si="49"/>
        <v>0</v>
      </c>
      <c r="EA791" s="1337"/>
      <c r="EB791" s="1337"/>
      <c r="EC791" s="1337"/>
      <c r="ED791" s="1338"/>
      <c r="EE791" s="1336">
        <f t="shared" si="50"/>
        <v>0</v>
      </c>
      <c r="EF791" s="1337"/>
      <c r="EG791" s="1337"/>
      <c r="EH791" s="1337"/>
      <c r="EI791" s="1338"/>
      <c r="EJ791" s="1336">
        <f t="shared" si="51"/>
        <v>0</v>
      </c>
      <c r="EK791" s="1337"/>
      <c r="EL791" s="1337"/>
      <c r="EM791" s="1337"/>
      <c r="EN791" s="1338"/>
      <c r="EO791" s="1336">
        <f t="shared" si="52"/>
        <v>0</v>
      </c>
      <c r="EP791" s="1337"/>
      <c r="EQ791" s="1337"/>
      <c r="ER791" s="1337"/>
      <c r="ES791" s="1338"/>
      <c r="ET791" s="1336">
        <f t="shared" si="53"/>
        <v>0</v>
      </c>
      <c r="EU791" s="1337"/>
      <c r="EV791" s="1337"/>
      <c r="EW791" s="1337"/>
      <c r="EX791" s="1338"/>
    </row>
    <row r="792" spans="1:154" s="14" customFormat="1" ht="12.95" customHeight="1">
      <c r="A792"/>
      <c r="B792"/>
      <c r="C792"/>
      <c r="D792"/>
      <c r="E792"/>
      <c r="F792"/>
      <c r="G792"/>
      <c r="H792"/>
      <c r="I792"/>
      <c r="J792" s="1360"/>
      <c r="K792" s="1361"/>
      <c r="L792" s="1361"/>
      <c r="M792" s="1361"/>
      <c r="N792" s="1362"/>
      <c r="O792" s="1367"/>
      <c r="P792" s="1367"/>
      <c r="Q792" s="1367"/>
      <c r="R792" s="1367"/>
      <c r="S792" s="1367"/>
      <c r="T792" s="1393"/>
      <c r="U792" s="1394"/>
      <c r="V792" s="1394"/>
      <c r="W792" s="1395"/>
      <c r="X792" s="1389"/>
      <c r="Y792" s="1390"/>
      <c r="Z792" s="1390"/>
      <c r="AA792" s="1390"/>
      <c r="AB792" s="1391"/>
      <c r="AC792" s="1371">
        <f t="shared" si="41"/>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2"/>
        <v>0</v>
      </c>
      <c r="CQ792" s="1337"/>
      <c r="CR792" s="1337"/>
      <c r="CS792" s="1337"/>
      <c r="CT792" s="1338"/>
      <c r="CU792" s="1336">
        <f t="shared" si="43"/>
        <v>0</v>
      </c>
      <c r="CV792" s="1337"/>
      <c r="CW792" s="1337"/>
      <c r="CX792" s="1337"/>
      <c r="CY792" s="1338"/>
      <c r="CZ792" s="1336">
        <f t="shared" si="44"/>
        <v>0</v>
      </c>
      <c r="DA792" s="1337"/>
      <c r="DB792" s="1337"/>
      <c r="DC792" s="1337"/>
      <c r="DD792" s="1338"/>
      <c r="DE792" s="1336">
        <f t="shared" si="45"/>
        <v>0</v>
      </c>
      <c r="DF792" s="1337"/>
      <c r="DG792" s="1337"/>
      <c r="DH792" s="1337"/>
      <c r="DI792" s="1338"/>
      <c r="DJ792" s="1336">
        <f t="shared" si="46"/>
        <v>0</v>
      </c>
      <c r="DK792" s="1337"/>
      <c r="DL792" s="1337"/>
      <c r="DM792" s="1337"/>
      <c r="DN792" s="1338"/>
      <c r="DO792" s="1336">
        <f t="shared" si="47"/>
        <v>0</v>
      </c>
      <c r="DP792" s="1337"/>
      <c r="DQ792" s="1337"/>
      <c r="DR792" s="1337"/>
      <c r="DS792" s="1338"/>
      <c r="DT792" s="6"/>
      <c r="DU792" s="1336">
        <f t="shared" si="48"/>
        <v>0</v>
      </c>
      <c r="DV792" s="1337"/>
      <c r="DW792" s="1337"/>
      <c r="DX792" s="1337"/>
      <c r="DY792" s="1338"/>
      <c r="DZ792" s="1336">
        <f t="shared" si="49"/>
        <v>0</v>
      </c>
      <c r="EA792" s="1337"/>
      <c r="EB792" s="1337"/>
      <c r="EC792" s="1337"/>
      <c r="ED792" s="1338"/>
      <c r="EE792" s="1336">
        <f t="shared" si="50"/>
        <v>0</v>
      </c>
      <c r="EF792" s="1337"/>
      <c r="EG792" s="1337"/>
      <c r="EH792" s="1337"/>
      <c r="EI792" s="1338"/>
      <c r="EJ792" s="1336">
        <f t="shared" si="51"/>
        <v>0</v>
      </c>
      <c r="EK792" s="1337"/>
      <c r="EL792" s="1337"/>
      <c r="EM792" s="1337"/>
      <c r="EN792" s="1338"/>
      <c r="EO792" s="1336">
        <f t="shared" si="52"/>
        <v>0</v>
      </c>
      <c r="EP792" s="1337"/>
      <c r="EQ792" s="1337"/>
      <c r="ER792" s="1337"/>
      <c r="ES792" s="1338"/>
      <c r="ET792" s="1336">
        <f t="shared" si="53"/>
        <v>0</v>
      </c>
      <c r="EU792" s="1337"/>
      <c r="EV792" s="1337"/>
      <c r="EW792" s="1337"/>
      <c r="EX792" s="1338"/>
    </row>
    <row r="793" spans="1:154" s="14" customFormat="1" ht="12.95" customHeight="1">
      <c r="A793"/>
      <c r="B793"/>
      <c r="C793"/>
      <c r="D793"/>
      <c r="E793"/>
      <c r="F793"/>
      <c r="G793"/>
      <c r="H793"/>
      <c r="I793"/>
      <c r="J793" s="1360"/>
      <c r="K793" s="1361"/>
      <c r="L793" s="1361"/>
      <c r="M793" s="1361"/>
      <c r="N793" s="1362"/>
      <c r="O793" s="1367"/>
      <c r="P793" s="1367"/>
      <c r="Q793" s="1367"/>
      <c r="R793" s="1367"/>
      <c r="S793" s="1367"/>
      <c r="T793" s="1393"/>
      <c r="U793" s="1394"/>
      <c r="V793" s="1394"/>
      <c r="W793" s="1395"/>
      <c r="X793" s="1389"/>
      <c r="Y793" s="1390"/>
      <c r="Z793" s="1390"/>
      <c r="AA793" s="1390"/>
      <c r="AB793" s="1391"/>
      <c r="AC793" s="1371">
        <f t="shared" si="41"/>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2"/>
        <v>0</v>
      </c>
      <c r="CQ793" s="1337"/>
      <c r="CR793" s="1337"/>
      <c r="CS793" s="1337"/>
      <c r="CT793" s="1338"/>
      <c r="CU793" s="1336">
        <f t="shared" si="43"/>
        <v>0</v>
      </c>
      <c r="CV793" s="1337"/>
      <c r="CW793" s="1337"/>
      <c r="CX793" s="1337"/>
      <c r="CY793" s="1338"/>
      <c r="CZ793" s="1336">
        <f t="shared" si="44"/>
        <v>0</v>
      </c>
      <c r="DA793" s="1337"/>
      <c r="DB793" s="1337"/>
      <c r="DC793" s="1337"/>
      <c r="DD793" s="1338"/>
      <c r="DE793" s="1336">
        <f t="shared" si="45"/>
        <v>0</v>
      </c>
      <c r="DF793" s="1337"/>
      <c r="DG793" s="1337"/>
      <c r="DH793" s="1337"/>
      <c r="DI793" s="1338"/>
      <c r="DJ793" s="1336">
        <f t="shared" si="46"/>
        <v>0</v>
      </c>
      <c r="DK793" s="1337"/>
      <c r="DL793" s="1337"/>
      <c r="DM793" s="1337"/>
      <c r="DN793" s="1338"/>
      <c r="DO793" s="1336">
        <f t="shared" si="47"/>
        <v>0</v>
      </c>
      <c r="DP793" s="1337"/>
      <c r="DQ793" s="1337"/>
      <c r="DR793" s="1337"/>
      <c r="DS793" s="1338"/>
      <c r="DT793" s="6"/>
      <c r="DU793" s="1336">
        <f t="shared" si="48"/>
        <v>0</v>
      </c>
      <c r="DV793" s="1337"/>
      <c r="DW793" s="1337"/>
      <c r="DX793" s="1337"/>
      <c r="DY793" s="1338"/>
      <c r="DZ793" s="1336">
        <f t="shared" si="49"/>
        <v>0</v>
      </c>
      <c r="EA793" s="1337"/>
      <c r="EB793" s="1337"/>
      <c r="EC793" s="1337"/>
      <c r="ED793" s="1338"/>
      <c r="EE793" s="1336">
        <f t="shared" si="50"/>
        <v>0</v>
      </c>
      <c r="EF793" s="1337"/>
      <c r="EG793" s="1337"/>
      <c r="EH793" s="1337"/>
      <c r="EI793" s="1338"/>
      <c r="EJ793" s="1336">
        <f t="shared" si="51"/>
        <v>0</v>
      </c>
      <c r="EK793" s="1337"/>
      <c r="EL793" s="1337"/>
      <c r="EM793" s="1337"/>
      <c r="EN793" s="1338"/>
      <c r="EO793" s="1336">
        <f t="shared" si="52"/>
        <v>0</v>
      </c>
      <c r="EP793" s="1337"/>
      <c r="EQ793" s="1337"/>
      <c r="ER793" s="1337"/>
      <c r="ES793" s="1338"/>
      <c r="ET793" s="1336">
        <f t="shared" si="53"/>
        <v>0</v>
      </c>
      <c r="EU793" s="1337"/>
      <c r="EV793" s="1337"/>
      <c r="EW793" s="1337"/>
      <c r="EX793" s="1338"/>
    </row>
    <row r="794" spans="1:154" s="14" customFormat="1" ht="12.95" customHeight="1">
      <c r="A794"/>
      <c r="B794"/>
      <c r="C794"/>
      <c r="D794"/>
      <c r="E794"/>
      <c r="F794"/>
      <c r="G794"/>
      <c r="H794"/>
      <c r="I794"/>
      <c r="J794" s="1360"/>
      <c r="K794" s="1361"/>
      <c r="L794" s="1361"/>
      <c r="M794" s="1361"/>
      <c r="N794" s="1362"/>
      <c r="O794" s="1367"/>
      <c r="P794" s="1367"/>
      <c r="Q794" s="1367"/>
      <c r="R794" s="1367"/>
      <c r="S794" s="1367"/>
      <c r="T794" s="1393"/>
      <c r="U794" s="1394"/>
      <c r="V794" s="1394"/>
      <c r="W794" s="1395"/>
      <c r="X794" s="1389"/>
      <c r="Y794" s="1390"/>
      <c r="Z794" s="1390"/>
      <c r="AA794" s="1390"/>
      <c r="AB794" s="1391"/>
      <c r="AC794" s="1371">
        <f t="shared" si="41"/>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2"/>
        <v>0</v>
      </c>
      <c r="CQ794" s="1337"/>
      <c r="CR794" s="1337"/>
      <c r="CS794" s="1337"/>
      <c r="CT794" s="1338"/>
      <c r="CU794" s="1336">
        <f t="shared" si="43"/>
        <v>0</v>
      </c>
      <c r="CV794" s="1337"/>
      <c r="CW794" s="1337"/>
      <c r="CX794" s="1337"/>
      <c r="CY794" s="1338"/>
      <c r="CZ794" s="1336">
        <f t="shared" si="44"/>
        <v>0</v>
      </c>
      <c r="DA794" s="1337"/>
      <c r="DB794" s="1337"/>
      <c r="DC794" s="1337"/>
      <c r="DD794" s="1338"/>
      <c r="DE794" s="1336">
        <f t="shared" si="45"/>
        <v>0</v>
      </c>
      <c r="DF794" s="1337"/>
      <c r="DG794" s="1337"/>
      <c r="DH794" s="1337"/>
      <c r="DI794" s="1338"/>
      <c r="DJ794" s="1336">
        <f t="shared" si="46"/>
        <v>0</v>
      </c>
      <c r="DK794" s="1337"/>
      <c r="DL794" s="1337"/>
      <c r="DM794" s="1337"/>
      <c r="DN794" s="1338"/>
      <c r="DO794" s="1336">
        <f t="shared" si="47"/>
        <v>0</v>
      </c>
      <c r="DP794" s="1337"/>
      <c r="DQ794" s="1337"/>
      <c r="DR794" s="1337"/>
      <c r="DS794" s="1338"/>
      <c r="DT794" s="6"/>
      <c r="DU794" s="1336">
        <f t="shared" si="48"/>
        <v>0</v>
      </c>
      <c r="DV794" s="1337"/>
      <c r="DW794" s="1337"/>
      <c r="DX794" s="1337"/>
      <c r="DY794" s="1338"/>
      <c r="DZ794" s="1336">
        <f t="shared" si="49"/>
        <v>0</v>
      </c>
      <c r="EA794" s="1337"/>
      <c r="EB794" s="1337"/>
      <c r="EC794" s="1337"/>
      <c r="ED794" s="1338"/>
      <c r="EE794" s="1336">
        <f t="shared" si="50"/>
        <v>0</v>
      </c>
      <c r="EF794" s="1337"/>
      <c r="EG794" s="1337"/>
      <c r="EH794" s="1337"/>
      <c r="EI794" s="1338"/>
      <c r="EJ794" s="1336">
        <f t="shared" si="51"/>
        <v>0</v>
      </c>
      <c r="EK794" s="1337"/>
      <c r="EL794" s="1337"/>
      <c r="EM794" s="1337"/>
      <c r="EN794" s="1338"/>
      <c r="EO794" s="1336">
        <f t="shared" si="52"/>
        <v>0</v>
      </c>
      <c r="EP794" s="1337"/>
      <c r="EQ794" s="1337"/>
      <c r="ER794" s="1337"/>
      <c r="ES794" s="1338"/>
      <c r="ET794" s="1336">
        <f t="shared" si="53"/>
        <v>0</v>
      </c>
      <c r="EU794" s="1337"/>
      <c r="EV794" s="1337"/>
      <c r="EW794" s="1337"/>
      <c r="EX794" s="1338"/>
    </row>
    <row r="795" spans="1:154" s="14" customFormat="1" ht="12.95" customHeight="1">
      <c r="A795"/>
      <c r="B795"/>
      <c r="C795"/>
      <c r="D795"/>
      <c r="E795"/>
      <c r="F795"/>
      <c r="G795"/>
      <c r="H795"/>
      <c r="I795"/>
      <c r="J795" s="1360"/>
      <c r="K795" s="1361"/>
      <c r="L795" s="1361"/>
      <c r="M795" s="1361"/>
      <c r="N795" s="1362"/>
      <c r="O795" s="1367"/>
      <c r="P795" s="1367"/>
      <c r="Q795" s="1367"/>
      <c r="R795" s="1367"/>
      <c r="S795" s="1367"/>
      <c r="T795" s="1393"/>
      <c r="U795" s="1394"/>
      <c r="V795" s="1394"/>
      <c r="W795" s="1395"/>
      <c r="X795" s="1389"/>
      <c r="Y795" s="1390"/>
      <c r="Z795" s="1390"/>
      <c r="AA795" s="1390"/>
      <c r="AB795" s="1391"/>
      <c r="AC795" s="1371">
        <f t="shared" si="41"/>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2"/>
        <v>0</v>
      </c>
      <c r="CQ795" s="1337"/>
      <c r="CR795" s="1337"/>
      <c r="CS795" s="1337"/>
      <c r="CT795" s="1338"/>
      <c r="CU795" s="1336">
        <f t="shared" si="43"/>
        <v>0</v>
      </c>
      <c r="CV795" s="1337"/>
      <c r="CW795" s="1337"/>
      <c r="CX795" s="1337"/>
      <c r="CY795" s="1338"/>
      <c r="CZ795" s="1336">
        <f t="shared" si="44"/>
        <v>0</v>
      </c>
      <c r="DA795" s="1337"/>
      <c r="DB795" s="1337"/>
      <c r="DC795" s="1337"/>
      <c r="DD795" s="1338"/>
      <c r="DE795" s="1336">
        <f t="shared" si="45"/>
        <v>0</v>
      </c>
      <c r="DF795" s="1337"/>
      <c r="DG795" s="1337"/>
      <c r="DH795" s="1337"/>
      <c r="DI795" s="1338"/>
      <c r="DJ795" s="1336">
        <f t="shared" si="46"/>
        <v>0</v>
      </c>
      <c r="DK795" s="1337"/>
      <c r="DL795" s="1337"/>
      <c r="DM795" s="1337"/>
      <c r="DN795" s="1338"/>
      <c r="DO795" s="1336">
        <f t="shared" si="47"/>
        <v>0</v>
      </c>
      <c r="DP795" s="1337"/>
      <c r="DQ795" s="1337"/>
      <c r="DR795" s="1337"/>
      <c r="DS795" s="1338"/>
      <c r="DT795" s="6"/>
      <c r="DU795" s="1336">
        <f t="shared" si="48"/>
        <v>0</v>
      </c>
      <c r="DV795" s="1337"/>
      <c r="DW795" s="1337"/>
      <c r="DX795" s="1337"/>
      <c r="DY795" s="1338"/>
      <c r="DZ795" s="1336">
        <f t="shared" si="49"/>
        <v>0</v>
      </c>
      <c r="EA795" s="1337"/>
      <c r="EB795" s="1337"/>
      <c r="EC795" s="1337"/>
      <c r="ED795" s="1338"/>
      <c r="EE795" s="1336">
        <f t="shared" si="50"/>
        <v>0</v>
      </c>
      <c r="EF795" s="1337"/>
      <c r="EG795" s="1337"/>
      <c r="EH795" s="1337"/>
      <c r="EI795" s="1338"/>
      <c r="EJ795" s="1336">
        <f t="shared" si="51"/>
        <v>0</v>
      </c>
      <c r="EK795" s="1337"/>
      <c r="EL795" s="1337"/>
      <c r="EM795" s="1337"/>
      <c r="EN795" s="1338"/>
      <c r="EO795" s="1336">
        <f t="shared" si="52"/>
        <v>0</v>
      </c>
      <c r="EP795" s="1337"/>
      <c r="EQ795" s="1337"/>
      <c r="ER795" s="1337"/>
      <c r="ES795" s="1338"/>
      <c r="ET795" s="1336">
        <f t="shared" si="53"/>
        <v>0</v>
      </c>
      <c r="EU795" s="1337"/>
      <c r="EV795" s="1337"/>
      <c r="EW795" s="1337"/>
      <c r="EX795" s="1338"/>
    </row>
    <row r="796" spans="1:154" s="4" customFormat="1" ht="12.95" customHeight="1">
      <c r="A796"/>
      <c r="B796"/>
      <c r="C796"/>
      <c r="D796"/>
      <c r="E796"/>
      <c r="F796"/>
      <c r="G796"/>
      <c r="H796"/>
      <c r="I796"/>
      <c r="J796" s="1360"/>
      <c r="K796" s="1361"/>
      <c r="L796" s="1361"/>
      <c r="M796" s="1361"/>
      <c r="N796" s="1362"/>
      <c r="O796" s="1367"/>
      <c r="P796" s="1367"/>
      <c r="Q796" s="1367"/>
      <c r="R796" s="1367"/>
      <c r="S796" s="1367"/>
      <c r="T796" s="1393"/>
      <c r="U796" s="1394"/>
      <c r="V796" s="1394"/>
      <c r="W796" s="1395"/>
      <c r="X796" s="1389"/>
      <c r="Y796" s="1390"/>
      <c r="Z796" s="1390"/>
      <c r="AA796" s="1390"/>
      <c r="AB796" s="1391"/>
      <c r="AC796" s="1371">
        <f t="shared" si="41"/>
        <v>0</v>
      </c>
      <c r="AD796" s="1372"/>
      <c r="AE796" s="1372"/>
      <c r="AF796" s="1372"/>
      <c r="AG796" s="1373"/>
      <c r="AH796"/>
      <c r="AI796"/>
      <c r="AJ796"/>
      <c r="AK796"/>
      <c r="AL796"/>
      <c r="AM796"/>
      <c r="AN796"/>
      <c r="AO796"/>
      <c r="AP796"/>
      <c r="AQ796"/>
      <c r="AR796"/>
      <c r="AS796"/>
      <c r="AT796"/>
      <c r="AU796"/>
      <c r="AV796"/>
      <c r="AW796"/>
      <c r="AX796"/>
      <c r="AY796"/>
      <c r="AZ796" s="3"/>
      <c r="CP796" s="1336">
        <f t="shared" si="42"/>
        <v>0</v>
      </c>
      <c r="CQ796" s="1337"/>
      <c r="CR796" s="1337"/>
      <c r="CS796" s="1337"/>
      <c r="CT796" s="1338"/>
      <c r="CU796" s="1336">
        <f t="shared" si="43"/>
        <v>0</v>
      </c>
      <c r="CV796" s="1337"/>
      <c r="CW796" s="1337"/>
      <c r="CX796" s="1337"/>
      <c r="CY796" s="1338"/>
      <c r="CZ796" s="1336">
        <f t="shared" si="44"/>
        <v>0</v>
      </c>
      <c r="DA796" s="1337"/>
      <c r="DB796" s="1337"/>
      <c r="DC796" s="1337"/>
      <c r="DD796" s="1338"/>
      <c r="DE796" s="1336">
        <f t="shared" si="45"/>
        <v>0</v>
      </c>
      <c r="DF796" s="1337"/>
      <c r="DG796" s="1337"/>
      <c r="DH796" s="1337"/>
      <c r="DI796" s="1338"/>
      <c r="DJ796" s="1336">
        <f t="shared" si="46"/>
        <v>0</v>
      </c>
      <c r="DK796" s="1337"/>
      <c r="DL796" s="1337"/>
      <c r="DM796" s="1337"/>
      <c r="DN796" s="1338"/>
      <c r="DO796" s="1336">
        <f t="shared" si="47"/>
        <v>0</v>
      </c>
      <c r="DP796" s="1337"/>
      <c r="DQ796" s="1337"/>
      <c r="DR796" s="1337"/>
      <c r="DS796" s="1338"/>
      <c r="DT796" s="6"/>
      <c r="DU796" s="1336">
        <f t="shared" si="48"/>
        <v>0</v>
      </c>
      <c r="DV796" s="1337"/>
      <c r="DW796" s="1337"/>
      <c r="DX796" s="1337"/>
      <c r="DY796" s="1338"/>
      <c r="DZ796" s="1336">
        <f t="shared" si="49"/>
        <v>0</v>
      </c>
      <c r="EA796" s="1337"/>
      <c r="EB796" s="1337"/>
      <c r="EC796" s="1337"/>
      <c r="ED796" s="1338"/>
      <c r="EE796" s="1336">
        <f t="shared" si="50"/>
        <v>0</v>
      </c>
      <c r="EF796" s="1337"/>
      <c r="EG796" s="1337"/>
      <c r="EH796" s="1337"/>
      <c r="EI796" s="1338"/>
      <c r="EJ796" s="1336">
        <f t="shared" si="51"/>
        <v>0</v>
      </c>
      <c r="EK796" s="1337"/>
      <c r="EL796" s="1337"/>
      <c r="EM796" s="1337"/>
      <c r="EN796" s="1338"/>
      <c r="EO796" s="1336">
        <f t="shared" si="52"/>
        <v>0</v>
      </c>
      <c r="EP796" s="1337"/>
      <c r="EQ796" s="1337"/>
      <c r="ER796" s="1337"/>
      <c r="ES796" s="1338"/>
      <c r="ET796" s="1336">
        <f t="shared" si="53"/>
        <v>0</v>
      </c>
      <c r="EU796" s="1337"/>
      <c r="EV796" s="1337"/>
      <c r="EW796" s="1337"/>
      <c r="EX796" s="1338"/>
    </row>
    <row r="797" spans="1:154" s="4" customFormat="1" ht="12.95" customHeight="1">
      <c r="A797"/>
      <c r="B797"/>
      <c r="C797"/>
      <c r="D797"/>
      <c r="E797"/>
      <c r="F797"/>
      <c r="G797"/>
      <c r="H797"/>
      <c r="I797"/>
      <c r="J797" s="1357" t="s">
        <v>125</v>
      </c>
      <c r="K797" s="1358"/>
      <c r="L797" s="1358"/>
      <c r="M797" s="1358"/>
      <c r="N797" s="1359"/>
      <c r="O797" s="1726">
        <f>SUM(O787:S796)</f>
        <v>0</v>
      </c>
      <c r="P797" s="1726"/>
      <c r="Q797" s="1726"/>
      <c r="R797" s="1726"/>
      <c r="S797" s="1726"/>
      <c r="T797"/>
      <c r="U797"/>
      <c r="V797"/>
      <c r="W797"/>
      <c r="X797" s="902" t="s">
        <v>124</v>
      </c>
      <c r="Y797" s="11"/>
      <c r="Z797" s="11"/>
      <c r="AA797" s="11"/>
      <c r="AB797" s="909"/>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CP797" s="1344">
        <f>SUM(CP787:CT796)</f>
        <v>0</v>
      </c>
      <c r="CQ797" s="1345"/>
      <c r="CR797" s="1345"/>
      <c r="CS797" s="1345"/>
      <c r="CT797" s="1346"/>
      <c r="CU797" s="1333">
        <f>SUM(CU787:CY796)</f>
        <v>0</v>
      </c>
      <c r="CV797" s="1334"/>
      <c r="CW797" s="1334"/>
      <c r="CX797" s="1334"/>
      <c r="CY797" s="1335"/>
      <c r="CZ797" s="1333">
        <f>SUM(CZ787:DD796)</f>
        <v>0</v>
      </c>
      <c r="DA797" s="1334"/>
      <c r="DB797" s="1334"/>
      <c r="DC797" s="1334"/>
      <c r="DD797" s="1335"/>
      <c r="DE797" s="1333">
        <f>SUM(DE787:DI796)</f>
        <v>0</v>
      </c>
      <c r="DF797" s="1334"/>
      <c r="DG797" s="1334"/>
      <c r="DH797" s="1334"/>
      <c r="DI797" s="1335"/>
      <c r="DJ797" s="1333">
        <f>SUM(DJ787:DN796)</f>
        <v>0</v>
      </c>
      <c r="DK797" s="1334"/>
      <c r="DL797" s="1334"/>
      <c r="DM797" s="1334"/>
      <c r="DN797" s="1335"/>
      <c r="DO797" s="1333">
        <f>SUM(DO787:DS796)</f>
        <v>0</v>
      </c>
      <c r="DP797" s="1334"/>
      <c r="DQ797" s="1334"/>
      <c r="DR797" s="1334"/>
      <c r="DS797" s="1335"/>
      <c r="DT797" s="1012"/>
      <c r="DU797" s="1344">
        <f>SUM(DU787:DY796)</f>
        <v>0</v>
      </c>
      <c r="DV797" s="1345"/>
      <c r="DW797" s="1345"/>
      <c r="DX797" s="1345"/>
      <c r="DY797" s="1346"/>
      <c r="DZ797" s="1344">
        <f>SUM(DZ787:ED796)</f>
        <v>0</v>
      </c>
      <c r="EA797" s="1345"/>
      <c r="EB797" s="1345"/>
      <c r="EC797" s="1345"/>
      <c r="ED797" s="1346"/>
      <c r="EE797" s="1344">
        <f>SUM(EE787:EI796)</f>
        <v>0</v>
      </c>
      <c r="EF797" s="1345"/>
      <c r="EG797" s="1345"/>
      <c r="EH797" s="1345"/>
      <c r="EI797" s="1346"/>
      <c r="EJ797" s="1344">
        <f>SUM(EJ787:EN796)</f>
        <v>0</v>
      </c>
      <c r="EK797" s="1345"/>
      <c r="EL797" s="1345"/>
      <c r="EM797" s="1345"/>
      <c r="EN797" s="1346"/>
      <c r="EO797" s="1344">
        <f>SUM(EO787:ES796)</f>
        <v>0</v>
      </c>
      <c r="EP797" s="1345"/>
      <c r="EQ797" s="1345"/>
      <c r="ER797" s="1345"/>
      <c r="ES797" s="1346"/>
      <c r="ET797" s="1344">
        <f>SUM(ET787:EX796)</f>
        <v>0</v>
      </c>
      <c r="EU797" s="1345"/>
      <c r="EV797" s="1345"/>
      <c r="EW797" s="1345"/>
      <c r="EX797" s="1346"/>
    </row>
    <row r="798" spans="1:154" s="4" customFormat="1" ht="12.95" customHeight="1">
      <c r="A798"/>
      <c r="B798"/>
      <c r="C798" s="1392" t="str">
        <f>IF(O797&lt;&gt;AG438,"! Total market rate units in the Unit Mix Table above does not match the number of  market rate units on row #"&amp;TEXT(ROW(D438),"#"),"")</f>
        <v/>
      </c>
      <c r="D798" s="1392"/>
      <c r="E798" s="1392"/>
      <c r="F798" s="1392"/>
      <c r="G798" s="1392"/>
      <c r="H798" s="1392"/>
      <c r="I798" s="1392"/>
      <c r="J798" s="1392"/>
      <c r="K798" s="1392"/>
      <c r="L798" s="1392"/>
      <c r="M798" s="1392"/>
      <c r="N798" s="1392"/>
      <c r="O798" s="1392"/>
      <c r="P798" s="1392"/>
      <c r="Q798" s="1392"/>
      <c r="R798" s="1392"/>
      <c r="S798" s="1392"/>
      <c r="T798" s="1392"/>
      <c r="U798" s="1392"/>
      <c r="V798" s="1392"/>
      <c r="W798" s="1392"/>
      <c r="X798" s="1392"/>
      <c r="Y798" s="1392"/>
      <c r="Z798" s="1392"/>
      <c r="AA798" s="1392"/>
      <c r="AB798" s="1392"/>
      <c r="AC798" s="1392"/>
      <c r="AD798" s="1392"/>
      <c r="AE798" s="1392"/>
      <c r="AF798" s="1392"/>
      <c r="AG798" s="1392"/>
      <c r="AH798" s="1392"/>
      <c r="AI798" s="1392"/>
      <c r="AJ798" s="1392"/>
      <c r="AK798" s="1392"/>
      <c r="AL798" s="1392"/>
      <c r="AM798" s="1392"/>
      <c r="AN798" s="139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92"/>
      <c r="D799" s="1392"/>
      <c r="E799" s="1392"/>
      <c r="F799" s="1392"/>
      <c r="G799" s="1392"/>
      <c r="H799" s="1392"/>
      <c r="I799" s="1392"/>
      <c r="J799" s="1392"/>
      <c r="K799" s="1392"/>
      <c r="L799" s="1392"/>
      <c r="M799" s="1392"/>
      <c r="N799" s="1392"/>
      <c r="O799" s="1392"/>
      <c r="P799" s="1392"/>
      <c r="Q799" s="1392"/>
      <c r="R799" s="1392"/>
      <c r="S799" s="1392"/>
      <c r="T799" s="1392"/>
      <c r="U799" s="1392"/>
      <c r="V799" s="1392"/>
      <c r="W799" s="1392"/>
      <c r="X799" s="1392"/>
      <c r="Y799" s="1392"/>
      <c r="Z799" s="1392"/>
      <c r="AA799" s="1392"/>
      <c r="AB799" s="1392"/>
      <c r="AC799" s="1392"/>
      <c r="AD799" s="1392"/>
      <c r="AE799" s="1392"/>
      <c r="AF799" s="1392"/>
      <c r="AG799" s="1392"/>
      <c r="AH799" s="1392"/>
      <c r="AI799" s="1392"/>
      <c r="AJ799" s="1392"/>
      <c r="AK799" s="1392"/>
      <c r="AL799" s="1392"/>
      <c r="AM799" s="1392"/>
      <c r="AN799" s="139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0">
        <f>SUM(DU797:EX797)</f>
        <v>0</v>
      </c>
      <c r="EU799" s="1351"/>
      <c r="EV799" s="1351"/>
      <c r="EW799" s="1351"/>
      <c r="EX799" s="135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363">
        <f>O753+AC777+AC797</f>
        <v>197337</v>
      </c>
      <c r="Z800" s="1363"/>
      <c r="AA800" s="1363"/>
      <c r="AB800" s="1363"/>
      <c r="AC800" s="136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363">
        <f>(O753+AC777+AC797)*12</f>
        <v>2368044</v>
      </c>
      <c r="Z801" s="1363"/>
      <c r="AA801" s="1363"/>
      <c r="AB801" s="1363"/>
      <c r="AC801" s="136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33">
        <f>CP753+CP777+CP797</f>
        <v>30</v>
      </c>
      <c r="CQ802" s="1334"/>
      <c r="CR802" s="1334"/>
      <c r="CS802" s="1334"/>
      <c r="CT802" s="1335"/>
      <c r="CU802" s="1333">
        <f>CU753+CU777+CU797</f>
        <v>24</v>
      </c>
      <c r="CV802" s="1334"/>
      <c r="CW802" s="1334"/>
      <c r="CX802" s="1334"/>
      <c r="CY802" s="1335"/>
      <c r="CZ802" s="1333">
        <f>CZ753+CZ777+CZ797</f>
        <v>31</v>
      </c>
      <c r="DA802" s="1334"/>
      <c r="DB802" s="1334"/>
      <c r="DC802" s="1334"/>
      <c r="DD802" s="1335"/>
      <c r="DE802" s="1333">
        <f>DE753+DE777+DE797</f>
        <v>30</v>
      </c>
      <c r="DF802" s="1334"/>
      <c r="DG802" s="1334"/>
      <c r="DH802" s="1334"/>
      <c r="DI802" s="1335"/>
      <c r="DJ802" s="1333">
        <f>DJ753+DJ777+DJ797</f>
        <v>0</v>
      </c>
      <c r="DK802" s="1334"/>
      <c r="DL802" s="1334"/>
      <c r="DM802" s="1334"/>
      <c r="DN802" s="1335"/>
      <c r="DO802" s="1347">
        <f>DO797+DO777+DO753</f>
        <v>0</v>
      </c>
      <c r="DP802" s="1348"/>
      <c r="DQ802" s="1348"/>
      <c r="DR802" s="1348"/>
      <c r="DS802" s="1349"/>
      <c r="DT802" s="3"/>
      <c r="DU802" s="861">
        <f>DU755+DU800</f>
        <v>202</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20"/>
      <c r="AB806" s="1620"/>
      <c r="AC806" s="1620"/>
      <c r="AD806" s="1620"/>
      <c r="AE806" s="162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9"/>
      <c r="AA807" s="1620"/>
      <c r="AB807" s="1620"/>
      <c r="AC807" s="1620"/>
      <c r="AD807" s="1620"/>
      <c r="AE807" s="162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1"/>
      <c r="AA808" s="1539"/>
      <c r="AB808" s="1539"/>
      <c r="AC808" s="1539"/>
      <c r="AD808" s="1539"/>
      <c r="AE808" s="164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33">
        <f>'Subsidy Contract Calculation'!J40</f>
        <v>0</v>
      </c>
      <c r="AA809" s="1434"/>
      <c r="AB809" s="1434"/>
      <c r="AC809" s="1434"/>
      <c r="AD809" s="1434"/>
      <c r="AE809" s="143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75">
        <f>[1]EVERYTHING!$U$26</f>
        <v>12420</v>
      </c>
      <c r="AA813" s="1354"/>
      <c r="AB813" s="1354"/>
      <c r="AC813" s="1354"/>
      <c r="AD813" s="1354"/>
      <c r="AE813" s="135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75"/>
      <c r="AA814" s="1354"/>
      <c r="AB814" s="1354"/>
      <c r="AC814" s="1354"/>
      <c r="AD814" s="1354"/>
      <c r="AE814" s="135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75"/>
      <c r="AA815" s="1354"/>
      <c r="AB815" s="1354"/>
      <c r="AC815" s="1354"/>
      <c r="AD815" s="1354"/>
      <c r="AE815" s="135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57" t="s">
        <v>334</v>
      </c>
      <c r="Q816" s="1658"/>
      <c r="R816" s="1658"/>
      <c r="S816" s="1658"/>
      <c r="T816" s="1658"/>
      <c r="U816" s="1658"/>
      <c r="V816" s="1658"/>
      <c r="W816" s="1658"/>
      <c r="X816" s="1658"/>
      <c r="Y816" s="1659"/>
      <c r="Z816" s="1375"/>
      <c r="AA816" s="1354"/>
      <c r="AB816" s="1354"/>
      <c r="AC816" s="1354"/>
      <c r="AD816" s="1354"/>
      <c r="AE816" s="135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33">
        <f>SUM(Z813:AE816)</f>
        <v>12420</v>
      </c>
      <c r="AA817" s="1434"/>
      <c r="AB817" s="1434"/>
      <c r="AC817" s="1434"/>
      <c r="AD817" s="1434"/>
      <c r="AE817" s="143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33">
        <f>Z817+Y801+Z809</f>
        <v>2380464</v>
      </c>
      <c r="AA818" s="1434"/>
      <c r="AB818" s="1434"/>
      <c r="AC818" s="1434"/>
      <c r="AD818" s="1434"/>
      <c r="AE818" s="143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32" t="s">
        <v>290</v>
      </c>
      <c r="R823" s="1632"/>
      <c r="S823" s="1632"/>
      <c r="T823" s="1632"/>
      <c r="U823" s="1632" t="s">
        <v>291</v>
      </c>
      <c r="V823" s="1632"/>
      <c r="W823" s="1632"/>
      <c r="X823" s="1632"/>
      <c r="Y823" s="1632" t="s">
        <v>292</v>
      </c>
      <c r="Z823" s="1632"/>
      <c r="AA823" s="1632"/>
      <c r="AB823" s="1632"/>
      <c r="AC823" s="1632" t="s">
        <v>361</v>
      </c>
      <c r="AD823" s="1632"/>
      <c r="AE823" s="1632"/>
      <c r="AF823" s="1632"/>
      <c r="AG823" s="1628" t="s">
        <v>335</v>
      </c>
      <c r="AH823" s="1628"/>
      <c r="AI823" s="1628"/>
      <c r="AJ823" s="162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32"/>
      <c r="R824" s="1632"/>
      <c r="S824" s="1632"/>
      <c r="T824" s="1632"/>
      <c r="U824" s="1632"/>
      <c r="V824" s="1632"/>
      <c r="W824" s="1632"/>
      <c r="X824" s="1632"/>
      <c r="Y824" s="1632"/>
      <c r="Z824" s="1632"/>
      <c r="AA824" s="1632"/>
      <c r="AB824" s="1632"/>
      <c r="AC824" s="1632"/>
      <c r="AD824" s="1632"/>
      <c r="AE824" s="1632"/>
      <c r="AF824" s="1632"/>
      <c r="AG824" s="1628"/>
      <c r="AH824" s="1628"/>
      <c r="AI824" s="1628"/>
      <c r="AJ824" s="162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8" t="s">
        <v>40</v>
      </c>
      <c r="D825" s="1491"/>
      <c r="E825" s="1491"/>
      <c r="F825" s="1491"/>
      <c r="G825" s="1491"/>
      <c r="H825" s="1491"/>
      <c r="I825" s="48"/>
      <c r="J825" s="48"/>
      <c r="K825" s="48"/>
      <c r="L825" s="49"/>
      <c r="M825" s="1356">
        <v>21</v>
      </c>
      <c r="N825" s="1356"/>
      <c r="O825" s="1356"/>
      <c r="P825" s="1356"/>
      <c r="Q825" s="1356">
        <v>25</v>
      </c>
      <c r="R825" s="1356"/>
      <c r="S825" s="1356"/>
      <c r="T825" s="1356"/>
      <c r="U825" s="1356">
        <v>30</v>
      </c>
      <c r="V825" s="1356"/>
      <c r="W825" s="1356"/>
      <c r="X825" s="1356"/>
      <c r="Y825" s="1356">
        <v>34</v>
      </c>
      <c r="Z825" s="1356"/>
      <c r="AA825" s="1356"/>
      <c r="AB825" s="1356"/>
      <c r="AC825" s="1364"/>
      <c r="AD825" s="1365"/>
      <c r="AE825" s="1365"/>
      <c r="AF825" s="1366"/>
      <c r="AG825" s="1364"/>
      <c r="AH825" s="1365"/>
      <c r="AI825" s="1365"/>
      <c r="AJ825" s="136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368" t="s">
        <v>41</v>
      </c>
      <c r="D826" s="1369"/>
      <c r="E826" s="1369"/>
      <c r="F826" s="1369"/>
      <c r="G826" s="1369"/>
      <c r="H826" s="1369"/>
      <c r="I826" s="5"/>
      <c r="J826" s="5"/>
      <c r="K826" s="5"/>
      <c r="L826" s="46"/>
      <c r="M826" s="1356"/>
      <c r="N826" s="1356"/>
      <c r="O826" s="1356"/>
      <c r="P826" s="1356"/>
      <c r="Q826" s="1356"/>
      <c r="R826" s="1356"/>
      <c r="S826" s="1356"/>
      <c r="T826" s="1356"/>
      <c r="U826" s="1356"/>
      <c r="V826" s="1356"/>
      <c r="W826" s="1356"/>
      <c r="X826" s="1356"/>
      <c r="Y826" s="1356"/>
      <c r="Z826" s="1356"/>
      <c r="AA826" s="1356"/>
      <c r="AB826" s="1356"/>
      <c r="AC826" s="1364"/>
      <c r="AD826" s="1365"/>
      <c r="AE826" s="1365"/>
      <c r="AF826" s="1366"/>
      <c r="AG826" s="1364"/>
      <c r="AH826" s="1365"/>
      <c r="AI826" s="1365"/>
      <c r="AJ826" s="136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368" t="s">
        <v>42</v>
      </c>
      <c r="D827" s="1369"/>
      <c r="E827" s="1369"/>
      <c r="F827" s="1369"/>
      <c r="G827" s="1369"/>
      <c r="H827" s="1369"/>
      <c r="I827" s="60"/>
      <c r="J827" s="60"/>
      <c r="K827" s="60"/>
      <c r="L827" s="61"/>
      <c r="M827" s="1356">
        <v>10</v>
      </c>
      <c r="N827" s="1356"/>
      <c r="O827" s="1356"/>
      <c r="P827" s="1356"/>
      <c r="Q827" s="1356">
        <v>12</v>
      </c>
      <c r="R827" s="1356"/>
      <c r="S827" s="1356"/>
      <c r="T827" s="1356"/>
      <c r="U827" s="1356">
        <v>17</v>
      </c>
      <c r="V827" s="1356"/>
      <c r="W827" s="1356"/>
      <c r="X827" s="1356"/>
      <c r="Y827" s="1356">
        <v>23</v>
      </c>
      <c r="Z827" s="1356"/>
      <c r="AA827" s="1356"/>
      <c r="AB827" s="1356"/>
      <c r="AC827" s="1364"/>
      <c r="AD827" s="1365"/>
      <c r="AE827" s="1365"/>
      <c r="AF827" s="1366"/>
      <c r="AG827" s="1364"/>
      <c r="AH827" s="1365"/>
      <c r="AI827" s="1365"/>
      <c r="AJ827" s="136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368" t="s">
        <v>763</v>
      </c>
      <c r="D828" s="1369"/>
      <c r="E828" s="1369"/>
      <c r="F828" s="1369"/>
      <c r="G828" s="1369"/>
      <c r="H828" s="1369"/>
      <c r="I828" s="60"/>
      <c r="J828" s="60"/>
      <c r="K828" s="60"/>
      <c r="L828" s="61"/>
      <c r="M828" s="1356"/>
      <c r="N828" s="1356"/>
      <c r="O828" s="1356"/>
      <c r="P828" s="1356"/>
      <c r="Q828" s="1356"/>
      <c r="R828" s="1356"/>
      <c r="S828" s="1356"/>
      <c r="T828" s="1356"/>
      <c r="U828" s="1356"/>
      <c r="V828" s="1356"/>
      <c r="W828" s="1356"/>
      <c r="X828" s="1356"/>
      <c r="Y828" s="1356"/>
      <c r="Z828" s="1356"/>
      <c r="AA828" s="1356"/>
      <c r="AB828" s="1356"/>
      <c r="AC828" s="1364"/>
      <c r="AD828" s="1365"/>
      <c r="AE828" s="1365"/>
      <c r="AF828" s="1366"/>
      <c r="AG828" s="1364"/>
      <c r="AH828" s="1365"/>
      <c r="AI828" s="1365"/>
      <c r="AJ828" s="136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368" t="s">
        <v>460</v>
      </c>
      <c r="D829" s="1369"/>
      <c r="E829" s="1369"/>
      <c r="F829" s="1369"/>
      <c r="G829" s="1369"/>
      <c r="H829" s="1369"/>
      <c r="I829" s="60"/>
      <c r="J829" s="60"/>
      <c r="K829" s="60"/>
      <c r="L829" s="61"/>
      <c r="M829" s="1356">
        <v>28</v>
      </c>
      <c r="N829" s="1356"/>
      <c r="O829" s="1356"/>
      <c r="P829" s="1356"/>
      <c r="Q829" s="1356">
        <v>35</v>
      </c>
      <c r="R829" s="1356"/>
      <c r="S829" s="1356"/>
      <c r="T829" s="1356"/>
      <c r="U829" s="1356">
        <v>53</v>
      </c>
      <c r="V829" s="1356"/>
      <c r="W829" s="1356"/>
      <c r="X829" s="1356"/>
      <c r="Y829" s="1356">
        <v>72</v>
      </c>
      <c r="Z829" s="1356"/>
      <c r="AA829" s="1356"/>
      <c r="AB829" s="1356"/>
      <c r="AC829" s="1364"/>
      <c r="AD829" s="1365"/>
      <c r="AE829" s="1365"/>
      <c r="AF829" s="1366"/>
      <c r="AG829" s="1364"/>
      <c r="AH829" s="1365"/>
      <c r="AI829" s="1365"/>
      <c r="AJ829" s="136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784</v>
      </c>
      <c r="D830" s="1369"/>
      <c r="E830" s="1369"/>
      <c r="F830" s="1369"/>
      <c r="G830" s="1369"/>
      <c r="H830" s="1369"/>
      <c r="I830" s="60"/>
      <c r="J830" s="60"/>
      <c r="K830" s="60"/>
      <c r="L830" s="61"/>
      <c r="M830" s="1356"/>
      <c r="N830" s="1356"/>
      <c r="O830" s="1356"/>
      <c r="P830" s="1356"/>
      <c r="Q830" s="1356"/>
      <c r="R830" s="1356"/>
      <c r="S830" s="1356"/>
      <c r="T830" s="1356"/>
      <c r="U830" s="1356"/>
      <c r="V830" s="1356"/>
      <c r="W830" s="1356"/>
      <c r="X830" s="1356"/>
      <c r="Y830" s="1356"/>
      <c r="Z830" s="1356"/>
      <c r="AA830" s="1356"/>
      <c r="AB830" s="1356"/>
      <c r="AC830" s="1364"/>
      <c r="AD830" s="1365"/>
      <c r="AE830" s="1365"/>
      <c r="AF830" s="1366"/>
      <c r="AG830" s="1364"/>
      <c r="AH830" s="1365"/>
      <c r="AI830" s="1365"/>
      <c r="AJ830" s="136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57" t="s">
        <v>2719</v>
      </c>
      <c r="G831" s="1658"/>
      <c r="H831" s="1658"/>
      <c r="I831" s="1658"/>
      <c r="J831" s="1658"/>
      <c r="K831" s="1658"/>
      <c r="L831" s="1658"/>
      <c r="M831" s="1356">
        <v>4</v>
      </c>
      <c r="N831" s="1356"/>
      <c r="O831" s="1356"/>
      <c r="P831" s="1356"/>
      <c r="Q831" s="1356">
        <v>4</v>
      </c>
      <c r="R831" s="1356"/>
      <c r="S831" s="1356"/>
      <c r="T831" s="1356"/>
      <c r="U831" s="1356">
        <v>6</v>
      </c>
      <c r="V831" s="1356"/>
      <c r="W831" s="1356"/>
      <c r="X831" s="1356"/>
      <c r="Y831" s="1356">
        <v>8</v>
      </c>
      <c r="Z831" s="1356"/>
      <c r="AA831" s="1356"/>
      <c r="AB831" s="1356"/>
      <c r="AC831" s="1364"/>
      <c r="AD831" s="1365"/>
      <c r="AE831" s="1365"/>
      <c r="AF831" s="1366"/>
      <c r="AG831" s="1364"/>
      <c r="AH831" s="1365"/>
      <c r="AI831" s="1365"/>
      <c r="AJ831" s="136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357" t="s">
        <v>124</v>
      </c>
      <c r="D832" s="1358"/>
      <c r="E832" s="1358"/>
      <c r="F832" s="1358"/>
      <c r="G832" s="1358"/>
      <c r="H832" s="1358"/>
      <c r="I832" s="1358"/>
      <c r="J832" s="1358"/>
      <c r="K832" s="1358"/>
      <c r="L832" s="1359"/>
      <c r="M832" s="1643">
        <f>SUM(M825:P831)</f>
        <v>63</v>
      </c>
      <c r="N832" s="1643"/>
      <c r="O832" s="1643"/>
      <c r="P832" s="1643"/>
      <c r="Q832" s="1643">
        <f>SUM(Q825:T831)</f>
        <v>76</v>
      </c>
      <c r="R832" s="1643"/>
      <c r="S832" s="1643"/>
      <c r="T832" s="1643"/>
      <c r="U832" s="1643">
        <f>SUM(U825:X831)</f>
        <v>106</v>
      </c>
      <c r="V832" s="1643"/>
      <c r="W832" s="1643"/>
      <c r="X832" s="1643"/>
      <c r="Y832" s="1643">
        <f>SUM(Y825:AB831)</f>
        <v>137</v>
      </c>
      <c r="Z832" s="1643"/>
      <c r="AA832" s="1643"/>
      <c r="AB832" s="1643"/>
      <c r="AC832" s="1643">
        <f>SUM(AC825:AF831)</f>
        <v>0</v>
      </c>
      <c r="AD832" s="1643"/>
      <c r="AE832" s="1643"/>
      <c r="AF832" s="1643"/>
      <c r="AG832" s="1643">
        <f>SUM(AG825:AJ831)</f>
        <v>0</v>
      </c>
      <c r="AH832" s="1643"/>
      <c r="AI832" s="1643"/>
      <c r="AJ832" s="164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2" t="s">
        <v>2720</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376"/>
      <c r="BJ841" s="1376"/>
      <c r="BK841" s="1376"/>
      <c r="BL841" s="137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374">
        <v>0</v>
      </c>
      <c r="X842" s="1374"/>
      <c r="Y842" s="1374"/>
      <c r="Z842" s="1374"/>
      <c r="AA842" s="1374"/>
      <c r="AB842" s="1374"/>
      <c r="AC842" s="137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374">
        <v>6200</v>
      </c>
      <c r="X843" s="1374"/>
      <c r="Y843" s="1374"/>
      <c r="Z843" s="1374"/>
      <c r="AA843" s="1374"/>
      <c r="AB843" s="1374"/>
      <c r="AC843" s="137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374">
        <f>11500+17940</f>
        <v>29440</v>
      </c>
      <c r="X844" s="1374"/>
      <c r="Y844" s="1374"/>
      <c r="Z844" s="1374"/>
      <c r="AA844" s="1374"/>
      <c r="AB844" s="1374"/>
      <c r="AC844" s="137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374">
        <v>20700</v>
      </c>
      <c r="X845" s="1374"/>
      <c r="Y845" s="1374"/>
      <c r="Z845" s="1374"/>
      <c r="AA845" s="1374"/>
      <c r="AB845" s="1374"/>
      <c r="AC845" s="1374"/>
      <c r="AZ845" s="30"/>
      <c r="BA845" s="30"/>
      <c r="BB845" s="14"/>
      <c r="BC845" s="14"/>
      <c r="BD845" s="14"/>
      <c r="BE845" s="14"/>
      <c r="BF845" s="14"/>
      <c r="BG845" s="14"/>
      <c r="BH845" s="14"/>
      <c r="BI845" s="14"/>
      <c r="BJ845" s="14"/>
      <c r="BK845" s="14"/>
      <c r="BL845" s="14"/>
    </row>
    <row r="846" spans="1:64" ht="12.95" customHeight="1">
      <c r="J846" s="45" t="s">
        <v>170</v>
      </c>
      <c r="K846" s="5"/>
      <c r="L846" s="5"/>
      <c r="M846" s="1657" t="s">
        <v>2702</v>
      </c>
      <c r="N846" s="1658"/>
      <c r="O846" s="1658"/>
      <c r="P846" s="1658"/>
      <c r="Q846" s="1658"/>
      <c r="R846" s="1658"/>
      <c r="S846" s="1658"/>
      <c r="T846" s="1658"/>
      <c r="U846" s="1658"/>
      <c r="V846" s="1659"/>
      <c r="W846" s="1374">
        <f>8700+6840+800+1100+6700+16000+3400+2356+1800+16026+1800+2400+1800+4800</f>
        <v>74522</v>
      </c>
      <c r="X846" s="1374"/>
      <c r="Y846" s="1374"/>
      <c r="Z846" s="1374"/>
      <c r="AA846" s="1374"/>
      <c r="AB846" s="1374"/>
      <c r="AC846" s="137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33">
        <f>SUM(W842:W846)</f>
        <v>130862</v>
      </c>
      <c r="X847" s="1434"/>
      <c r="Y847" s="1434"/>
      <c r="Z847" s="1434"/>
      <c r="AA847" s="1434"/>
      <c r="AB847" s="1434"/>
      <c r="AC847" s="143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357" t="s">
        <v>345</v>
      </c>
      <c r="K849" s="1358"/>
      <c r="L849" s="1358"/>
      <c r="M849" s="1358"/>
      <c r="N849" s="1358"/>
      <c r="O849" s="1358"/>
      <c r="P849" s="1358"/>
      <c r="Q849" s="1358"/>
      <c r="R849" s="1358"/>
      <c r="S849" s="1358"/>
      <c r="T849" s="1358"/>
      <c r="U849" s="1358"/>
      <c r="V849" s="1359"/>
      <c r="W849" s="1375">
        <v>103500</v>
      </c>
      <c r="X849" s="1354"/>
      <c r="Y849" s="1354"/>
      <c r="Z849" s="1354"/>
      <c r="AA849" s="1354"/>
      <c r="AB849" s="1354"/>
      <c r="AC849" s="1355"/>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70"/>
      <c r="X851" s="1670"/>
      <c r="Y851" s="1670"/>
      <c r="Z851" s="1670"/>
      <c r="AA851" s="1670"/>
      <c r="AB851" s="1670"/>
      <c r="AC851" s="1670"/>
      <c r="AZ851" s="1640"/>
      <c r="BA851" s="1640"/>
      <c r="BB851" s="14"/>
      <c r="BC851" s="14"/>
    </row>
    <row r="852" spans="3:55" ht="12.95" customHeight="1">
      <c r="J852" s="45" t="s">
        <v>351</v>
      </c>
      <c r="K852" s="5"/>
      <c r="L852" s="5"/>
      <c r="M852" s="5"/>
      <c r="N852" s="5"/>
      <c r="O852" s="5"/>
      <c r="P852" s="5"/>
      <c r="Q852" s="5"/>
      <c r="R852" s="5"/>
      <c r="S852" s="5"/>
      <c r="T852" s="5"/>
      <c r="U852" s="5"/>
      <c r="V852" s="46"/>
      <c r="W852" s="1670"/>
      <c r="X852" s="1670"/>
      <c r="Y852" s="1670"/>
      <c r="Z852" s="1670"/>
      <c r="AA852" s="1670"/>
      <c r="AB852" s="1670"/>
      <c r="AC852" s="1670"/>
      <c r="AZ852" s="30"/>
      <c r="BA852" s="30"/>
      <c r="BB852" s="14"/>
      <c r="BC852" s="14"/>
    </row>
    <row r="853" spans="3:55" ht="12.95" customHeight="1">
      <c r="J853" s="45" t="s">
        <v>460</v>
      </c>
      <c r="K853" s="5"/>
      <c r="L853" s="5"/>
      <c r="M853" s="5"/>
      <c r="N853" s="5"/>
      <c r="O853" s="5"/>
      <c r="P853" s="5"/>
      <c r="Q853" s="5"/>
      <c r="R853" s="5"/>
      <c r="S853" s="5"/>
      <c r="T853" s="5"/>
      <c r="U853" s="5"/>
      <c r="V853" s="46"/>
      <c r="W853" s="1670">
        <v>10000</v>
      </c>
      <c r="X853" s="1670"/>
      <c r="Y853" s="1670"/>
      <c r="Z853" s="1670"/>
      <c r="AA853" s="1670"/>
      <c r="AB853" s="1670"/>
      <c r="AC853" s="1670"/>
      <c r="AZ853" s="30"/>
      <c r="BA853" s="30"/>
      <c r="BB853" s="14"/>
      <c r="BC853" s="14"/>
    </row>
    <row r="854" spans="3:55" ht="12.95" customHeight="1">
      <c r="J854" s="62" t="s">
        <v>621</v>
      </c>
      <c r="K854" s="5"/>
      <c r="L854" s="5"/>
      <c r="M854" s="5"/>
      <c r="N854" s="5"/>
      <c r="O854" s="5"/>
      <c r="P854" s="5"/>
      <c r="Q854" s="5"/>
      <c r="R854" s="5"/>
      <c r="S854" s="5"/>
      <c r="T854" s="5"/>
      <c r="U854" s="5"/>
      <c r="V854" s="46"/>
      <c r="W854" s="1670">
        <f>47300+102200</f>
        <v>149500</v>
      </c>
      <c r="X854" s="1670"/>
      <c r="Y854" s="1670"/>
      <c r="Z854" s="1670"/>
      <c r="AA854" s="1670"/>
      <c r="AB854" s="1670"/>
      <c r="AC854" s="1670"/>
      <c r="AZ854" s="34"/>
      <c r="BA854" s="34"/>
      <c r="BB854" s="34"/>
      <c r="BC854" s="34"/>
    </row>
    <row r="855" spans="3:55" ht="12.95" customHeight="1">
      <c r="J855" s="63"/>
      <c r="K855" s="48"/>
      <c r="L855" s="48"/>
      <c r="M855" s="48"/>
      <c r="N855" s="48"/>
      <c r="O855" s="48"/>
      <c r="P855" s="48"/>
      <c r="Q855" s="48"/>
      <c r="R855" s="48"/>
      <c r="S855" s="48"/>
      <c r="T855" s="48"/>
      <c r="U855" s="48"/>
      <c r="V855" s="54" t="s">
        <v>272</v>
      </c>
      <c r="W855" s="1671">
        <f>SUM(W851:W854)</f>
        <v>159500</v>
      </c>
      <c r="X855" s="1671"/>
      <c r="Y855" s="1671"/>
      <c r="Z855" s="1671"/>
      <c r="AA855" s="1671"/>
      <c r="AB855" s="1671"/>
      <c r="AC855" s="167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67">
        <f>73110+56742+11730</f>
        <v>141582</v>
      </c>
      <c r="X857" s="1668"/>
      <c r="Y857" s="1668"/>
      <c r="Z857" s="1668"/>
      <c r="AA857" s="1668"/>
      <c r="AB857" s="1668"/>
      <c r="AC857" s="1669"/>
      <c r="AD857" s="528"/>
      <c r="AZ857" s="34"/>
      <c r="BA857" s="34"/>
      <c r="BB857" s="34"/>
      <c r="BC857" s="34"/>
    </row>
    <row r="858" spans="3:55" ht="12.95" customHeight="1">
      <c r="C858" s="2" t="s">
        <v>347</v>
      </c>
      <c r="J858" s="121" t="s">
        <v>1656</v>
      </c>
      <c r="K858" s="5"/>
      <c r="L858" s="5"/>
      <c r="M858" s="5"/>
      <c r="N858" s="5"/>
      <c r="O858" s="5"/>
      <c r="P858" s="5"/>
      <c r="Q858" s="5"/>
      <c r="R858" s="5"/>
      <c r="S858" s="5"/>
      <c r="T858" s="1652">
        <v>3</v>
      </c>
      <c r="U858" s="1606"/>
      <c r="V858" s="165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67">
        <v>114576</v>
      </c>
      <c r="X859" s="1668"/>
      <c r="Y859" s="1668"/>
      <c r="Z859" s="1668"/>
      <c r="AA859" s="1668"/>
      <c r="AB859" s="1668"/>
      <c r="AC859" s="1669"/>
      <c r="AD859" s="533"/>
      <c r="AZ859" s="34"/>
      <c r="BA859" s="34"/>
      <c r="BB859" s="34"/>
      <c r="BC859" s="34"/>
    </row>
    <row r="860" spans="3:55" ht="12.95" customHeight="1">
      <c r="C860" s="2"/>
      <c r="J860" s="121" t="s">
        <v>1657</v>
      </c>
      <c r="K860" s="5"/>
      <c r="L860" s="5"/>
      <c r="M860" s="5"/>
      <c r="N860" s="5"/>
      <c r="O860" s="5"/>
      <c r="P860" s="5"/>
      <c r="Q860" s="5"/>
      <c r="R860" s="5"/>
      <c r="S860" s="5"/>
      <c r="T860" s="1652">
        <v>2</v>
      </c>
      <c r="U860" s="1606"/>
      <c r="V860" s="1653"/>
      <c r="W860" s="874"/>
      <c r="X860" s="875"/>
      <c r="Y860" s="875"/>
      <c r="Z860" s="875"/>
      <c r="AA860" s="875"/>
      <c r="AB860" s="875"/>
      <c r="AC860" s="876"/>
      <c r="AD860" s="533"/>
      <c r="AZ860" s="34"/>
      <c r="BA860" s="34"/>
      <c r="BB860" s="34"/>
      <c r="BC860" s="34"/>
    </row>
    <row r="861" spans="3:55" ht="12.95" customHeight="1">
      <c r="J861" s="45" t="s">
        <v>170</v>
      </c>
      <c r="K861" s="5"/>
      <c r="L861" s="5"/>
      <c r="M861" s="1657" t="s">
        <v>2707</v>
      </c>
      <c r="N861" s="1658"/>
      <c r="O861" s="1658"/>
      <c r="P861" s="1658"/>
      <c r="Q861" s="1658"/>
      <c r="R861" s="1658"/>
      <c r="S861" s="1658"/>
      <c r="T861" s="1658"/>
      <c r="U861" s="1658"/>
      <c r="V861" s="1659"/>
      <c r="W861" s="1667">
        <v>19679</v>
      </c>
      <c r="X861" s="1668"/>
      <c r="Y861" s="1668"/>
      <c r="Z861" s="1668"/>
      <c r="AA861" s="1668"/>
      <c r="AB861" s="1668"/>
      <c r="AC861" s="166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54">
        <f>SUM(W857:W861)</f>
        <v>275837</v>
      </c>
      <c r="X862" s="1655"/>
      <c r="Y862" s="1655"/>
      <c r="Z862" s="1655"/>
      <c r="AA862" s="1655"/>
      <c r="AB862" s="1655"/>
      <c r="AC862" s="1656"/>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67">
        <f>115000+9861+53120+8500</f>
        <v>186481</v>
      </c>
      <c r="X863" s="1668"/>
      <c r="Y863" s="1668"/>
      <c r="Z863" s="1668"/>
      <c r="AA863" s="1668"/>
      <c r="AB863" s="1668"/>
      <c r="AC863" s="166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723">
        <f>5500+4000</f>
        <v>9500</v>
      </c>
      <c r="X865" s="1374"/>
      <c r="Y865" s="1374"/>
      <c r="Z865" s="1374"/>
      <c r="AA865" s="1374"/>
      <c r="AB865" s="1374"/>
      <c r="AC865" s="1374"/>
      <c r="AU865" s="14"/>
      <c r="AZ865" s="34"/>
      <c r="BA865" s="34"/>
      <c r="BB865" s="34"/>
      <c r="BC865" s="34"/>
    </row>
    <row r="866" spans="3:55" ht="12.95" customHeight="1">
      <c r="J866" s="45" t="s">
        <v>523</v>
      </c>
      <c r="K866" s="5"/>
      <c r="L866" s="5"/>
      <c r="M866" s="5"/>
      <c r="N866" s="5"/>
      <c r="O866" s="5"/>
      <c r="P866" s="5"/>
      <c r="Q866" s="5"/>
      <c r="R866" s="5"/>
      <c r="S866" s="5"/>
      <c r="T866" s="5"/>
      <c r="U866" s="5"/>
      <c r="V866" s="46"/>
      <c r="W866" s="1374">
        <v>14100</v>
      </c>
      <c r="X866" s="1374"/>
      <c r="Y866" s="1374"/>
      <c r="Z866" s="1374"/>
      <c r="AA866" s="1374"/>
      <c r="AB866" s="1374"/>
      <c r="AC866" s="1374"/>
      <c r="AU866" s="4"/>
      <c r="AZ866" s="34"/>
      <c r="BA866" s="34"/>
      <c r="BB866" s="34"/>
      <c r="BC866" s="34"/>
    </row>
    <row r="867" spans="3:55" ht="12.95" customHeight="1">
      <c r="J867" s="45" t="s">
        <v>522</v>
      </c>
      <c r="K867" s="5"/>
      <c r="L867" s="5"/>
      <c r="M867" s="5"/>
      <c r="N867" s="5"/>
      <c r="O867" s="5"/>
      <c r="P867" s="5"/>
      <c r="Q867" s="5"/>
      <c r="R867" s="5"/>
      <c r="S867" s="5"/>
      <c r="T867" s="5"/>
      <c r="U867" s="5"/>
      <c r="V867" s="46"/>
      <c r="W867" s="1374">
        <v>66600</v>
      </c>
      <c r="X867" s="1374"/>
      <c r="Y867" s="1374"/>
      <c r="Z867" s="1374"/>
      <c r="AA867" s="1374"/>
      <c r="AB867" s="1374"/>
      <c r="AC867" s="1374"/>
      <c r="AU867" s="4"/>
      <c r="AZ867" s="34"/>
      <c r="BA867" s="34"/>
      <c r="BB867" s="34"/>
      <c r="BC867" s="34"/>
    </row>
    <row r="868" spans="3:55" ht="12.95" customHeight="1">
      <c r="J868" s="45" t="s">
        <v>521</v>
      </c>
      <c r="K868" s="5"/>
      <c r="L868" s="5"/>
      <c r="M868" s="5"/>
      <c r="N868" s="5"/>
      <c r="O868" s="5"/>
      <c r="P868" s="5"/>
      <c r="Q868" s="5"/>
      <c r="R868" s="5"/>
      <c r="S868" s="5"/>
      <c r="T868" s="5"/>
      <c r="U868" s="5"/>
      <c r="V868" s="46"/>
      <c r="W868" s="1374">
        <v>7800</v>
      </c>
      <c r="X868" s="1374"/>
      <c r="Y868" s="1374"/>
      <c r="Z868" s="1374"/>
      <c r="AA868" s="1374"/>
      <c r="AB868" s="1374"/>
      <c r="AC868" s="1374"/>
      <c r="AU868" s="4"/>
      <c r="AZ868" s="34"/>
      <c r="BA868" s="34"/>
      <c r="BB868" s="34"/>
      <c r="BC868" s="34"/>
    </row>
    <row r="869" spans="3:55" ht="12.95" customHeight="1">
      <c r="J869" s="45" t="s">
        <v>520</v>
      </c>
      <c r="K869" s="5"/>
      <c r="L869" s="5"/>
      <c r="M869" s="5"/>
      <c r="N869" s="5"/>
      <c r="O869" s="5"/>
      <c r="P869" s="5"/>
      <c r="Q869" s="5"/>
      <c r="R869" s="5"/>
      <c r="S869" s="5"/>
      <c r="T869" s="5"/>
      <c r="U869" s="5"/>
      <c r="V869" s="46"/>
      <c r="W869" s="1374">
        <v>35000</v>
      </c>
      <c r="X869" s="1374"/>
      <c r="Y869" s="1374"/>
      <c r="Z869" s="1374"/>
      <c r="AA869" s="1374"/>
      <c r="AB869" s="1374"/>
      <c r="AC869" s="1374"/>
      <c r="AU869" s="4"/>
      <c r="AZ869" s="34"/>
      <c r="BA869" s="34"/>
      <c r="BB869" s="34"/>
      <c r="BC869" s="34"/>
    </row>
    <row r="870" spans="3:55" ht="12.95" customHeight="1">
      <c r="J870" s="45" t="s">
        <v>519</v>
      </c>
      <c r="K870" s="5"/>
      <c r="L870" s="5"/>
      <c r="M870" s="5"/>
      <c r="N870" s="5"/>
      <c r="O870" s="5"/>
      <c r="P870" s="5"/>
      <c r="Q870" s="5"/>
      <c r="R870" s="5"/>
      <c r="S870" s="5"/>
      <c r="T870" s="5"/>
      <c r="U870" s="5"/>
      <c r="V870" s="46"/>
      <c r="W870" s="1374">
        <v>22000</v>
      </c>
      <c r="X870" s="1374"/>
      <c r="Y870" s="1374"/>
      <c r="Z870" s="1374"/>
      <c r="AA870" s="1374"/>
      <c r="AB870" s="1374"/>
      <c r="AC870" s="1374"/>
      <c r="AU870" s="4"/>
      <c r="AZ870" s="34"/>
      <c r="BA870" s="34"/>
      <c r="BB870" s="34"/>
      <c r="BC870" s="34"/>
    </row>
    <row r="871" spans="3:55" ht="12.95" customHeight="1">
      <c r="J871" s="45" t="s">
        <v>170</v>
      </c>
      <c r="K871" s="5"/>
      <c r="L871" s="5"/>
      <c r="M871" s="1657" t="s">
        <v>2705</v>
      </c>
      <c r="N871" s="1658"/>
      <c r="O871" s="1658"/>
      <c r="P871" s="1658"/>
      <c r="Q871" s="1658"/>
      <c r="R871" s="1658"/>
      <c r="S871" s="1658"/>
      <c r="T871" s="1658"/>
      <c r="U871" s="1658"/>
      <c r="V871" s="1659"/>
      <c r="W871" s="1374">
        <f>3300+7000</f>
        <v>10300</v>
      </c>
      <c r="X871" s="1374"/>
      <c r="Y871" s="1374"/>
      <c r="Z871" s="1374"/>
      <c r="AA871" s="1374"/>
      <c r="AB871" s="1374"/>
      <c r="AC871" s="137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363">
        <f>SUM(W865:W871)</f>
        <v>165300</v>
      </c>
      <c r="X872" s="1363"/>
      <c r="Y872" s="1363"/>
      <c r="Z872" s="1363"/>
      <c r="AA872" s="1363"/>
      <c r="AB872" s="1363"/>
      <c r="AC872" s="136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57" t="s">
        <v>2703</v>
      </c>
      <c r="N874" s="1658"/>
      <c r="O874" s="1658"/>
      <c r="P874" s="1658"/>
      <c r="Q874" s="1658"/>
      <c r="R874" s="1658"/>
      <c r="S874" s="1658"/>
      <c r="T874" s="1658"/>
      <c r="U874" s="1658"/>
      <c r="V874" s="1659"/>
      <c r="W874" s="1375">
        <f>21700+6600</f>
        <v>28300</v>
      </c>
      <c r="X874" s="1354"/>
      <c r="Y874" s="1354"/>
      <c r="Z874" s="1354"/>
      <c r="AA874" s="1354"/>
      <c r="AB874" s="1354"/>
      <c r="AC874" s="1355"/>
      <c r="AD874" s="533"/>
      <c r="AV874" s="14"/>
      <c r="AW874" s="14"/>
      <c r="AX874" s="14"/>
      <c r="AY874" s="14"/>
      <c r="AZ874" s="34"/>
      <c r="BA874" s="34"/>
      <c r="BB874" s="34"/>
      <c r="BC874" s="34"/>
    </row>
    <row r="875" spans="3:55" ht="12.95" customHeight="1">
      <c r="C875" s="2" t="s">
        <v>1245</v>
      </c>
      <c r="J875" s="45" t="s">
        <v>170</v>
      </c>
      <c r="K875" s="5"/>
      <c r="L875" s="5"/>
      <c r="M875" s="1657" t="s">
        <v>2704</v>
      </c>
      <c r="N875" s="1658"/>
      <c r="O875" s="1658"/>
      <c r="P875" s="1658"/>
      <c r="Q875" s="1658"/>
      <c r="R875" s="1658"/>
      <c r="S875" s="1658"/>
      <c r="T875" s="1658"/>
      <c r="U875" s="1658"/>
      <c r="V875" s="1659"/>
      <c r="W875" s="1375">
        <v>14500</v>
      </c>
      <c r="X875" s="1354"/>
      <c r="Y875" s="1354"/>
      <c r="Z875" s="1354"/>
      <c r="AA875" s="1354"/>
      <c r="AB875" s="1354"/>
      <c r="AC875" s="1355"/>
      <c r="AD875" s="533"/>
      <c r="AV875" s="14"/>
      <c r="AW875" s="14"/>
      <c r="AX875" s="14"/>
      <c r="AY875" s="14"/>
      <c r="AZ875" s="34"/>
      <c r="BA875" s="34"/>
      <c r="BB875" s="34"/>
      <c r="BC875" s="34"/>
    </row>
    <row r="876" spans="3:55" ht="12.95" customHeight="1">
      <c r="J876" s="45" t="s">
        <v>170</v>
      </c>
      <c r="K876" s="5"/>
      <c r="L876" s="5"/>
      <c r="M876" s="1657" t="s">
        <v>154</v>
      </c>
      <c r="N876" s="1658"/>
      <c r="O876" s="1658"/>
      <c r="P876" s="1658"/>
      <c r="Q876" s="1658"/>
      <c r="R876" s="1658"/>
      <c r="S876" s="1658"/>
      <c r="T876" s="1658"/>
      <c r="U876" s="1658"/>
      <c r="V876" s="1659"/>
      <c r="W876" s="1375">
        <f>800+3200+12221</f>
        <v>16221</v>
      </c>
      <c r="X876" s="1354"/>
      <c r="Y876" s="1354"/>
      <c r="Z876" s="1354"/>
      <c r="AA876" s="1354"/>
      <c r="AB876" s="1354"/>
      <c r="AC876" s="1355"/>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57" t="s">
        <v>2706</v>
      </c>
      <c r="N877" s="1658"/>
      <c r="O877" s="1658"/>
      <c r="P877" s="1658"/>
      <c r="Q877" s="1658"/>
      <c r="R877" s="1658"/>
      <c r="S877" s="1658"/>
      <c r="T877" s="1658"/>
      <c r="U877" s="1658"/>
      <c r="V877" s="1659"/>
      <c r="W877" s="1375">
        <v>16640</v>
      </c>
      <c r="X877" s="1354"/>
      <c r="Y877" s="1354"/>
      <c r="Z877" s="1354"/>
      <c r="AA877" s="1354"/>
      <c r="AB877" s="1354"/>
      <c r="AC877" s="1355"/>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57" t="s">
        <v>334</v>
      </c>
      <c r="N878" s="1658"/>
      <c r="O878" s="1658"/>
      <c r="P878" s="1658"/>
      <c r="Q878" s="1658"/>
      <c r="R878" s="1658"/>
      <c r="S878" s="1658"/>
      <c r="T878" s="1658"/>
      <c r="U878" s="1658"/>
      <c r="V878" s="1659"/>
      <c r="W878" s="1375"/>
      <c r="X878" s="1354"/>
      <c r="Y878" s="1354"/>
      <c r="Z878" s="1354"/>
      <c r="AA878" s="1354"/>
      <c r="AB878" s="1354"/>
      <c r="AC878" s="1355"/>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33">
        <f>SUM(W874:W878)</f>
        <v>75661</v>
      </c>
      <c r="X879" s="1434"/>
      <c r="Y879" s="1434"/>
      <c r="Z879" s="1434"/>
      <c r="AA879" s="1434"/>
      <c r="AB879" s="1434"/>
      <c r="AC879" s="143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34">
        <f>W847+W855+W862+W863+W872+W879+W849</f>
        <v>1097141</v>
      </c>
      <c r="AD883" s="1434"/>
      <c r="AE883" s="1434"/>
      <c r="AF883" s="1434"/>
      <c r="AG883" s="1434"/>
      <c r="AH883" s="143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60">
        <f>O797+O777+G753</f>
        <v>115</v>
      </c>
      <c r="AD884" s="1660"/>
      <c r="AE884" s="1660"/>
      <c r="AF884" s="1660"/>
      <c r="AG884" s="1660"/>
      <c r="AH884" s="1661"/>
      <c r="AL884" s="4"/>
      <c r="AM884" s="4"/>
      <c r="AN884" s="4"/>
      <c r="AO884" s="4"/>
      <c r="AP884" s="4"/>
      <c r="AQ884" s="4"/>
      <c r="AR884" s="4"/>
      <c r="AS884" s="4"/>
      <c r="AT884" s="4"/>
      <c r="AZ884" s="34"/>
      <c r="BA884" s="34"/>
      <c r="BB884" s="34"/>
      <c r="BC884" s="34"/>
    </row>
    <row r="885" spans="3:55" ht="12.95"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363">
        <f>IF(ISERROR((ROUNDDOWN(AC883/AC884,0))),0,(ROUNDDOWN(AC883/AC884,0)))</f>
        <v>9540</v>
      </c>
      <c r="AD885" s="1363"/>
      <c r="AE885" s="1363"/>
      <c r="AF885" s="1363"/>
      <c r="AG885" s="1363"/>
      <c r="AH885" s="136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65"/>
      <c r="AD886" s="1666"/>
      <c r="AE886" s="1666"/>
      <c r="AF886" s="1666"/>
      <c r="AG886" s="1666"/>
      <c r="AH886" s="166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55"/>
      <c r="AD887" s="1374"/>
      <c r="AE887" s="1374"/>
      <c r="AF887" s="1374"/>
      <c r="AG887" s="1374"/>
      <c r="AH887" s="137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54">
        <v>140477</v>
      </c>
      <c r="AD888" s="1354"/>
      <c r="AE888" s="1354"/>
      <c r="AF888" s="1354"/>
      <c r="AG888" s="1354"/>
      <c r="AH888" s="1355"/>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4">
        <f>[1]EVERYTHING!$U$61</f>
        <v>57500</v>
      </c>
      <c r="AD889" s="1354"/>
      <c r="AE889" s="1354"/>
      <c r="AF889" s="1354"/>
      <c r="AG889" s="1354"/>
      <c r="AH889" s="1355"/>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364">
        <f>[1]EVERYTHING!$U$49+[1]EVERYTHING!$U$50</f>
        <v>15936.5</v>
      </c>
      <c r="AD890" s="1365"/>
      <c r="AE890" s="1365"/>
      <c r="AF890" s="1365"/>
      <c r="AG890" s="1365"/>
      <c r="AH890" s="136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4">
        <v>2400</v>
      </c>
      <c r="AD891" s="1354"/>
      <c r="AE891" s="1354"/>
      <c r="AF891" s="1354"/>
      <c r="AG891" s="1354"/>
      <c r="AH891" s="1355"/>
      <c r="AZ891" s="34"/>
      <c r="BA891" s="34"/>
      <c r="BB891" s="34"/>
      <c r="BC891" s="34"/>
    </row>
    <row r="892" spans="3:55" ht="12.95" hidden="1" customHeight="1">
      <c r="C892" s="1357" t="s">
        <v>2233</v>
      </c>
      <c r="D892" s="1358"/>
      <c r="E892" s="1358"/>
      <c r="F892" s="1358"/>
      <c r="G892" s="1358"/>
      <c r="H892" s="1358"/>
      <c r="I892" s="1358"/>
      <c r="J892" s="1358"/>
      <c r="K892" s="1358"/>
      <c r="L892" s="1358"/>
      <c r="M892" s="1358"/>
      <c r="N892" s="1358"/>
      <c r="O892" s="1358"/>
      <c r="P892" s="1358"/>
      <c r="Q892" s="1358"/>
      <c r="R892" s="1358"/>
      <c r="S892" s="1358"/>
      <c r="T892" s="1358"/>
      <c r="U892" s="1358"/>
      <c r="V892" s="1358"/>
      <c r="W892" s="1358"/>
      <c r="X892" s="1358"/>
      <c r="Y892" s="1358"/>
      <c r="Z892" s="1358"/>
      <c r="AA892" s="1358"/>
      <c r="AB892" s="1359"/>
      <c r="AC892" s="1354"/>
      <c r="AD892" s="1354"/>
      <c r="AE892" s="1354"/>
      <c r="AF892" s="1354"/>
      <c r="AG892" s="1354"/>
      <c r="AH892" s="1355"/>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54"/>
      <c r="AD893" s="1354"/>
      <c r="AE893" s="1354"/>
      <c r="AF893" s="1354"/>
      <c r="AG893" s="1354"/>
      <c r="AH893" s="1355"/>
      <c r="AZ893" s="34"/>
      <c r="BA893" s="34"/>
      <c r="BB893" s="34"/>
      <c r="BC893" s="34"/>
    </row>
    <row r="894" spans="3:55" ht="12.95" customHeight="1">
      <c r="C894" s="1637" t="s">
        <v>957</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374"/>
      <c r="AD894" s="1374"/>
      <c r="AE894" s="1374"/>
      <c r="AF894" s="1374"/>
      <c r="AG894" s="1374"/>
      <c r="AH894" s="1374"/>
      <c r="AZ894" s="34"/>
      <c r="BA894" s="34"/>
      <c r="BB894" s="34"/>
      <c r="BC894" s="34"/>
    </row>
    <row r="895" spans="3:55" ht="12.95" customHeight="1">
      <c r="C895" s="1637" t="s">
        <v>957</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374"/>
      <c r="AD895" s="1374"/>
      <c r="AE895" s="1374"/>
      <c r="AF895" s="1374"/>
      <c r="AG895" s="1374"/>
      <c r="AH895" s="137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375"/>
      <c r="AA899" s="1354"/>
      <c r="AB899" s="1354"/>
      <c r="AC899" s="1354"/>
      <c r="AD899" s="1354"/>
      <c r="AE899" s="1355"/>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375"/>
      <c r="AA900" s="1354"/>
      <c r="AB900" s="1354"/>
      <c r="AC900" s="1354"/>
      <c r="AD900" s="1354"/>
      <c r="AE900" s="1355"/>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375"/>
      <c r="AA901" s="1354"/>
      <c r="AB901" s="1354"/>
      <c r="AC901" s="1354"/>
      <c r="AD901" s="1354"/>
      <c r="AE901" s="1355"/>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33">
        <f>Z899-(Z900+Z901)</f>
        <v>0</v>
      </c>
      <c r="AA902" s="1434"/>
      <c r="AB902" s="1434"/>
      <c r="AC902" s="1434"/>
      <c r="AD902" s="1434"/>
      <c r="AE902" s="1435"/>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33"/>
      <c r="BE905" s="1633"/>
      <c r="BF905" s="163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376"/>
      <c r="BE906" s="1376"/>
      <c r="BF906" s="137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5"/>
      <c r="BF908" s="14"/>
    </row>
    <row r="909" spans="1:58" ht="12.95" customHeight="1">
      <c r="AZ909" s="34"/>
      <c r="BB909" s="30"/>
      <c r="BC909" s="816"/>
    </row>
    <row r="910" spans="1:58" ht="12.95" customHeight="1">
      <c r="A910" s="1554" t="s">
        <v>96</v>
      </c>
      <c r="B910" s="1554"/>
      <c r="C910" s="1554"/>
      <c r="D910" s="1554"/>
      <c r="E910" s="1554"/>
      <c r="F910" s="1554"/>
      <c r="G910" s="1554"/>
      <c r="H910" s="1554"/>
      <c r="I910" s="1554"/>
      <c r="J910" s="1554"/>
      <c r="K910" s="1554"/>
      <c r="L910" s="1554"/>
      <c r="M910" s="1554"/>
      <c r="N910" s="1554"/>
      <c r="O910" s="1554"/>
      <c r="P910" s="1554"/>
      <c r="Q910" s="1554"/>
      <c r="R910" s="1554"/>
      <c r="S910" s="1554"/>
      <c r="T910" s="1554"/>
      <c r="U910" s="1554"/>
      <c r="V910" s="1554"/>
      <c r="W910" s="1554"/>
      <c r="X910" s="1554"/>
      <c r="Y910" s="1554"/>
      <c r="Z910" s="1554"/>
      <c r="AA910" s="1554"/>
      <c r="AB910" s="1554"/>
      <c r="AC910" s="1554"/>
      <c r="AD910" s="1554"/>
      <c r="AE910" s="1554"/>
      <c r="AF910" s="1554"/>
      <c r="AG910" s="1554"/>
      <c r="AH910" s="1554"/>
      <c r="AI910" s="1554"/>
      <c r="AJ910" s="1554"/>
      <c r="AK910" s="1554"/>
      <c r="AL910" s="1554"/>
      <c r="AM910" s="1554"/>
      <c r="AN910" s="1554"/>
      <c r="AO910" s="1554"/>
      <c r="AP910" s="1554"/>
      <c r="AQ910" s="1554"/>
      <c r="AR910" s="1554"/>
      <c r="AS910" s="1554"/>
      <c r="AT910" s="1554"/>
      <c r="AZ910" s="34"/>
      <c r="BA910" s="34"/>
      <c r="BB910" s="30"/>
      <c r="BC910" s="30"/>
      <c r="BD910" s="1634"/>
      <c r="BE910" s="1635"/>
      <c r="BF910" s="911"/>
    </row>
    <row r="911" spans="1:58" ht="12.95" customHeight="1">
      <c r="A911" s="1554"/>
      <c r="B911" s="1554"/>
      <c r="C911" s="1554"/>
      <c r="D911" s="1554"/>
      <c r="E911" s="1554"/>
      <c r="F911" s="1554"/>
      <c r="G911" s="1554"/>
      <c r="H911" s="1554"/>
      <c r="I911" s="1554"/>
      <c r="J911" s="1554"/>
      <c r="K911" s="1554"/>
      <c r="L911" s="1554"/>
      <c r="M911" s="1554"/>
      <c r="N911" s="1554"/>
      <c r="O911" s="1554"/>
      <c r="P911" s="1554"/>
      <c r="Q911" s="1554"/>
      <c r="R911" s="1554"/>
      <c r="S911" s="1554"/>
      <c r="T911" s="1554"/>
      <c r="U911" s="1554"/>
      <c r="V911" s="1554"/>
      <c r="W911" s="1554"/>
      <c r="X911" s="1554"/>
      <c r="Y911" s="1554"/>
      <c r="Z911" s="1554"/>
      <c r="AA911" s="1554"/>
      <c r="AB911" s="1554"/>
      <c r="AC911" s="1554"/>
      <c r="AD911" s="1554"/>
      <c r="AE911" s="1554"/>
      <c r="AF911" s="1554"/>
      <c r="AG911" s="1554"/>
      <c r="AH911" s="1554"/>
      <c r="AI911" s="1554"/>
      <c r="AJ911" s="1554"/>
      <c r="AK911" s="1554"/>
      <c r="AL911" s="1554"/>
      <c r="AM911" s="1554"/>
      <c r="AN911" s="1554"/>
      <c r="AO911" s="1554"/>
      <c r="AP911" s="1554"/>
      <c r="AQ911" s="1554"/>
      <c r="AR911" s="1554"/>
      <c r="AS911" s="1554"/>
      <c r="AT911" s="155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9" t="s">
        <v>793</v>
      </c>
      <c r="G915" s="1710"/>
      <c r="H915" s="1710"/>
      <c r="I915" s="1710"/>
      <c r="J915" s="1710"/>
      <c r="K915" s="1710"/>
      <c r="L915" s="1710"/>
      <c r="M915" s="1710"/>
      <c r="N915" s="1710"/>
      <c r="O915" s="1710"/>
      <c r="P915" s="1710"/>
      <c r="Q915" s="1710"/>
      <c r="R915" s="1710"/>
      <c r="S915" s="1710"/>
      <c r="T915" s="1711"/>
      <c r="U915" s="1761"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62" t="s">
        <v>819</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2.95" customHeight="1">
      <c r="B917" s="2"/>
      <c r="F917" s="1764"/>
      <c r="G917" s="1692"/>
      <c r="H917" s="1692"/>
      <c r="I917" s="1692"/>
      <c r="J917" s="1692"/>
      <c r="K917" s="1692"/>
      <c r="L917" s="1692"/>
      <c r="M917" s="1692"/>
      <c r="N917" s="1692"/>
      <c r="O917" s="1692"/>
      <c r="P917" s="1692"/>
      <c r="Q917" s="1692"/>
      <c r="R917" s="1692"/>
      <c r="S917" s="1692"/>
      <c r="T917" s="1693"/>
      <c r="U917" s="1764"/>
      <c r="V917" s="1692"/>
      <c r="W917" s="1692"/>
      <c r="X917" s="1692"/>
      <c r="Y917" s="1692"/>
      <c r="Z917" s="1692"/>
      <c r="AA917" s="108"/>
      <c r="AB917" s="1473" t="s">
        <v>391</v>
      </c>
      <c r="AC917" s="1473"/>
      <c r="AD917" s="1473"/>
      <c r="AE917" s="1473"/>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6" t="s">
        <v>546</v>
      </c>
      <c r="V918" s="1437"/>
      <c r="W918" s="1437"/>
      <c r="X918" s="1437"/>
      <c r="Y918" s="1437"/>
      <c r="Z918" s="1438"/>
      <c r="AA918" s="1650">
        <f>AM554</f>
        <v>30826728.666459981</v>
      </c>
      <c r="AB918" s="1542"/>
      <c r="AC918" s="1542"/>
      <c r="AD918" s="1542"/>
      <c r="AE918" s="1542"/>
      <c r="AF918" s="165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6" t="s">
        <v>546</v>
      </c>
      <c r="V919" s="1437"/>
      <c r="W919" s="1437"/>
      <c r="X919" s="1437"/>
      <c r="Y919" s="1437"/>
      <c r="Z919" s="1438"/>
      <c r="AA919" s="1650">
        <f>AM555</f>
        <v>54170616.337813169</v>
      </c>
      <c r="AB919" s="1542"/>
      <c r="AC919" s="1542"/>
      <c r="AD919" s="1542"/>
      <c r="AE919" s="1542"/>
      <c r="AF919" s="165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6" t="s">
        <v>546</v>
      </c>
      <c r="V920" s="1437"/>
      <c r="W920" s="1437"/>
      <c r="X920" s="1437"/>
      <c r="Y920" s="1437"/>
      <c r="Z920" s="1438"/>
      <c r="AA920" s="1650">
        <f>[1]EVERYTHING!$I$49+[1]EVERYTHING!$I$50</f>
        <v>2400000</v>
      </c>
      <c r="AB920" s="1542"/>
      <c r="AC920" s="1542"/>
      <c r="AD920" s="1542"/>
      <c r="AE920" s="1542"/>
      <c r="AF920" s="165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6" t="s">
        <v>546</v>
      </c>
      <c r="V921" s="1437"/>
      <c r="W921" s="1437"/>
      <c r="X921" s="1437"/>
      <c r="Y921" s="1437"/>
      <c r="Z921" s="1438"/>
      <c r="AA921" s="1650">
        <f>[1]EVERYTHING!$I$52</f>
        <v>476896</v>
      </c>
      <c r="AB921" s="1542"/>
      <c r="AC921" s="1542"/>
      <c r="AD921" s="1542"/>
      <c r="AE921" s="1542"/>
      <c r="AF921" s="165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6" t="s">
        <v>592</v>
      </c>
      <c r="V922" s="1437"/>
      <c r="W922" s="1437"/>
      <c r="X922" s="1437"/>
      <c r="Y922" s="1437"/>
      <c r="Z922" s="1438"/>
      <c r="AA922" s="1650"/>
      <c r="AB922" s="1542"/>
      <c r="AC922" s="1542"/>
      <c r="AD922" s="1542"/>
      <c r="AE922" s="1542"/>
      <c r="AF922" s="165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6" t="s">
        <v>592</v>
      </c>
      <c r="V923" s="1437"/>
      <c r="W923" s="1437"/>
      <c r="X923" s="1437"/>
      <c r="Y923" s="1437"/>
      <c r="Z923" s="1438"/>
      <c r="AA923" s="1650"/>
      <c r="AB923" s="1542"/>
      <c r="AC923" s="1542"/>
      <c r="AD923" s="1542"/>
      <c r="AE923" s="1542"/>
      <c r="AF923" s="165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6" t="s">
        <v>592</v>
      </c>
      <c r="V924" s="1437"/>
      <c r="W924" s="1437"/>
      <c r="X924" s="1437"/>
      <c r="Y924" s="1437"/>
      <c r="Z924" s="1438"/>
      <c r="AA924" s="1650"/>
      <c r="AB924" s="1542"/>
      <c r="AC924" s="1542"/>
      <c r="AD924" s="1542"/>
      <c r="AE924" s="1542"/>
      <c r="AF924" s="165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6" t="s">
        <v>592</v>
      </c>
      <c r="V925" s="1437"/>
      <c r="W925" s="1437"/>
      <c r="X925" s="1437"/>
      <c r="Y925" s="1437"/>
      <c r="Z925" s="1438"/>
      <c r="AA925" s="1650"/>
      <c r="AB925" s="1542"/>
      <c r="AC925" s="1542"/>
      <c r="AD925" s="1542"/>
      <c r="AE925" s="1542"/>
      <c r="AF925" s="1651"/>
      <c r="AZ925" s="34"/>
      <c r="BA925" s="34"/>
      <c r="BB925" s="34"/>
      <c r="BC925" s="34"/>
    </row>
    <row r="926" spans="1:58" ht="12.95" customHeight="1">
      <c r="F926" s="1644" t="s">
        <v>2193</v>
      </c>
      <c r="G926" s="1645"/>
      <c r="H926" s="1645"/>
      <c r="I926" s="1645"/>
      <c r="J926" s="1645"/>
      <c r="K926" s="1645"/>
      <c r="L926" s="1645"/>
      <c r="M926" s="1645"/>
      <c r="N926" s="1645"/>
      <c r="O926" s="1645"/>
      <c r="P926" s="1645"/>
      <c r="Q926" s="1645"/>
      <c r="R926" s="1645"/>
      <c r="S926" s="1645"/>
      <c r="T926" s="1646"/>
      <c r="U926" s="1636" t="s">
        <v>592</v>
      </c>
      <c r="V926" s="1437"/>
      <c r="W926" s="1437"/>
      <c r="X926" s="1437"/>
      <c r="Y926" s="1437"/>
      <c r="Z926" s="1438"/>
      <c r="AA926" s="1650"/>
      <c r="AB926" s="1542"/>
      <c r="AC926" s="1542"/>
      <c r="AD926" s="1542"/>
      <c r="AE926" s="1542"/>
      <c r="AF926" s="1651"/>
      <c r="AZ926" s="34"/>
      <c r="BA926" s="34"/>
      <c r="BB926" s="34"/>
      <c r="BC926" s="34"/>
    </row>
    <row r="927" spans="1:58" ht="12.95" customHeight="1">
      <c r="F927" s="1644" t="s">
        <v>680</v>
      </c>
      <c r="G927" s="1645"/>
      <c r="H927" s="1645"/>
      <c r="I927" s="1645"/>
      <c r="J927" s="1645"/>
      <c r="K927" s="1645"/>
      <c r="L927" s="1645"/>
      <c r="M927" s="1645"/>
      <c r="N927" s="1645"/>
      <c r="O927" s="1645"/>
      <c r="P927" s="1645"/>
      <c r="Q927" s="1645"/>
      <c r="R927" s="1645"/>
      <c r="S927" s="1645"/>
      <c r="T927" s="1646"/>
      <c r="U927" s="1636" t="s">
        <v>592</v>
      </c>
      <c r="V927" s="1437"/>
      <c r="W927" s="1437"/>
      <c r="X927" s="1437"/>
      <c r="Y927" s="1437"/>
      <c r="Z927" s="1438"/>
      <c r="AA927" s="1650"/>
      <c r="AB927" s="1542"/>
      <c r="AC927" s="1542"/>
      <c r="AD927" s="1542"/>
      <c r="AE927" s="1542"/>
      <c r="AF927" s="1651"/>
      <c r="AU927" s="2"/>
      <c r="AZ927" s="34"/>
      <c r="BA927" s="34"/>
      <c r="BB927" s="34"/>
      <c r="BC927" s="34"/>
    </row>
    <row r="928" spans="1:58" ht="12.95" customHeight="1">
      <c r="F928" s="1644" t="s">
        <v>2194</v>
      </c>
      <c r="G928" s="1645"/>
      <c r="H928" s="1645"/>
      <c r="I928" s="1645"/>
      <c r="J928" s="1645"/>
      <c r="K928" s="1645"/>
      <c r="L928" s="1645"/>
      <c r="M928" s="1645"/>
      <c r="N928" s="1645"/>
      <c r="O928" s="1645"/>
      <c r="P928" s="1645"/>
      <c r="Q928" s="1645"/>
      <c r="R928" s="1645"/>
      <c r="S928" s="1645"/>
      <c r="T928" s="1646"/>
      <c r="U928" s="1636" t="s">
        <v>592</v>
      </c>
      <c r="V928" s="1437"/>
      <c r="W928" s="1437"/>
      <c r="X928" s="1437"/>
      <c r="Y928" s="1437"/>
      <c r="Z928" s="1438"/>
      <c r="AA928" s="1650"/>
      <c r="AB928" s="1542"/>
      <c r="AC928" s="1542"/>
      <c r="AD928" s="1542"/>
      <c r="AE928" s="1542"/>
      <c r="AF928" s="1651"/>
      <c r="AU928" s="2"/>
      <c r="AZ928" s="34"/>
      <c r="BA928" s="34"/>
      <c r="BB928" s="34"/>
      <c r="BC928" s="34"/>
    </row>
    <row r="929" spans="6:55" ht="12.95" customHeight="1">
      <c r="F929" s="1644" t="s">
        <v>2195</v>
      </c>
      <c r="G929" s="1645"/>
      <c r="H929" s="1645"/>
      <c r="I929" s="1645"/>
      <c r="J929" s="1645"/>
      <c r="K929" s="1645"/>
      <c r="L929" s="1645"/>
      <c r="M929" s="1645"/>
      <c r="N929" s="1645"/>
      <c r="O929" s="1645"/>
      <c r="P929" s="1645"/>
      <c r="Q929" s="1645"/>
      <c r="R929" s="1645"/>
      <c r="S929" s="1645"/>
      <c r="T929" s="1646"/>
      <c r="U929" s="1636" t="s">
        <v>592</v>
      </c>
      <c r="V929" s="1437"/>
      <c r="W929" s="1437"/>
      <c r="X929" s="1437"/>
      <c r="Y929" s="1437"/>
      <c r="Z929" s="1438"/>
      <c r="AA929" s="1650"/>
      <c r="AB929" s="1542"/>
      <c r="AC929" s="1542"/>
      <c r="AD929" s="1542"/>
      <c r="AE929" s="1542"/>
      <c r="AF929" s="1651"/>
      <c r="AU929" s="2"/>
      <c r="AZ929" s="34"/>
      <c r="BA929" s="34"/>
      <c r="BB929" s="34"/>
      <c r="BC929" s="34"/>
    </row>
    <row r="930" spans="6:55" ht="12.95" customHeight="1">
      <c r="F930" s="1644" t="s">
        <v>2196</v>
      </c>
      <c r="G930" s="1645"/>
      <c r="H930" s="1645"/>
      <c r="I930" s="1645"/>
      <c r="J930" s="1645"/>
      <c r="K930" s="1645"/>
      <c r="L930" s="1645"/>
      <c r="M930" s="1645"/>
      <c r="N930" s="1645"/>
      <c r="O930" s="1645"/>
      <c r="P930" s="1645"/>
      <c r="Q930" s="1645"/>
      <c r="R930" s="1645"/>
      <c r="S930" s="1645"/>
      <c r="T930" s="1646"/>
      <c r="U930" s="1636" t="s">
        <v>592</v>
      </c>
      <c r="V930" s="1437"/>
      <c r="W930" s="1437"/>
      <c r="X930" s="1437"/>
      <c r="Y930" s="1437"/>
      <c r="Z930" s="1438"/>
      <c r="AA930" s="1650"/>
      <c r="AB930" s="1542"/>
      <c r="AC930" s="1542"/>
      <c r="AD930" s="1542"/>
      <c r="AE930" s="1542"/>
      <c r="AF930" s="1651"/>
      <c r="AU930" s="2"/>
      <c r="AZ930" s="34"/>
      <c r="BA930" s="34"/>
      <c r="BB930" s="34"/>
      <c r="BC930" s="34"/>
    </row>
    <row r="931" spans="6:55" ht="12.95" customHeight="1">
      <c r="F931" s="1644" t="s">
        <v>2197</v>
      </c>
      <c r="G931" s="1645"/>
      <c r="H931" s="1645"/>
      <c r="I931" s="1645"/>
      <c r="J931" s="1645"/>
      <c r="K931" s="1645"/>
      <c r="L931" s="1645"/>
      <c r="M931" s="1645"/>
      <c r="N931" s="1645"/>
      <c r="O931" s="1645"/>
      <c r="P931" s="1645"/>
      <c r="Q931" s="1645"/>
      <c r="R931" s="1645"/>
      <c r="S931" s="1645"/>
      <c r="T931" s="1646"/>
      <c r="U931" s="1636" t="s">
        <v>592</v>
      </c>
      <c r="V931" s="1437"/>
      <c r="W931" s="1437"/>
      <c r="X931" s="1437"/>
      <c r="Y931" s="1437"/>
      <c r="Z931" s="1438"/>
      <c r="AA931" s="1650"/>
      <c r="AB931" s="1542"/>
      <c r="AC931" s="1542"/>
      <c r="AD931" s="1542"/>
      <c r="AE931" s="1542"/>
      <c r="AF931" s="1651"/>
      <c r="AU931" s="2"/>
      <c r="AZ931" s="34"/>
      <c r="BA931" s="34"/>
      <c r="BB931" s="34"/>
      <c r="BC931" s="34"/>
    </row>
    <row r="932" spans="6:55" ht="12.95" customHeight="1">
      <c r="F932" s="1644" t="s">
        <v>2198</v>
      </c>
      <c r="G932" s="1645"/>
      <c r="H932" s="1645"/>
      <c r="I932" s="1645"/>
      <c r="J932" s="1645"/>
      <c r="K932" s="1645"/>
      <c r="L932" s="1645"/>
      <c r="M932" s="1645"/>
      <c r="N932" s="1645"/>
      <c r="O932" s="1645"/>
      <c r="P932" s="1645"/>
      <c r="Q932" s="1645"/>
      <c r="R932" s="1645"/>
      <c r="S932" s="1645"/>
      <c r="T932" s="1646"/>
      <c r="U932" s="1636" t="s">
        <v>592</v>
      </c>
      <c r="V932" s="1437"/>
      <c r="W932" s="1437"/>
      <c r="X932" s="1437"/>
      <c r="Y932" s="1437"/>
      <c r="Z932" s="1438"/>
      <c r="AA932" s="1650"/>
      <c r="AB932" s="1542"/>
      <c r="AC932" s="1542"/>
      <c r="AD932" s="1542"/>
      <c r="AE932" s="1542"/>
      <c r="AF932" s="1651"/>
      <c r="AZ932" s="30"/>
      <c r="BA932" s="30"/>
    </row>
    <row r="933" spans="6:55" ht="12.95" customHeight="1">
      <c r="F933" s="178" t="s">
        <v>677</v>
      </c>
      <c r="G933" s="5"/>
      <c r="H933" s="5"/>
      <c r="I933" s="5"/>
      <c r="J933" s="5"/>
      <c r="K933" s="5"/>
      <c r="L933" s="5"/>
      <c r="M933" s="5"/>
      <c r="N933" s="5"/>
      <c r="O933" s="5"/>
      <c r="P933" s="5"/>
      <c r="Q933" s="5"/>
      <c r="R933" s="5"/>
      <c r="S933" s="5"/>
      <c r="T933" s="46"/>
      <c r="U933" s="1636" t="s">
        <v>592</v>
      </c>
      <c r="V933" s="1437"/>
      <c r="W933" s="1437"/>
      <c r="X933" s="1437"/>
      <c r="Y933" s="1437"/>
      <c r="Z933" s="1438"/>
      <c r="AA933" s="1650"/>
      <c r="AB933" s="1542"/>
      <c r="AC933" s="1542"/>
      <c r="AD933" s="1542"/>
      <c r="AE933" s="1542"/>
      <c r="AF933" s="1651"/>
    </row>
    <row r="934" spans="6:55" ht="12.95" customHeight="1">
      <c r="F934" s="121" t="s">
        <v>1278</v>
      </c>
      <c r="G934" s="5"/>
      <c r="H934" s="5"/>
      <c r="I934" s="5"/>
      <c r="J934" s="5"/>
      <c r="K934" s="5"/>
      <c r="L934" s="5"/>
      <c r="M934" s="5"/>
      <c r="N934" s="5"/>
      <c r="O934" s="5"/>
      <c r="P934" s="5"/>
      <c r="Q934" s="5"/>
      <c r="R934" s="5"/>
      <c r="S934" s="5"/>
      <c r="T934" s="46"/>
      <c r="U934" s="1636" t="s">
        <v>592</v>
      </c>
      <c r="V934" s="1437"/>
      <c r="W934" s="1437"/>
      <c r="X934" s="1437"/>
      <c r="Y934" s="1437"/>
      <c r="Z934" s="1438"/>
      <c r="AA934" s="1650"/>
      <c r="AB934" s="1542"/>
      <c r="AC934" s="1542"/>
      <c r="AD934" s="1542"/>
      <c r="AE934" s="1542"/>
      <c r="AF934" s="1651"/>
      <c r="AZ934" s="30"/>
      <c r="BA934" s="14"/>
    </row>
    <row r="935" spans="6:55" ht="12.95" customHeight="1">
      <c r="F935" s="66" t="s">
        <v>803</v>
      </c>
      <c r="G935" s="5"/>
      <c r="H935" s="5"/>
      <c r="I935" s="5"/>
      <c r="J935" s="5"/>
      <c r="K935" s="5"/>
      <c r="L935" s="5"/>
      <c r="M935" s="5"/>
      <c r="N935" s="5"/>
      <c r="O935" s="5"/>
      <c r="P935" s="5"/>
      <c r="Q935" s="5"/>
      <c r="R935" s="5"/>
      <c r="S935" s="5"/>
      <c r="T935" s="46"/>
      <c r="U935" s="1636" t="s">
        <v>592</v>
      </c>
      <c r="V935" s="1437"/>
      <c r="W935" s="1437"/>
      <c r="X935" s="1437"/>
      <c r="Y935" s="1437"/>
      <c r="Z935" s="1438"/>
      <c r="AA935" s="1650"/>
      <c r="AB935" s="1542"/>
      <c r="AC935" s="1542"/>
      <c r="AD935" s="1542"/>
      <c r="AE935" s="1542"/>
      <c r="AF935" s="1651"/>
      <c r="AZ935" s="30"/>
      <c r="BA935" s="14"/>
    </row>
    <row r="936" spans="6:55" ht="12.95" customHeight="1">
      <c r="F936" s="1647" t="s">
        <v>2202</v>
      </c>
      <c r="G936" s="1648"/>
      <c r="H936" s="1648"/>
      <c r="I936" s="1648"/>
      <c r="J936" s="1648"/>
      <c r="K936" s="1648"/>
      <c r="L936" s="1648"/>
      <c r="M936" s="1648"/>
      <c r="N936" s="1648"/>
      <c r="O936" s="1648"/>
      <c r="P936" s="1648"/>
      <c r="Q936" s="1648"/>
      <c r="R936" s="1648"/>
      <c r="S936" s="1648"/>
      <c r="T936" s="1649"/>
      <c r="U936" s="1636" t="s">
        <v>592</v>
      </c>
      <c r="V936" s="1437"/>
      <c r="W936" s="1437"/>
      <c r="X936" s="1437"/>
      <c r="Y936" s="1437"/>
      <c r="Z936" s="1438"/>
      <c r="AA936" s="1650"/>
      <c r="AB936" s="1542"/>
      <c r="AC936" s="1542"/>
      <c r="AD936" s="1542"/>
      <c r="AE936" s="1542"/>
      <c r="AF936" s="1651"/>
      <c r="AZ936" s="30"/>
      <c r="BA936" s="14"/>
    </row>
    <row r="937" spans="6:55" ht="12.95" customHeight="1">
      <c r="F937" s="1647" t="s">
        <v>2203</v>
      </c>
      <c r="G937" s="1648"/>
      <c r="H937" s="1648"/>
      <c r="I937" s="1648"/>
      <c r="J937" s="1648"/>
      <c r="K937" s="1648"/>
      <c r="L937" s="1648"/>
      <c r="M937" s="1648"/>
      <c r="N937" s="1648"/>
      <c r="O937" s="1648"/>
      <c r="P937" s="1648"/>
      <c r="Q937" s="1648"/>
      <c r="R937" s="1648"/>
      <c r="S937" s="1648"/>
      <c r="T937" s="1649"/>
      <c r="U937" s="1636" t="s">
        <v>592</v>
      </c>
      <c r="V937" s="1437"/>
      <c r="W937" s="1437"/>
      <c r="X937" s="1437"/>
      <c r="Y937" s="1437"/>
      <c r="Z937" s="1438"/>
      <c r="AA937" s="1650"/>
      <c r="AB937" s="1542"/>
      <c r="AC937" s="1542"/>
      <c r="AD937" s="1542"/>
      <c r="AE937" s="1542"/>
      <c r="AF937" s="1651"/>
      <c r="AZ937" s="30"/>
      <c r="BA937" s="30"/>
    </row>
    <row r="938" spans="6:55" ht="12.95" customHeight="1">
      <c r="F938" s="1644" t="s">
        <v>2199</v>
      </c>
      <c r="G938" s="1645"/>
      <c r="H938" s="1645"/>
      <c r="I938" s="1645"/>
      <c r="J938" s="1645"/>
      <c r="K938" s="1645"/>
      <c r="L938" s="1645"/>
      <c r="M938" s="1645"/>
      <c r="N938" s="1645"/>
      <c r="O938" s="1645"/>
      <c r="P938" s="1645"/>
      <c r="Q938" s="1645"/>
      <c r="R938" s="1645"/>
      <c r="S938" s="1645"/>
      <c r="T938" s="1646"/>
      <c r="U938" s="1636" t="s">
        <v>546</v>
      </c>
      <c r="V938" s="1437"/>
      <c r="W938" s="1437"/>
      <c r="X938" s="1437"/>
      <c r="Y938" s="1437"/>
      <c r="Z938" s="1438"/>
      <c r="AA938" s="1650">
        <f>[1]EVERYTHING!$C$10</f>
        <v>41999143</v>
      </c>
      <c r="AB938" s="1542"/>
      <c r="AC938" s="1542"/>
      <c r="AD938" s="1542"/>
      <c r="AE938" s="1542"/>
      <c r="AF938" s="1651"/>
      <c r="AZ938" s="30"/>
      <c r="BA938" s="30"/>
    </row>
    <row r="939" spans="6:55" ht="12.95" customHeight="1">
      <c r="F939" s="1644" t="s">
        <v>2200</v>
      </c>
      <c r="G939" s="1645"/>
      <c r="H939" s="1645"/>
      <c r="I939" s="1645"/>
      <c r="J939" s="1645"/>
      <c r="K939" s="1645"/>
      <c r="L939" s="1645"/>
      <c r="M939" s="1645"/>
      <c r="N939" s="1645"/>
      <c r="O939" s="1645"/>
      <c r="P939" s="1645"/>
      <c r="Q939" s="1645"/>
      <c r="R939" s="1645"/>
      <c r="S939" s="1645"/>
      <c r="T939" s="1646"/>
      <c r="U939" s="1636" t="s">
        <v>592</v>
      </c>
      <c r="V939" s="1437"/>
      <c r="W939" s="1437"/>
      <c r="X939" s="1437"/>
      <c r="Y939" s="1437"/>
      <c r="Z939" s="1438"/>
      <c r="AA939" s="1650"/>
      <c r="AB939" s="1542"/>
      <c r="AC939" s="1542"/>
      <c r="AD939" s="1542"/>
      <c r="AE939" s="1542"/>
      <c r="AF939" s="1651"/>
      <c r="AZ939" s="30"/>
      <c r="BA939" s="30"/>
    </row>
    <row r="940" spans="6:55" ht="12.95" customHeight="1">
      <c r="F940" s="1644" t="s">
        <v>2201</v>
      </c>
      <c r="G940" s="1645"/>
      <c r="H940" s="1645"/>
      <c r="I940" s="1645"/>
      <c r="J940" s="1645"/>
      <c r="K940" s="1645"/>
      <c r="L940" s="1645"/>
      <c r="M940" s="1645"/>
      <c r="N940" s="1645"/>
      <c r="O940" s="1645"/>
      <c r="P940" s="1645"/>
      <c r="Q940" s="1645"/>
      <c r="R940" s="1645"/>
      <c r="S940" s="1645"/>
      <c r="T940" s="1646"/>
      <c r="U940" s="1636" t="s">
        <v>592</v>
      </c>
      <c r="V940" s="1437"/>
      <c r="W940" s="1437"/>
      <c r="X940" s="1437"/>
      <c r="Y940" s="1437"/>
      <c r="Z940" s="1438"/>
      <c r="AA940" s="1650"/>
      <c r="AB940" s="1542"/>
      <c r="AC940" s="1542"/>
      <c r="AD940" s="1542"/>
      <c r="AE940" s="1542"/>
      <c r="AF940" s="165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6" t="s">
        <v>592</v>
      </c>
      <c r="V941" s="1437"/>
      <c r="W941" s="1437"/>
      <c r="X941" s="1437"/>
      <c r="Y941" s="1437"/>
      <c r="Z941" s="1438"/>
      <c r="AA941" s="1650"/>
      <c r="AB941" s="1542"/>
      <c r="AC941" s="1542"/>
      <c r="AD941" s="1542"/>
      <c r="AE941" s="1542"/>
      <c r="AF941" s="1651"/>
      <c r="AZ941" s="34"/>
      <c r="BA941" s="34"/>
      <c r="BB941" s="14"/>
      <c r="BC941" s="14"/>
    </row>
    <row r="942" spans="6:55" ht="12.95" customHeight="1">
      <c r="F942" s="1647" t="s">
        <v>2204</v>
      </c>
      <c r="G942" s="1648"/>
      <c r="H942" s="1648"/>
      <c r="I942" s="1648"/>
      <c r="J942" s="1648"/>
      <c r="K942" s="1648"/>
      <c r="L942" s="1648"/>
      <c r="M942" s="1648"/>
      <c r="N942" s="1648"/>
      <c r="O942" s="1648"/>
      <c r="P942" s="1648"/>
      <c r="Q942" s="1648"/>
      <c r="R942" s="1648"/>
      <c r="S942" s="1648"/>
      <c r="T942" s="1649"/>
      <c r="U942" s="1636" t="s">
        <v>592</v>
      </c>
      <c r="V942" s="1437"/>
      <c r="W942" s="1437"/>
      <c r="X942" s="1437"/>
      <c r="Y942" s="1437"/>
      <c r="Z942" s="1438"/>
      <c r="AA942" s="1650"/>
      <c r="AB942" s="1542"/>
      <c r="AC942" s="1542"/>
      <c r="AD942" s="1542"/>
      <c r="AE942" s="1542"/>
      <c r="AF942" s="165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6" t="s">
        <v>592</v>
      </c>
      <c r="V943" s="1437"/>
      <c r="W943" s="1437"/>
      <c r="X943" s="1437"/>
      <c r="Y943" s="1437"/>
      <c r="Z943" s="1438"/>
      <c r="AA943" s="1650"/>
      <c r="AB943" s="1542"/>
      <c r="AC943" s="1542"/>
      <c r="AD943" s="1542"/>
      <c r="AE943" s="1542"/>
      <c r="AF943" s="1651"/>
      <c r="AZ943" s="34"/>
      <c r="BA943" s="34"/>
      <c r="BB943" s="34"/>
      <c r="BC943" s="34"/>
    </row>
    <row r="944" spans="6:55" ht="12.95" customHeight="1">
      <c r="F944" s="1647" t="s">
        <v>2205</v>
      </c>
      <c r="G944" s="1648"/>
      <c r="H944" s="1648"/>
      <c r="I944" s="1648"/>
      <c r="J944" s="1648"/>
      <c r="K944" s="1648"/>
      <c r="L944" s="1648"/>
      <c r="M944" s="1648"/>
      <c r="N944" s="1648"/>
      <c r="O944" s="1648"/>
      <c r="P944" s="1648"/>
      <c r="Q944" s="1648"/>
      <c r="R944" s="1648"/>
      <c r="S944" s="1648"/>
      <c r="T944" s="1649"/>
      <c r="U944" s="1636" t="s">
        <v>592</v>
      </c>
      <c r="V944" s="1437"/>
      <c r="W944" s="1437"/>
      <c r="X944" s="1437"/>
      <c r="Y944" s="1437"/>
      <c r="Z944" s="1438"/>
      <c r="AA944" s="1650"/>
      <c r="AB944" s="1542"/>
      <c r="AC944" s="1542"/>
      <c r="AD944" s="1542"/>
      <c r="AE944" s="1542"/>
      <c r="AF944" s="1651"/>
      <c r="AZ944" s="34"/>
      <c r="BA944" s="34"/>
      <c r="BB944" s="34"/>
      <c r="BC944" s="34"/>
    </row>
    <row r="945" spans="1:55" ht="12.95" customHeight="1">
      <c r="F945" s="45" t="s">
        <v>807</v>
      </c>
      <c r="G945" s="5"/>
      <c r="H945" s="5"/>
      <c r="I945" s="5"/>
      <c r="J945" s="5"/>
      <c r="K945" s="5"/>
      <c r="L945" s="5"/>
      <c r="M945" s="5"/>
      <c r="N945" s="5"/>
      <c r="O945" s="5"/>
      <c r="P945" s="1636" t="s">
        <v>670</v>
      </c>
      <c r="Q945" s="1437"/>
      <c r="R945" s="1437"/>
      <c r="S945" s="1437"/>
      <c r="T945" s="1438"/>
      <c r="U945" s="1636" t="s">
        <v>592</v>
      </c>
      <c r="V945" s="1437"/>
      <c r="W945" s="1437"/>
      <c r="X945" s="1437"/>
      <c r="Y945" s="1437"/>
      <c r="Z945" s="1438"/>
      <c r="AA945" s="1650"/>
      <c r="AB945" s="1542"/>
      <c r="AC945" s="1542"/>
      <c r="AD945" s="1542"/>
      <c r="AE945" s="1542"/>
      <c r="AF945" s="1651"/>
      <c r="AZ945" s="34"/>
      <c r="BA945" s="34"/>
      <c r="BB945" s="34"/>
      <c r="BC945" s="34"/>
    </row>
    <row r="946" spans="1:55" ht="12.95" customHeight="1">
      <c r="F946" s="1644" t="s">
        <v>2192</v>
      </c>
      <c r="G946" s="1645"/>
      <c r="H946" s="1646"/>
      <c r="I946" s="1657" t="s">
        <v>334</v>
      </c>
      <c r="J946" s="1658"/>
      <c r="K946" s="1658"/>
      <c r="L946" s="1658"/>
      <c r="M946" s="1658"/>
      <c r="N946" s="1658"/>
      <c r="O946" s="1658"/>
      <c r="P946" s="1658"/>
      <c r="Q946" s="1658"/>
      <c r="R946" s="1658"/>
      <c r="S946" s="1658"/>
      <c r="T946" s="1659"/>
      <c r="U946" s="1636" t="s">
        <v>592</v>
      </c>
      <c r="V946" s="1437"/>
      <c r="W946" s="1437"/>
      <c r="X946" s="1437"/>
      <c r="Y946" s="1437"/>
      <c r="Z946" s="1438"/>
      <c r="AA946" s="1650"/>
      <c r="AB946" s="1542"/>
      <c r="AC946" s="1542"/>
      <c r="AD946" s="1542"/>
      <c r="AE946" s="1542"/>
      <c r="AF946" s="1651"/>
      <c r="AZ946" s="34"/>
      <c r="BA946" s="34"/>
      <c r="BB946" s="34"/>
      <c r="BC946" s="34"/>
    </row>
    <row r="947" spans="1:55" ht="12.95" customHeight="1">
      <c r="F947" s="45" t="s">
        <v>86</v>
      </c>
      <c r="G947" s="48"/>
      <c r="H947" s="48"/>
      <c r="I947" s="1657" t="s">
        <v>2700</v>
      </c>
      <c r="J947" s="1658"/>
      <c r="K947" s="1658"/>
      <c r="L947" s="1658"/>
      <c r="M947" s="1658"/>
      <c r="N947" s="1658"/>
      <c r="O947" s="1658"/>
      <c r="P947" s="1658"/>
      <c r="Q947" s="1658"/>
      <c r="R947" s="1658"/>
      <c r="S947" s="1658"/>
      <c r="T947" s="1659"/>
      <c r="U947" s="1636" t="s">
        <v>546</v>
      </c>
      <c r="V947" s="1437"/>
      <c r="W947" s="1437"/>
      <c r="X947" s="1437"/>
      <c r="Y947" s="1437"/>
      <c r="Z947" s="1438"/>
      <c r="AA947" s="1650">
        <f>[1]EVERYTHING!$C$12</f>
        <v>1900000</v>
      </c>
      <c r="AB947" s="1542"/>
      <c r="AC947" s="1542"/>
      <c r="AD947" s="1542"/>
      <c r="AE947" s="1542"/>
      <c r="AF947" s="1651"/>
      <c r="AZ947" s="34"/>
      <c r="BA947" s="34"/>
      <c r="BB947" s="34"/>
      <c r="BC947" s="34"/>
    </row>
    <row r="948" spans="1:55" ht="12.95" customHeight="1">
      <c r="F948" s="45" t="s">
        <v>10</v>
      </c>
      <c r="G948" s="48"/>
      <c r="H948" s="48"/>
      <c r="I948" s="1703" t="s">
        <v>2721</v>
      </c>
      <c r="J948" s="1704"/>
      <c r="K948" s="1704"/>
      <c r="L948" s="1704"/>
      <c r="M948" s="1704"/>
      <c r="N948" s="1704"/>
      <c r="O948" s="1704"/>
      <c r="P948" s="1704"/>
      <c r="Q948" s="1704"/>
      <c r="R948" s="1704"/>
      <c r="S948" s="1704"/>
      <c r="T948" s="1705"/>
      <c r="U948" s="1636" t="s">
        <v>546</v>
      </c>
      <c r="V948" s="1437"/>
      <c r="W948" s="1437"/>
      <c r="X948" s="1437"/>
      <c r="Y948" s="1437"/>
      <c r="Z948" s="1438"/>
      <c r="AA948" s="1650">
        <f>[1]EVERYTHING!$I$48+[1]EVERYTHING!$I$51</f>
        <v>3144474</v>
      </c>
      <c r="AB948" s="1542"/>
      <c r="AC948" s="1542"/>
      <c r="AD948" s="1542"/>
      <c r="AE948" s="1542"/>
      <c r="AF948" s="1651"/>
      <c r="AV948" s="2"/>
      <c r="AW948" s="2"/>
      <c r="AX948" s="2"/>
      <c r="AY948" s="2"/>
      <c r="AZ948" s="34"/>
      <c r="BA948" s="34"/>
      <c r="BB948" s="34"/>
      <c r="BC948" s="34"/>
    </row>
    <row r="949" spans="1:55" ht="12.95" customHeight="1">
      <c r="F949" s="47" t="s">
        <v>170</v>
      </c>
      <c r="G949" s="48"/>
      <c r="H949" s="48"/>
      <c r="I949" s="1703" t="s">
        <v>2714</v>
      </c>
      <c r="J949" s="1704"/>
      <c r="K949" s="1704"/>
      <c r="L949" s="1704"/>
      <c r="M949" s="1704"/>
      <c r="N949" s="1704"/>
      <c r="O949" s="1704"/>
      <c r="P949" s="1704"/>
      <c r="Q949" s="1704"/>
      <c r="R949" s="1704"/>
      <c r="S949" s="1704"/>
      <c r="T949" s="1705"/>
      <c r="U949" s="1636" t="s">
        <v>546</v>
      </c>
      <c r="V949" s="1437"/>
      <c r="W949" s="1437"/>
      <c r="X949" s="1437"/>
      <c r="Y949" s="1437"/>
      <c r="Z949" s="1438"/>
      <c r="AA949" s="1650">
        <f>[1]EVERYTHING!$C$9</f>
        <v>600000</v>
      </c>
      <c r="AB949" s="1542"/>
      <c r="AC949" s="1542"/>
      <c r="AD949" s="1542"/>
      <c r="AE949" s="1542"/>
      <c r="AF949" s="1651"/>
      <c r="AU949" s="2"/>
      <c r="AZ949" s="34"/>
      <c r="BA949" s="34"/>
      <c r="BB949" s="34"/>
      <c r="BC949" s="34"/>
    </row>
    <row r="950" spans="1:55" ht="12.95" customHeight="1">
      <c r="F950" s="47" t="s">
        <v>170</v>
      </c>
      <c r="G950" s="48"/>
      <c r="H950" s="48"/>
      <c r="I950" s="1703" t="s">
        <v>334</v>
      </c>
      <c r="J950" s="1704"/>
      <c r="K950" s="1704"/>
      <c r="L950" s="1704"/>
      <c r="M950" s="1704"/>
      <c r="N950" s="1704"/>
      <c r="O950" s="1704"/>
      <c r="P950" s="1704"/>
      <c r="Q950" s="1704"/>
      <c r="R950" s="1704"/>
      <c r="S950" s="1704"/>
      <c r="T950" s="1705"/>
      <c r="U950" s="1636" t="s">
        <v>592</v>
      </c>
      <c r="V950" s="1437"/>
      <c r="W950" s="1437"/>
      <c r="X950" s="1437"/>
      <c r="Y950" s="1437"/>
      <c r="Z950" s="1438"/>
      <c r="AA950" s="1650"/>
      <c r="AB950" s="1542"/>
      <c r="AC950" s="1542"/>
      <c r="AD950" s="1542"/>
      <c r="AE950" s="1542"/>
      <c r="AF950" s="165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4"/>
      <c r="N955" s="1539"/>
      <c r="O955" s="1539"/>
      <c r="P955" s="1539"/>
      <c r="Q955" s="1539"/>
      <c r="R955" s="1539"/>
      <c r="S955" s="1642"/>
      <c r="U955" s="66" t="s">
        <v>11</v>
      </c>
      <c r="V955" s="5"/>
      <c r="W955" s="5"/>
      <c r="X955" s="5"/>
      <c r="Y955" s="5"/>
      <c r="Z955" s="5"/>
      <c r="AA955" s="5"/>
      <c r="AB955" s="5"/>
      <c r="AC955" s="5"/>
      <c r="AD955" s="46"/>
      <c r="AE955" s="1714"/>
      <c r="AF955" s="1539"/>
      <c r="AG955" s="1539"/>
      <c r="AH955" s="1539"/>
      <c r="AI955" s="1539"/>
      <c r="AJ955" s="1539"/>
      <c r="AK955" s="1642"/>
      <c r="AZ955" s="34"/>
      <c r="BA955" s="34"/>
      <c r="BB955" s="34"/>
      <c r="BC955" s="34"/>
    </row>
    <row r="956" spans="1:55" ht="12.95" customHeight="1">
      <c r="C956" s="66" t="s">
        <v>12</v>
      </c>
      <c r="D956" s="5"/>
      <c r="E956" s="5"/>
      <c r="F956" s="5"/>
      <c r="G956" s="5"/>
      <c r="H956" s="5"/>
      <c r="I956" s="5"/>
      <c r="J956" s="5"/>
      <c r="K956" s="5"/>
      <c r="L956" s="46"/>
      <c r="M956" s="1715"/>
      <c r="N956" s="1341"/>
      <c r="O956" s="1341"/>
      <c r="P956" s="1341"/>
      <c r="Q956" s="1341"/>
      <c r="R956" s="1341"/>
      <c r="S956" s="1716"/>
      <c r="U956" s="66" t="s">
        <v>12</v>
      </c>
      <c r="V956" s="5"/>
      <c r="W956" s="5"/>
      <c r="X956" s="5"/>
      <c r="Y956" s="5"/>
      <c r="Z956" s="5"/>
      <c r="AA956" s="5"/>
      <c r="AB956" s="5"/>
      <c r="AC956" s="5"/>
      <c r="AD956" s="46"/>
      <c r="AE956" s="1715"/>
      <c r="AF956" s="1341"/>
      <c r="AG956" s="1341"/>
      <c r="AH956" s="1341"/>
      <c r="AI956" s="1341"/>
      <c r="AJ956" s="1341"/>
      <c r="AK956" s="1716"/>
      <c r="AZ956" s="34"/>
      <c r="BA956" s="34"/>
      <c r="BB956" s="34"/>
      <c r="BC956" s="34"/>
    </row>
    <row r="957" spans="1:55" ht="12.95" customHeight="1">
      <c r="C957" s="66" t="s">
        <v>881</v>
      </c>
      <c r="D957" s="5"/>
      <c r="E957" s="5"/>
      <c r="J957" s="1810" t="s">
        <v>307</v>
      </c>
      <c r="K957" s="1811"/>
      <c r="L957" s="1811"/>
      <c r="M957" s="1811"/>
      <c r="N957" s="1811"/>
      <c r="O957" s="1811"/>
      <c r="P957" s="1811"/>
      <c r="Q957" s="1811"/>
      <c r="R957" s="1811"/>
      <c r="S957" s="1812"/>
      <c r="U957" s="66" t="s">
        <v>881</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17"/>
      <c r="N958" s="1718"/>
      <c r="O958" s="1718"/>
      <c r="P958" s="1718"/>
      <c r="Q958" s="1718"/>
      <c r="R958" s="1718"/>
      <c r="S958" s="1719"/>
      <c r="U958" s="66" t="s">
        <v>13</v>
      </c>
      <c r="V958" s="5"/>
      <c r="W958" s="5"/>
      <c r="X958" s="5"/>
      <c r="Y958" s="5"/>
      <c r="Z958" s="5"/>
      <c r="AA958" s="5"/>
      <c r="AB958" s="5"/>
      <c r="AC958" s="5"/>
      <c r="AD958" s="46"/>
      <c r="AE958" s="1784"/>
      <c r="AF958" s="1718"/>
      <c r="AG958" s="1718"/>
      <c r="AH958" s="1718"/>
      <c r="AI958" s="1718"/>
      <c r="AJ958" s="1718"/>
      <c r="AK958" s="1719"/>
      <c r="AZ958" s="34"/>
      <c r="BA958" s="34"/>
      <c r="BB958" s="34"/>
      <c r="BC958" s="34"/>
    </row>
    <row r="959" spans="1:55" ht="12.95" customHeight="1">
      <c r="C959" s="66" t="s">
        <v>14</v>
      </c>
      <c r="D959" s="5"/>
      <c r="E959" s="5"/>
      <c r="F959" s="5"/>
      <c r="G959" s="5"/>
      <c r="H959" s="5"/>
      <c r="I959" s="5"/>
      <c r="J959" s="5"/>
      <c r="K959" s="5"/>
      <c r="L959" s="46"/>
      <c r="M959" s="1725"/>
      <c r="N959" s="1620"/>
      <c r="O959" s="1620"/>
      <c r="P959" s="1620"/>
      <c r="Q959" s="1620"/>
      <c r="R959" s="1620"/>
      <c r="S959" s="1621"/>
      <c r="U959" s="66" t="s">
        <v>14</v>
      </c>
      <c r="V959" s="5"/>
      <c r="W959" s="5"/>
      <c r="X959" s="5"/>
      <c r="Y959" s="5"/>
      <c r="Z959" s="5"/>
      <c r="AA959" s="5"/>
      <c r="AB959" s="5"/>
      <c r="AC959" s="5"/>
      <c r="AD959" s="46"/>
      <c r="AE959" s="1725"/>
      <c r="AF959" s="1620"/>
      <c r="AG959" s="1620"/>
      <c r="AH959" s="1620"/>
      <c r="AI959" s="1620"/>
      <c r="AJ959" s="1620"/>
      <c r="AK959" s="1621"/>
      <c r="AV959" s="2"/>
      <c r="AW959" s="2"/>
      <c r="AX959" s="2"/>
      <c r="AY959" s="2"/>
      <c r="AZ959" s="34"/>
      <c r="BA959" s="34"/>
      <c r="BB959" s="34"/>
      <c r="BC959" s="34"/>
    </row>
    <row r="960" spans="1:55" ht="12.95" customHeight="1">
      <c r="C960" s="66" t="s">
        <v>15</v>
      </c>
      <c r="D960" s="5"/>
      <c r="E960" s="5"/>
      <c r="F960" s="5"/>
      <c r="G960" s="5"/>
      <c r="H960" s="5"/>
      <c r="I960" s="5"/>
      <c r="J960" s="5"/>
      <c r="K960" s="5"/>
      <c r="L960" s="46"/>
      <c r="M960" s="1650"/>
      <c r="N960" s="1542"/>
      <c r="O960" s="1542"/>
      <c r="P960" s="1542"/>
      <c r="Q960" s="1542"/>
      <c r="R960" s="1542"/>
      <c r="S960" s="1651"/>
      <c r="U960" s="66" t="s">
        <v>15</v>
      </c>
      <c r="V960" s="5"/>
      <c r="W960" s="5"/>
      <c r="X960" s="5"/>
      <c r="Y960" s="5"/>
      <c r="Z960" s="5"/>
      <c r="AA960" s="5"/>
      <c r="AB960" s="5"/>
      <c r="AC960" s="5"/>
      <c r="AD960" s="46"/>
      <c r="AE960" s="1650"/>
      <c r="AF960" s="1542"/>
      <c r="AG960" s="1542"/>
      <c r="AH960" s="1542"/>
      <c r="AI960" s="1542"/>
      <c r="AJ960" s="1542"/>
      <c r="AK960" s="1651"/>
      <c r="AV960" s="2"/>
      <c r="AW960" s="2"/>
      <c r="AX960" s="2"/>
      <c r="AY960" s="2"/>
      <c r="AZ960" s="34"/>
      <c r="BA960" s="34"/>
      <c r="BB960" s="34"/>
      <c r="BC960" s="34"/>
    </row>
    <row r="961" spans="1:64" ht="12.95" customHeight="1">
      <c r="C961" s="66" t="s">
        <v>16</v>
      </c>
      <c r="D961" s="5"/>
      <c r="E961" s="5"/>
      <c r="F961" s="5"/>
      <c r="G961" s="5"/>
      <c r="H961" s="5"/>
      <c r="I961" s="5"/>
      <c r="J961" s="5"/>
      <c r="K961" s="5"/>
      <c r="L961" s="46"/>
      <c r="M961" s="1650"/>
      <c r="N961" s="1542"/>
      <c r="O961" s="1542"/>
      <c r="P961" s="1542"/>
      <c r="Q961" s="1542"/>
      <c r="R961" s="1542"/>
      <c r="S961" s="1651"/>
      <c r="U961" s="66" t="s">
        <v>16</v>
      </c>
      <c r="V961" s="5"/>
      <c r="W961" s="5"/>
      <c r="X961" s="5"/>
      <c r="Y961" s="5"/>
      <c r="Z961" s="5"/>
      <c r="AA961" s="5"/>
      <c r="AB961" s="5"/>
      <c r="AC961" s="5"/>
      <c r="AD961" s="46"/>
      <c r="AE961" s="1650"/>
      <c r="AF961" s="1542"/>
      <c r="AG961" s="1542"/>
      <c r="AH961" s="1542"/>
      <c r="AI961" s="1542"/>
      <c r="AJ961" s="1542"/>
      <c r="AK961" s="1651"/>
      <c r="AV961" s="2"/>
      <c r="AW961" s="2"/>
      <c r="AX961" s="2"/>
      <c r="AY961" s="2"/>
      <c r="AZ961" s="34"/>
      <c r="BB961" s="34"/>
      <c r="BC961" s="34"/>
    </row>
    <row r="962" spans="1:64" ht="12.95" customHeight="1">
      <c r="C962" s="121" t="s">
        <v>1662</v>
      </c>
      <c r="D962" s="5"/>
      <c r="E962" s="5"/>
      <c r="F962" s="5"/>
      <c r="G962" s="5"/>
      <c r="H962" s="5"/>
      <c r="I962" s="5"/>
      <c r="J962" s="5"/>
      <c r="K962" s="5"/>
      <c r="L962" s="46"/>
      <c r="M962" s="1781"/>
      <c r="N962" s="1782"/>
      <c r="O962" s="1782"/>
      <c r="P962" s="1782"/>
      <c r="Q962" s="1782"/>
      <c r="R962" s="1782"/>
      <c r="S962" s="1783"/>
      <c r="U962" s="121" t="s">
        <v>1662</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712"/>
      <c r="N967" s="1460"/>
      <c r="O967" s="1460"/>
      <c r="P967" s="1460"/>
      <c r="Q967" s="1460"/>
      <c r="R967" s="1460"/>
      <c r="S967" s="1713"/>
      <c r="T967" s="66" t="s">
        <v>791</v>
      </c>
      <c r="U967" s="5"/>
      <c r="V967" s="5"/>
      <c r="W967" s="5"/>
      <c r="X967" s="5"/>
      <c r="Y967" s="5"/>
      <c r="Z967" s="46"/>
      <c r="AA967" s="1712"/>
      <c r="AB967" s="1460"/>
      <c r="AC967" s="1460"/>
      <c r="AD967" s="1460"/>
      <c r="AE967" s="1460"/>
      <c r="AF967" s="1460"/>
      <c r="AG967" s="171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712"/>
      <c r="N968" s="1460"/>
      <c r="O968" s="1460"/>
      <c r="P968" s="1460"/>
      <c r="Q968" s="1460"/>
      <c r="R968" s="1460"/>
      <c r="S968" s="1713"/>
      <c r="T968" s="66" t="s">
        <v>790</v>
      </c>
      <c r="U968" s="5"/>
      <c r="V968" s="5"/>
      <c r="W968" s="5"/>
      <c r="X968" s="5"/>
      <c r="Y968" s="5"/>
      <c r="Z968" s="46"/>
      <c r="AA968" s="1712"/>
      <c r="AB968" s="1460"/>
      <c r="AC968" s="1460"/>
      <c r="AD968" s="1460"/>
      <c r="AE968" s="1460"/>
      <c r="AF968" s="1460"/>
      <c r="AG968" s="171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816" t="s">
        <v>592</v>
      </c>
      <c r="N969" s="1817"/>
      <c r="O969" s="1817"/>
      <c r="P969" s="1817"/>
      <c r="Q969" s="1817"/>
      <c r="R969" s="1817"/>
      <c r="S969" s="1818"/>
      <c r="T969" s="45" t="s">
        <v>337</v>
      </c>
      <c r="U969" s="5"/>
      <c r="V969" s="5"/>
      <c r="W969" s="5"/>
      <c r="X969" s="5"/>
      <c r="Y969" s="5"/>
      <c r="Z969" s="46"/>
      <c r="AA969" s="1712"/>
      <c r="AB969" s="1460"/>
      <c r="AC969" s="1460"/>
      <c r="AD969" s="1460"/>
      <c r="AE969" s="1460"/>
      <c r="AF969" s="1460"/>
      <c r="AG969" s="171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712"/>
      <c r="N970" s="1460"/>
      <c r="O970" s="1460"/>
      <c r="P970" s="1460"/>
      <c r="Q970" s="1460"/>
      <c r="R970" s="1460"/>
      <c r="S970" s="1713"/>
      <c r="T970" s="45" t="s">
        <v>338</v>
      </c>
      <c r="U970" s="5"/>
      <c r="V970" s="5"/>
      <c r="W970" s="5"/>
      <c r="X970" s="5"/>
      <c r="Y970" s="5"/>
      <c r="Z970" s="46"/>
      <c r="AA970" s="1712"/>
      <c r="AB970" s="1460"/>
      <c r="AC970" s="1460"/>
      <c r="AD970" s="1460"/>
      <c r="AE970" s="1460"/>
      <c r="AF970" s="1460"/>
      <c r="AG970" s="171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712"/>
      <c r="N971" s="1460"/>
      <c r="O971" s="1460"/>
      <c r="P971" s="1460"/>
      <c r="Q971" s="1460"/>
      <c r="R971" s="1460"/>
      <c r="S971" s="1713"/>
      <c r="T971" s="45" t="s">
        <v>376</v>
      </c>
      <c r="U971" s="5"/>
      <c r="V971" s="5"/>
      <c r="W971" s="5"/>
      <c r="X971" s="5"/>
      <c r="Y971" s="5"/>
      <c r="Z971" s="46"/>
      <c r="AA971" s="1712"/>
      <c r="AB971" s="1460"/>
      <c r="AC971" s="1460"/>
      <c r="AD971" s="1460"/>
      <c r="AE971" s="1460"/>
      <c r="AF971" s="1460"/>
      <c r="AG971" s="171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0" t="s">
        <v>307</v>
      </c>
      <c r="N972" s="1811"/>
      <c r="O972" s="1811"/>
      <c r="P972" s="1811"/>
      <c r="Q972" s="1811"/>
      <c r="R972" s="1811"/>
      <c r="S972" s="1812"/>
      <c r="T972" s="1768"/>
      <c r="U972" s="1769"/>
      <c r="V972" s="1769"/>
      <c r="W972" s="1769"/>
      <c r="X972" s="1769"/>
      <c r="Y972" s="1769"/>
      <c r="Z972" s="1770"/>
      <c r="AA972" s="1712"/>
      <c r="AB972" s="1460"/>
      <c r="AC972" s="1460"/>
      <c r="AD972" s="1460"/>
      <c r="AE972" s="1460"/>
      <c r="AF972" s="1460"/>
      <c r="AG972" s="171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712"/>
      <c r="N973" s="1460"/>
      <c r="O973" s="1460"/>
      <c r="P973" s="1460"/>
      <c r="Q973" s="1460"/>
      <c r="R973" s="1460"/>
      <c r="S973" s="1713"/>
      <c r="T973" s="1768"/>
      <c r="U973" s="1769"/>
      <c r="V973" s="1769"/>
      <c r="W973" s="1769"/>
      <c r="X973" s="1769"/>
      <c r="Y973" s="1769"/>
      <c r="Z973" s="1770"/>
      <c r="AA973" s="1712"/>
      <c r="AB973" s="1460"/>
      <c r="AC973" s="1460"/>
      <c r="AD973" s="1460"/>
      <c r="AE973" s="1460"/>
      <c r="AF973" s="1460"/>
      <c r="AG973" s="171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446" t="s">
        <v>670</v>
      </c>
      <c r="P974" s="1447"/>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18" t="s">
        <v>33</v>
      </c>
      <c r="G975" s="1491"/>
      <c r="H975" s="1491"/>
      <c r="I975" s="1491"/>
      <c r="J975" s="1491"/>
      <c r="K975" s="1491"/>
      <c r="L975" s="1491"/>
      <c r="M975" s="1712"/>
      <c r="N975" s="1460"/>
      <c r="O975" s="1460"/>
      <c r="P975" s="1460"/>
      <c r="Q975" s="1460"/>
      <c r="R975" s="1460"/>
      <c r="S975" s="1713"/>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54" t="s">
        <v>549</v>
      </c>
      <c r="B979" s="1554"/>
      <c r="C979" s="1554"/>
      <c r="D979" s="1554"/>
      <c r="E979" s="1554"/>
      <c r="F979" s="1554"/>
      <c r="G979" s="1554"/>
      <c r="H979" s="1554"/>
      <c r="I979" s="1554"/>
      <c r="J979" s="1554"/>
      <c r="K979" s="1554"/>
      <c r="L979" s="1554"/>
      <c r="M979" s="1554"/>
      <c r="N979" s="1554"/>
      <c r="O979" s="1554"/>
      <c r="P979" s="1554"/>
      <c r="Q979" s="1554"/>
      <c r="R979" s="1554"/>
      <c r="S979" s="1554"/>
      <c r="T979" s="1554"/>
      <c r="U979" s="1554"/>
      <c r="V979" s="1554"/>
      <c r="W979" s="1554"/>
      <c r="X979" s="1554"/>
      <c r="Y979" s="1554"/>
      <c r="Z979" s="1554"/>
      <c r="AA979" s="1554"/>
      <c r="AB979" s="1554"/>
      <c r="AC979" s="1554"/>
      <c r="AD979" s="1554"/>
      <c r="AE979" s="1554"/>
      <c r="AF979" s="1554"/>
      <c r="AG979" s="1554"/>
      <c r="AH979" s="1554"/>
      <c r="AI979" s="1554"/>
      <c r="AJ979" s="1554"/>
      <c r="AK979" s="1554"/>
      <c r="AL979" s="1554"/>
      <c r="AM979" s="1554"/>
      <c r="AN979" s="1554"/>
      <c r="AO979" s="1554"/>
      <c r="AP979" s="1554"/>
      <c r="AQ979" s="1554"/>
      <c r="AR979" s="1554"/>
      <c r="AS979" s="1554"/>
      <c r="AT979" s="1554"/>
      <c r="AU979" s="68"/>
      <c r="AV979" s="68"/>
      <c r="AW979" s="68"/>
      <c r="AX979" s="68"/>
      <c r="AY979" s="68"/>
      <c r="AZ979" s="14"/>
      <c r="BA979" s="14"/>
      <c r="BB979" s="912"/>
      <c r="BC979" s="912"/>
    </row>
    <row r="980" spans="1:64" ht="12.95" customHeight="1">
      <c r="A980" s="1554"/>
      <c r="B980" s="1554"/>
      <c r="C980" s="1554"/>
      <c r="D980" s="1554"/>
      <c r="E980" s="1554"/>
      <c r="F980" s="1554"/>
      <c r="G980" s="1554"/>
      <c r="H980" s="1554"/>
      <c r="I980" s="1554"/>
      <c r="J980" s="1554"/>
      <c r="K980" s="1554"/>
      <c r="L980" s="1554"/>
      <c r="M980" s="1554"/>
      <c r="N980" s="1554"/>
      <c r="O980" s="1554"/>
      <c r="P980" s="1554"/>
      <c r="Q980" s="1554"/>
      <c r="R980" s="1554"/>
      <c r="S980" s="1554"/>
      <c r="T980" s="1554"/>
      <c r="U980" s="1554"/>
      <c r="V980" s="1554"/>
      <c r="W980" s="1554"/>
      <c r="X980" s="1554"/>
      <c r="Y980" s="1554"/>
      <c r="Z980" s="1554"/>
      <c r="AA980" s="1554"/>
      <c r="AB980" s="1554"/>
      <c r="AC980" s="1554"/>
      <c r="AD980" s="1554"/>
      <c r="AE980" s="1554"/>
      <c r="AF980" s="1554"/>
      <c r="AG980" s="1554"/>
      <c r="AH980" s="1554"/>
      <c r="AI980" s="1554"/>
      <c r="AJ980" s="1554"/>
      <c r="AK980" s="1554"/>
      <c r="AL980" s="1554"/>
      <c r="AM980" s="1554"/>
      <c r="AN980" s="1554"/>
      <c r="AO980" s="1554"/>
      <c r="AP980" s="1554"/>
      <c r="AQ980" s="1554"/>
      <c r="AR980" s="1554"/>
      <c r="AS980" s="1554"/>
      <c r="AT980" s="1554"/>
      <c r="AU980" s="68"/>
      <c r="AV980" s="68"/>
      <c r="AW980" s="68"/>
      <c r="AX980" s="68"/>
      <c r="AY980" s="68"/>
      <c r="AZ980" s="30"/>
      <c r="BA980" s="14"/>
      <c r="BB980" s="14"/>
      <c r="BC980" s="14"/>
    </row>
    <row r="981" spans="1:64" ht="12.95" customHeight="1">
      <c r="A981" s="1554"/>
      <c r="B981" s="1554"/>
      <c r="C981" s="1554"/>
      <c r="D981" s="1554"/>
      <c r="E981" s="1554"/>
      <c r="F981" s="1554"/>
      <c r="G981" s="1554"/>
      <c r="H981" s="1554"/>
      <c r="I981" s="1554"/>
      <c r="J981" s="1554"/>
      <c r="K981" s="1554"/>
      <c r="L981" s="1554"/>
      <c r="M981" s="1554"/>
      <c r="N981" s="1554"/>
      <c r="O981" s="1554"/>
      <c r="P981" s="1554"/>
      <c r="Q981" s="1554"/>
      <c r="R981" s="1554"/>
      <c r="S981" s="1554"/>
      <c r="T981" s="1554"/>
      <c r="U981" s="1554"/>
      <c r="V981" s="1554"/>
      <c r="W981" s="1554"/>
      <c r="X981" s="1554"/>
      <c r="Y981" s="1554"/>
      <c r="Z981" s="1554"/>
      <c r="AA981" s="1554"/>
      <c r="AB981" s="1554"/>
      <c r="AC981" s="1554"/>
      <c r="AD981" s="1554"/>
      <c r="AE981" s="1554"/>
      <c r="AF981" s="1554"/>
      <c r="AG981" s="1554"/>
      <c r="AH981" s="1554"/>
      <c r="AI981" s="1554"/>
      <c r="AJ981" s="1554"/>
      <c r="AK981" s="1554"/>
      <c r="AL981" s="1554"/>
      <c r="AM981" s="1554"/>
      <c r="AN981" s="1554"/>
      <c r="AO981" s="1554"/>
      <c r="AP981" s="1554"/>
      <c r="AQ981" s="1554"/>
      <c r="AR981" s="1554"/>
      <c r="AS981" s="1554"/>
      <c r="AT981" s="155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6" t="s">
        <v>639</v>
      </c>
      <c r="E985" s="1797"/>
      <c r="F985" s="1797"/>
      <c r="G985" s="1797"/>
      <c r="H985" s="1797"/>
      <c r="I985" s="1797"/>
      <c r="J985" s="1797"/>
      <c r="K985" s="1797"/>
      <c r="L985" s="1797"/>
      <c r="M985" s="1797"/>
      <c r="N985" s="1797"/>
      <c r="O985" s="1797"/>
      <c r="P985" s="1797"/>
      <c r="Q985" s="1798"/>
      <c r="R985" s="1796" t="s">
        <v>640</v>
      </c>
      <c r="S985" s="1797"/>
      <c r="T985" s="1797"/>
      <c r="U985" s="1797"/>
      <c r="V985" s="1797"/>
      <c r="W985" s="1797"/>
      <c r="X985" s="1797"/>
      <c r="Y985" s="1797"/>
      <c r="Z985" s="1797"/>
      <c r="AA985" s="1798"/>
      <c r="AB985" s="1796" t="s">
        <v>641</v>
      </c>
      <c r="AC985" s="1797"/>
      <c r="AD985" s="1797"/>
      <c r="AE985" s="1797"/>
      <c r="AF985" s="1797"/>
      <c r="AG985" s="1797"/>
      <c r="AH985" s="1797"/>
      <c r="AI985" s="1798"/>
      <c r="AJ985" s="1796" t="s">
        <v>642</v>
      </c>
      <c r="AK985" s="1797"/>
      <c r="AL985" s="1797"/>
      <c r="AM985" s="1797"/>
      <c r="AN985" s="1797"/>
      <c r="AO985" s="1797"/>
      <c r="AP985" s="1797"/>
      <c r="AQ985" s="1798"/>
      <c r="AR985" s="68"/>
      <c r="AS985" s="68"/>
      <c r="AT985" s="68"/>
      <c r="AU985" s="68"/>
      <c r="AV985" s="68"/>
      <c r="AW985" s="68"/>
      <c r="AX985" s="68"/>
      <c r="AY985" s="68"/>
      <c r="AZ985" s="30"/>
      <c r="BB985" s="14"/>
      <c r="BC985" s="14"/>
    </row>
    <row r="986" spans="1:64" ht="12.95" customHeight="1">
      <c r="A986" s="14"/>
      <c r="B986" s="73"/>
      <c r="C986" s="929"/>
      <c r="D986" s="1687" t="s">
        <v>634</v>
      </c>
      <c r="E986" s="1688"/>
      <c r="F986" s="1688"/>
      <c r="G986" s="1688"/>
      <c r="H986" s="1688"/>
      <c r="I986" s="1688"/>
      <c r="J986" s="1688"/>
      <c r="K986" s="1688"/>
      <c r="L986" s="1688"/>
      <c r="M986" s="1688"/>
      <c r="N986" s="1688"/>
      <c r="O986" s="1688"/>
      <c r="P986" s="1688"/>
      <c r="Q986" s="1689"/>
      <c r="R986" s="1789">
        <f>IF(ISNA(IF($CU$122="4%",(INDEX($CS$160:$CW$217,MATCH($DG$122,$CR$160:$CR$217,0),MATCH(D986,$CS$159:$CW$159,0))),(INDEX($CZ$160:$DD$217,MATCH($DG$122,$CY$160:$CY$217,0),MATCH(D986,$CZ$159:$DD$159,0))))),0,IF($CU$122="4%",(INDEX($CS$160:$CW$217,MATCH($DG$122,$CR$160:$CR$217,0),MATCH(D986,$CS$159:$CW$159,0))),(INDEX($CZ$160:$DD$217,MATCH($DG$122,$CY$160:$CY$217,0),MATCH(D986,$CZ$159:$DD$159,0)))))</f>
        <v>384234</v>
      </c>
      <c r="S986" s="1789"/>
      <c r="T986" s="1789"/>
      <c r="U986" s="1789"/>
      <c r="V986" s="1789"/>
      <c r="W986" s="1789"/>
      <c r="X986" s="1789"/>
      <c r="Y986" s="1789"/>
      <c r="Z986" s="1789"/>
      <c r="AA986" s="1789"/>
      <c r="AB986" s="1786">
        <f>CP802</f>
        <v>30</v>
      </c>
      <c r="AC986" s="1787"/>
      <c r="AD986" s="1787"/>
      <c r="AE986" s="1787"/>
      <c r="AF986" s="1787"/>
      <c r="AG986" s="1787"/>
      <c r="AH986" s="1787"/>
      <c r="AI986" s="1788"/>
      <c r="AJ986" s="1720">
        <f>IF(ISERROR((R986*AB986)),0,(R986*AB986))</f>
        <v>11527020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687" t="s">
        <v>325</v>
      </c>
      <c r="E987" s="1688"/>
      <c r="F987" s="1688"/>
      <c r="G987" s="1688"/>
      <c r="H987" s="1688"/>
      <c r="I987" s="1688"/>
      <c r="J987" s="1688"/>
      <c r="K987" s="1688"/>
      <c r="L987" s="1688"/>
      <c r="M987" s="1688"/>
      <c r="N987" s="1688"/>
      <c r="O987" s="1688"/>
      <c r="P987" s="1688"/>
      <c r="Q987" s="1689"/>
      <c r="R987" s="1789">
        <f>IF(ISNA(IF($CU$122="4%",(INDEX($CS$160:$CW$217,MATCH($DG$122,$CR$160:$CR$217,0),MATCH(D987,$CS$159:$CW$159,0))),(INDEX($CZ$160:$DD$217,MATCH($DG$122,$CY$160:$CY$217,0),MATCH(D987,$CZ$159:$DD$159,0))))),0,IF($CU$122="4%",(INDEX($CS$160:$CW$217,MATCH($DG$122,$CR$160:$CR$217,0),MATCH(D987,$CS$159:$CW$159,0))),(INDEX($CZ$160:$DD$217,MATCH($DG$122,$CY$160:$CY$217,0),MATCH(D987,$CZ$159:$DD$159,0)))))</f>
        <v>443018</v>
      </c>
      <c r="S987" s="1789"/>
      <c r="T987" s="1789"/>
      <c r="U987" s="1789"/>
      <c r="V987" s="1789"/>
      <c r="W987" s="1789"/>
      <c r="X987" s="1789"/>
      <c r="Y987" s="1789"/>
      <c r="Z987" s="1789"/>
      <c r="AA987" s="1789"/>
      <c r="AB987" s="1786">
        <f>CU802</f>
        <v>24</v>
      </c>
      <c r="AC987" s="1787"/>
      <c r="AD987" s="1787"/>
      <c r="AE987" s="1787"/>
      <c r="AF987" s="1787"/>
      <c r="AG987" s="1787"/>
      <c r="AH987" s="1787"/>
      <c r="AI987" s="1788"/>
      <c r="AJ987" s="1720">
        <f>IF(ISERROR((R987*AB987)),0,(R987*AB987))</f>
        <v>10632432</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687" t="s">
        <v>163</v>
      </c>
      <c r="E988" s="1688"/>
      <c r="F988" s="1688"/>
      <c r="G988" s="1688"/>
      <c r="H988" s="1688"/>
      <c r="I988" s="1688"/>
      <c r="J988" s="1688"/>
      <c r="K988" s="1688"/>
      <c r="L988" s="1688"/>
      <c r="M988" s="1688"/>
      <c r="N988" s="1688"/>
      <c r="O988" s="1688"/>
      <c r="P988" s="1688"/>
      <c r="Q988" s="1689"/>
      <c r="R988" s="1789">
        <f>IF(ISNA(IF($CU$122="4%",(INDEX($CS$160:$CW$217,MATCH($DG$122,$CR$160:$CR$217,0),MATCH(D988,$CS$159:$CW$159,0))),(INDEX($CZ$160:$DD$217,MATCH($DG$122,$CY$160:$CY$217,0),MATCH(D988,$CZ$159:$DD$159,0))))),0,IF($CU$122="4%",(INDEX($CS$160:$CW$217,MATCH($DG$122,$CR$160:$CR$217,0),MATCH(D988,$CS$159:$CW$159,0))),(INDEX($CZ$160:$DD$217,MATCH($DG$122,$CY$160:$CY$217,0),MATCH(D988,$CZ$159:$DD$159,0)))))</f>
        <v>534400</v>
      </c>
      <c r="S988" s="1789"/>
      <c r="T988" s="1789"/>
      <c r="U988" s="1789"/>
      <c r="V988" s="1789"/>
      <c r="W988" s="1789"/>
      <c r="X988" s="1789"/>
      <c r="Y988" s="1789"/>
      <c r="Z988" s="1789"/>
      <c r="AA988" s="1789"/>
      <c r="AB988" s="1786">
        <f>CZ802</f>
        <v>31</v>
      </c>
      <c r="AC988" s="1787"/>
      <c r="AD988" s="1787"/>
      <c r="AE988" s="1787"/>
      <c r="AF988" s="1787"/>
      <c r="AG988" s="1787"/>
      <c r="AH988" s="1787"/>
      <c r="AI988" s="1788"/>
      <c r="AJ988" s="1720">
        <f>IF(ISERROR((R988*AB988)),0,(R988*AB988))</f>
        <v>16566400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687" t="s">
        <v>164</v>
      </c>
      <c r="E989" s="1688"/>
      <c r="F989" s="1688"/>
      <c r="G989" s="1688"/>
      <c r="H989" s="1688"/>
      <c r="I989" s="1688"/>
      <c r="J989" s="1688"/>
      <c r="K989" s="1688"/>
      <c r="L989" s="1688"/>
      <c r="M989" s="1688"/>
      <c r="N989" s="1688"/>
      <c r="O989" s="1688"/>
      <c r="P989" s="1688"/>
      <c r="Q989" s="1689"/>
      <c r="R989" s="1789">
        <f>IF(ISNA(IF($CU$122="4%",(INDEX($CS$160:$CW$217,MATCH($DG$122,$CR$160:$CR$217,0),MATCH(D989,$CS$159:$CW$159,0))),(INDEX($CZ$160:$DD$217,MATCH($DG$122,$CY$160:$CY$217,0),MATCH(D989,$CZ$159:$DD$159,0))))),0,IF($CU$122="4%",(INDEX($CS$160:$CW$217,MATCH($DG$122,$CR$160:$CR$217,0),MATCH(D989,$CS$159:$CW$159,0))),(INDEX($CZ$160:$DD$217,MATCH($DG$122,$CY$160:$CY$217,0),MATCH(D989,$CZ$159:$DD$159,0)))))</f>
        <v>684032</v>
      </c>
      <c r="S989" s="1789"/>
      <c r="T989" s="1789"/>
      <c r="U989" s="1789"/>
      <c r="V989" s="1789"/>
      <c r="W989" s="1789"/>
      <c r="X989" s="1789"/>
      <c r="Y989" s="1789"/>
      <c r="Z989" s="1789"/>
      <c r="AA989" s="1789"/>
      <c r="AB989" s="1786">
        <f>DE802</f>
        <v>30</v>
      </c>
      <c r="AC989" s="1787"/>
      <c r="AD989" s="1787"/>
      <c r="AE989" s="1787"/>
      <c r="AF989" s="1787"/>
      <c r="AG989" s="1787"/>
      <c r="AH989" s="1787"/>
      <c r="AI989" s="1788"/>
      <c r="AJ989" s="1720">
        <f>IF(ISERROR((R989*AB989)),0,(R989*AB989))</f>
        <v>20520960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687" t="s">
        <v>461</v>
      </c>
      <c r="E990" s="1688"/>
      <c r="F990" s="1688"/>
      <c r="G990" s="1688"/>
      <c r="H990" s="1688"/>
      <c r="I990" s="1688"/>
      <c r="J990" s="1688"/>
      <c r="K990" s="1688"/>
      <c r="L990" s="1688"/>
      <c r="M990" s="1688"/>
      <c r="N990" s="1688"/>
      <c r="O990" s="1688"/>
      <c r="P990" s="1688"/>
      <c r="Q990" s="1689"/>
      <c r="R990" s="1789">
        <f>IF(ISNA(IF($CU$122="4%",(INDEX($CS$160:$CW$217,MATCH($DG$122,$CR$160:$CR$217,0),MATCH(D990,$CS$159:$CW$159,0))),(INDEX($CZ$160:$DD$217,MATCH($DG$122,$CY$160:$CY$217,0),MATCH(D990,$CZ$159:$DD$159,0))))),0,IF($CU$122="4%",(INDEX($CS$160:$CW$217,MATCH($DG$122,$CR$160:$CR$217,0),MATCH(D990,$CS$159:$CW$159,0))),(INDEX($CZ$160:$DD$217,MATCH($DG$122,$CY$160:$CY$217,0),MATCH(D990,$CZ$159:$DD$159,0)))))</f>
        <v>762054</v>
      </c>
      <c r="S990" s="1789"/>
      <c r="T990" s="1789"/>
      <c r="U990" s="1789"/>
      <c r="V990" s="1789"/>
      <c r="W990" s="1789"/>
      <c r="X990" s="1789"/>
      <c r="Y990" s="1789"/>
      <c r="Z990" s="1789"/>
      <c r="AA990" s="1789"/>
      <c r="AB990" s="1786">
        <f>DO802+DJ802</f>
        <v>0</v>
      </c>
      <c r="AC990" s="1787"/>
      <c r="AD990" s="1787"/>
      <c r="AE990" s="1787"/>
      <c r="AF990" s="1787"/>
      <c r="AG990" s="1787"/>
      <c r="AH990" s="1787"/>
      <c r="AI990" s="1788"/>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115</v>
      </c>
      <c r="AC991" s="1787"/>
      <c r="AD991" s="1787"/>
      <c r="AE991" s="1787"/>
      <c r="AF991" s="1787"/>
      <c r="AG991" s="1787"/>
      <c r="AH991" s="1787"/>
      <c r="AI991" s="1788"/>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799" t="s">
        <v>513</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0">
        <f>SUM(AJ986:AQ990)</f>
        <v>59246812</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1" t="s">
        <v>667</v>
      </c>
      <c r="AG993" s="1832"/>
      <c r="AH993" s="1832"/>
      <c r="AI993" s="1833"/>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2.95" customHeight="1">
      <c r="A994" s="14"/>
      <c r="B994" s="73"/>
      <c r="C994" s="927" t="s">
        <v>669</v>
      </c>
      <c r="D994" s="1740" t="s">
        <v>1221</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4" t="s">
        <v>546</v>
      </c>
      <c r="AH994" s="1835"/>
      <c r="AI994" s="87"/>
      <c r="AJ994" s="1731">
        <f>ROUND(IF(AND(AG994="yes",D1000&gt;0),AJ992*0.2,0),0)</f>
        <v>11849362</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2.95" customHeight="1">
      <c r="A995" s="14"/>
      <c r="B995" s="257"/>
      <c r="C995" s="256"/>
      <c r="D995" s="1774" t="s">
        <v>2235</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2.95" customHeight="1">
      <c r="A996" s="14"/>
      <c r="B996" s="257"/>
      <c r="C996" s="256"/>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2.95" customHeight="1">
      <c r="A997" s="14"/>
      <c r="B997" s="257"/>
      <c r="C997" s="256"/>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2.95" customHeight="1">
      <c r="A998" s="14"/>
      <c r="B998" s="257"/>
      <c r="C998" s="256"/>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2.95" customHeight="1">
      <c r="A999" s="14"/>
      <c r="B999" s="257"/>
      <c r="C999" s="256"/>
      <c r="D999" s="1777" t="s">
        <v>2206</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2.95" customHeight="1">
      <c r="A1000" s="14"/>
      <c r="B1000" s="257"/>
      <c r="C1000" s="256"/>
      <c r="D1000" s="1746" t="s">
        <v>2199</v>
      </c>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2.95" customHeight="1">
      <c r="A1001" s="14"/>
      <c r="B1001" s="255"/>
      <c r="C1001" s="318"/>
      <c r="D1001" s="1771" t="s">
        <v>1287</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2.95" customHeight="1">
      <c r="A1002" s="14"/>
      <c r="B1002" s="257"/>
      <c r="C1002" s="82"/>
      <c r="D1002" s="1774" t="s">
        <v>1285</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2.95" customHeight="1">
      <c r="A1003" s="14"/>
      <c r="B1003" s="257"/>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113</v>
      </c>
      <c r="AZ1003" s="34"/>
      <c r="BB1003" s="34"/>
    </row>
    <row r="1004" spans="1:55" ht="12.95" customHeight="1">
      <c r="A1004" s="14"/>
      <c r="B1004" s="257"/>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2.95" customHeight="1">
      <c r="A1005" s="14"/>
      <c r="B1005" s="257"/>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0.56999999999999995</v>
      </c>
      <c r="AZ1005" s="34"/>
      <c r="BB1005" s="34"/>
    </row>
    <row r="1006" spans="1:55" ht="12.95"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0.25</v>
      </c>
      <c r="AZ1006" s="34"/>
      <c r="BB1006" s="34"/>
    </row>
    <row r="1007" spans="1:55" ht="12.95" customHeight="1">
      <c r="A1007" s="14"/>
      <c r="B1007" s="255"/>
      <c r="C1007" s="80" t="s">
        <v>673</v>
      </c>
      <c r="D1007" s="1771" t="s">
        <v>1684</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546</v>
      </c>
      <c r="AH1007" s="1758"/>
      <c r="AI1007" s="87"/>
      <c r="AJ1007" s="1731">
        <f>ROUND(IF(AG1007="yes",AJ992*0.1,0),0)</f>
        <v>5924681</v>
      </c>
      <c r="AK1007" s="1732"/>
      <c r="AL1007" s="1732"/>
      <c r="AM1007" s="1732"/>
      <c r="AN1007" s="1732"/>
      <c r="AO1007" s="1732"/>
      <c r="AP1007" s="1732"/>
      <c r="AQ1007" s="1733"/>
      <c r="AR1007" s="68"/>
      <c r="AS1007" s="68"/>
      <c r="AT1007" s="68"/>
      <c r="AU1007" s="68"/>
      <c r="AV1007" s="68"/>
      <c r="AW1007" s="68"/>
      <c r="AX1007" s="68"/>
      <c r="BB1007" s="34"/>
    </row>
    <row r="1008" spans="1:55" ht="12.95" customHeight="1">
      <c r="A1008" s="14"/>
      <c r="B1008" s="73"/>
      <c r="C1008" s="74"/>
      <c r="D1008" s="1699" t="s">
        <v>1286</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2.95"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2.95" customHeight="1">
      <c r="A1011" s="14"/>
      <c r="B1011" s="79"/>
      <c r="C1011" s="80" t="s">
        <v>212</v>
      </c>
      <c r="D1011" s="1771" t="s">
        <v>1288</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1289</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1842</v>
      </c>
      <c r="AZ1012" s="3" t="s">
        <v>2607</v>
      </c>
    </row>
    <row r="1013" spans="1:52" ht="12.95" customHeight="1">
      <c r="A1013" s="14"/>
      <c r="B1013" s="79"/>
      <c r="C1013" s="80" t="s">
        <v>215</v>
      </c>
      <c r="D1013" s="1771" t="s">
        <v>1290</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9" t="s">
        <v>1291</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3" t="str">
        <f>IF(AND(AG1013="yes",T212&lt;&gt;1),"The project may not be eligible for this boost","")</f>
        <v/>
      </c>
      <c r="AG1014" s="1854"/>
      <c r="AH1014" s="1854"/>
      <c r="AI1014" s="1855"/>
      <c r="AJ1014" s="1734"/>
      <c r="AK1014" s="1735"/>
      <c r="AL1014" s="1735"/>
      <c r="AM1014" s="1735"/>
      <c r="AN1014" s="1735"/>
      <c r="AO1014" s="1735"/>
      <c r="AP1014" s="1735"/>
      <c r="AQ1014" s="1736"/>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6"/>
      <c r="AG1015" s="1857"/>
      <c r="AH1015" s="1857"/>
      <c r="AI1015" s="1858"/>
      <c r="AJ1015" s="1737"/>
      <c r="AK1015" s="1738"/>
      <c r="AL1015" s="1738"/>
      <c r="AM1015" s="1738"/>
      <c r="AN1015" s="1738"/>
      <c r="AO1015" s="1738"/>
      <c r="AP1015" s="1738"/>
      <c r="AQ1015" s="1739"/>
      <c r="AR1015" s="68"/>
      <c r="AS1015" s="68"/>
      <c r="AT1015" s="68"/>
      <c r="AU1015" s="68"/>
      <c r="AV1015" s="68"/>
      <c r="AW1015" s="68"/>
      <c r="AX1015" s="3">
        <v>3</v>
      </c>
      <c r="AY1015" s="200">
        <f t="shared" si="54"/>
        <v>0</v>
      </c>
      <c r="AZ1015" s="1255">
        <v>0.05</v>
      </c>
    </row>
    <row r="1016" spans="1:52" ht="12.95" customHeight="1">
      <c r="A1016" s="14"/>
      <c r="B1016" s="79"/>
      <c r="C1016" s="80" t="s">
        <v>218</v>
      </c>
      <c r="D1016" s="1740" t="s">
        <v>2236</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f t="shared" si="54"/>
        <v>0</v>
      </c>
      <c r="AZ1016" s="1255">
        <v>0.02</v>
      </c>
    </row>
    <row r="1017" spans="1:52" ht="12.95" customHeight="1">
      <c r="A1017" s="14"/>
      <c r="B1017" s="73"/>
      <c r="C1017" s="74"/>
      <c r="D1017" s="1699" t="s">
        <v>1292</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7" t="str">
        <f>IF(AND(AG1016="Yes",AY1024=0),AY1027,"")</f>
        <v/>
      </c>
      <c r="AG1017" s="1848"/>
      <c r="AH1017" s="1848"/>
      <c r="AI1017" s="1849"/>
      <c r="AJ1017" s="1734"/>
      <c r="AK1017" s="1735"/>
      <c r="AL1017" s="1735"/>
      <c r="AM1017" s="1735"/>
      <c r="AN1017" s="1735"/>
      <c r="AO1017" s="1735"/>
      <c r="AP1017" s="1735"/>
      <c r="AQ1017" s="1736"/>
      <c r="AR1017" s="68"/>
      <c r="AS1017" s="68"/>
      <c r="AT1017" s="68"/>
      <c r="AU1017" s="68"/>
      <c r="AV1017" s="68"/>
      <c r="AW1017" s="68"/>
      <c r="AX1017" s="3">
        <v>5</v>
      </c>
      <c r="AY1017" s="200">
        <f t="shared" si="54"/>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7"/>
      <c r="AG1018" s="1848"/>
      <c r="AH1018" s="1848"/>
      <c r="AI1018" s="1849"/>
      <c r="AJ1018" s="1734"/>
      <c r="AK1018" s="1735"/>
      <c r="AL1018" s="1735"/>
      <c r="AM1018" s="1735"/>
      <c r="AN1018" s="1735"/>
      <c r="AO1018" s="1735"/>
      <c r="AP1018" s="1735"/>
      <c r="AQ1018" s="1736"/>
      <c r="AR1018" s="68"/>
      <c r="AS1018" s="68"/>
      <c r="AT1018" s="68"/>
      <c r="AU1018" s="68"/>
      <c r="AV1018" s="68"/>
      <c r="AW1018" s="68"/>
      <c r="AX1018" s="3">
        <v>6</v>
      </c>
      <c r="AY1018" s="200">
        <f t="shared" si="54"/>
        <v>0</v>
      </c>
      <c r="AZ1018" s="1255">
        <v>0.04</v>
      </c>
    </row>
    <row r="1019" spans="1:52" ht="12.95"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0"/>
      <c r="AG1019" s="1851"/>
      <c r="AH1019" s="1851"/>
      <c r="AI1019" s="1852"/>
      <c r="AJ1019" s="1737"/>
      <c r="AK1019" s="1738"/>
      <c r="AL1019" s="1738"/>
      <c r="AM1019" s="1738"/>
      <c r="AN1019" s="1738"/>
      <c r="AO1019" s="1738"/>
      <c r="AP1019" s="1738"/>
      <c r="AQ1019" s="1739"/>
      <c r="AR1019" s="68"/>
      <c r="AS1019" s="68"/>
      <c r="AT1019" s="68"/>
      <c r="AU1019" s="68"/>
      <c r="AV1019" s="68"/>
      <c r="AW1019" s="68"/>
      <c r="AX1019" s="3">
        <v>7</v>
      </c>
      <c r="AY1019" s="200">
        <f t="shared" si="54"/>
        <v>0</v>
      </c>
      <c r="AZ1019" s="1255">
        <v>0.01</v>
      </c>
    </row>
    <row r="1020" spans="1:52" ht="12.95" customHeight="1">
      <c r="A1020" s="14"/>
      <c r="B1020" s="79"/>
      <c r="C1020" s="80" t="s">
        <v>223</v>
      </c>
      <c r="D1020" s="1819" t="s">
        <v>1293</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f t="shared" si="54"/>
        <v>0</v>
      </c>
      <c r="AZ1020" s="1255">
        <v>0.01</v>
      </c>
    </row>
    <row r="1021" spans="1:52" ht="12.95"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6" t="str">
        <f>IF(AG1020="yes","Please Select Type and Enter Amount:","")</f>
        <v/>
      </c>
      <c r="AG1021" s="1837"/>
      <c r="AH1021" s="1837"/>
      <c r="AI1021" s="1838"/>
      <c r="AJ1021" s="1734"/>
      <c r="AK1021" s="1735"/>
      <c r="AL1021" s="1735"/>
      <c r="AM1021" s="1735"/>
      <c r="AN1021" s="1735"/>
      <c r="AO1021" s="1735"/>
      <c r="AP1021" s="1735"/>
      <c r="AQ1021" s="1736"/>
      <c r="AR1021" s="68"/>
      <c r="AS1021" s="68"/>
      <c r="AT1021" s="68"/>
      <c r="AU1021" s="68"/>
      <c r="AV1021" s="68"/>
      <c r="AW1021" s="68"/>
      <c r="AX1021" s="3">
        <v>9</v>
      </c>
      <c r="AY1021" s="200">
        <f t="shared" si="54"/>
        <v>0</v>
      </c>
      <c r="AZ1021" s="1255">
        <v>0.01</v>
      </c>
    </row>
    <row r="1022" spans="1:52" ht="12.95" customHeight="1">
      <c r="A1022" s="14"/>
      <c r="B1022" s="81"/>
      <c r="C1022" s="84"/>
      <c r="D1022" s="1699" t="s">
        <v>1294</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6"/>
      <c r="AG1022" s="1837"/>
      <c r="AH1022" s="1837"/>
      <c r="AI1022" s="1838"/>
      <c r="AJ1022" s="1734"/>
      <c r="AK1022" s="1735"/>
      <c r="AL1022" s="1735"/>
      <c r="AM1022" s="1735"/>
      <c r="AN1022" s="1735"/>
      <c r="AO1022" s="1735"/>
      <c r="AP1022" s="1735"/>
      <c r="AQ1022" s="1736"/>
      <c r="AR1022" s="68"/>
      <c r="AS1022" s="68"/>
      <c r="AT1022" s="68"/>
      <c r="AU1022" s="68"/>
      <c r="AV1022" s="68"/>
      <c r="AW1022" s="68"/>
      <c r="AX1022" s="3">
        <v>10</v>
      </c>
      <c r="AY1022" s="200">
        <f t="shared" si="54"/>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828" t="s">
        <v>592</v>
      </c>
      <c r="K1024" s="1829"/>
      <c r="L1024" s="1829"/>
      <c r="M1024" s="1829"/>
      <c r="N1024" s="1829"/>
      <c r="O1024" s="1829"/>
      <c r="P1024" s="1829"/>
      <c r="Q1024" s="1829"/>
      <c r="R1024" s="1829"/>
      <c r="S1024" s="1829"/>
      <c r="T1024" s="1829"/>
      <c r="U1024" s="1829"/>
      <c r="V1024" s="1829"/>
      <c r="W1024" s="1829"/>
      <c r="X1024" s="1829"/>
      <c r="Y1024" s="1829"/>
      <c r="Z1024" s="1829"/>
      <c r="AA1024" s="1829"/>
      <c r="AB1024" s="1829"/>
      <c r="AC1024" s="1829"/>
      <c r="AD1024" s="1829"/>
      <c r="AE1024" s="1830"/>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771" t="s">
        <v>1295</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670</v>
      </c>
      <c r="AH1025" s="1758"/>
      <c r="AI1025" s="87"/>
      <c r="AJ1025" s="1731">
        <f>ROUND(IF(AG1025="Yes",AF1027,0),0)</f>
        <v>0</v>
      </c>
      <c r="AK1025" s="1732"/>
      <c r="AL1025" s="1732"/>
      <c r="AM1025" s="1732"/>
      <c r="AN1025" s="1732"/>
      <c r="AO1025" s="1732"/>
      <c r="AP1025" s="1732"/>
      <c r="AQ1025" s="1733"/>
      <c r="AR1025" s="68"/>
      <c r="AS1025" s="68"/>
      <c r="AT1025" s="68"/>
      <c r="AU1025" s="68"/>
      <c r="AV1025" s="68"/>
      <c r="AW1025" s="68"/>
      <c r="AX1025" s="68"/>
      <c r="AY1025" s="68"/>
    </row>
    <row r="1026" spans="1:57" ht="12.95" customHeight="1">
      <c r="A1026" s="14"/>
      <c r="B1026" s="73"/>
      <c r="C1026" s="74"/>
      <c r="D1026" s="1699" t="s">
        <v>1691</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5" t="str">
        <f>IF(AG1025="yes","Enter Amount:","")</f>
        <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80"/>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2.95" customHeight="1">
      <c r="A1029" s="14"/>
      <c r="B1029" s="79"/>
      <c r="C1029" s="80" t="s">
        <v>234</v>
      </c>
      <c r="D1029" s="1740" t="s">
        <v>1296</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546</v>
      </c>
      <c r="AH1029" s="1758"/>
      <c r="AI1029" s="87"/>
      <c r="AJ1029" s="1731">
        <f>ROUND(IF(AG1029="yes",(AJ992*0.1),0),0)</f>
        <v>5924681</v>
      </c>
      <c r="AK1029" s="1732"/>
      <c r="AL1029" s="1732"/>
      <c r="AM1029" s="1732"/>
      <c r="AN1029" s="1732"/>
      <c r="AO1029" s="1732"/>
      <c r="AP1029" s="1732"/>
      <c r="AQ1029" s="1733"/>
      <c r="AR1029" s="68"/>
      <c r="AS1029" s="68"/>
      <c r="AT1029" s="68"/>
      <c r="AU1029" s="68"/>
      <c r="AV1029" s="68"/>
      <c r="AW1029" s="68"/>
      <c r="AX1029" s="68"/>
      <c r="AY1029" s="68"/>
    </row>
    <row r="1030" spans="1:57" ht="12.95" customHeight="1">
      <c r="A1030" s="14"/>
      <c r="B1030" s="73"/>
      <c r="C1030" s="74"/>
      <c r="D1030" s="1699" t="s">
        <v>1297</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2.95"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2.95" customHeight="1">
      <c r="A1032" s="14"/>
      <c r="B1032" s="73"/>
      <c r="C1032" s="339" t="s">
        <v>688</v>
      </c>
      <c r="D1032" s="1771" t="s">
        <v>1687</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2.95" customHeight="1">
      <c r="A1033" s="14"/>
      <c r="B1033" s="73"/>
      <c r="C1033" s="74"/>
      <c r="D1033" s="180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6"/>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2.95" customHeight="1">
      <c r="A1034" s="14"/>
      <c r="B1034" s="73"/>
      <c r="C1034" s="74"/>
      <c r="D1034" s="180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6"/>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2.95" customHeight="1">
      <c r="A1036" s="14"/>
      <c r="B1036" s="73"/>
      <c r="C1036" s="339" t="s">
        <v>688</v>
      </c>
      <c r="D1036" s="1740" t="s">
        <v>1689</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546</v>
      </c>
      <c r="AH1036" s="1760"/>
      <c r="AI1036" s="83"/>
      <c r="AJ1036" s="1731">
        <f>ROUND(IF(AND(AG1036="yes",AJ1032=0),(AJ992*0.1),0),0)</f>
        <v>5924681</v>
      </c>
      <c r="AK1036" s="1732"/>
      <c r="AL1036" s="1732"/>
      <c r="AM1036" s="1732"/>
      <c r="AN1036" s="1732"/>
      <c r="AO1036" s="1732"/>
      <c r="AP1036" s="1732"/>
      <c r="AQ1036" s="1733"/>
      <c r="AR1036" s="68"/>
      <c r="AS1036" s="68"/>
      <c r="AT1036" s="68"/>
      <c r="AU1036" s="68"/>
      <c r="AV1036" s="68"/>
      <c r="AW1036" s="68"/>
      <c r="AX1036" s="68"/>
      <c r="AY1036" s="68"/>
    </row>
    <row r="1037" spans="1:57" ht="12.95" customHeight="1">
      <c r="A1037" s="14"/>
      <c r="B1037" s="73"/>
      <c r="C1037" s="74"/>
      <c r="D1037" s="180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6"/>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2.95" customHeight="1">
      <c r="A1038" s="14"/>
      <c r="B1038" s="73"/>
      <c r="C1038" s="74"/>
      <c r="D1038" s="180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6"/>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6"/>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0.83185840707964598</v>
      </c>
      <c r="BB1039" s="3" t="s">
        <v>2493</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71" t="s">
        <v>1298</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670</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29</v>
      </c>
      <c r="BB1041" s="3" t="s">
        <v>2491</v>
      </c>
    </row>
    <row r="1042" spans="1:56" ht="12.95" customHeight="1">
      <c r="A1042" s="14"/>
      <c r="B1042" s="73"/>
      <c r="C1042" s="74"/>
      <c r="D1042" s="1699" t="s">
        <v>2145</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0.25663716814159293</v>
      </c>
      <c r="BB1042" s="3" t="s">
        <v>2492</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2.95"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2.95" customHeight="1">
      <c r="A1045" s="14"/>
      <c r="B1045" s="79"/>
      <c r="C1045" s="131" t="s">
        <v>1685</v>
      </c>
      <c r="D1045" s="1740" t="s">
        <v>1865</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Yes</v>
      </c>
      <c r="AH1045" s="1756"/>
      <c r="AI1045" s="87"/>
      <c r="AJ1045" s="1731">
        <f>IF((X1048=0),0,AY1005*AJ992)</f>
        <v>33770682.839999996</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9" t="s">
        <v>1300</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12937920</v>
      </c>
      <c r="BA1046" s="1182">
        <f>IF(BA1040,20%,15%)</f>
        <v>0.15</v>
      </c>
      <c r="BB1046" s="3" t="s">
        <v>2479</v>
      </c>
      <c r="BC1046" s="3" t="s">
        <v>2480</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4">
        <f>AY1003</f>
        <v>113</v>
      </c>
      <c r="J1048" s="1795"/>
      <c r="K1048" s="7"/>
      <c r="L1048" s="133"/>
      <c r="M1048" s="133"/>
      <c r="N1048" s="133"/>
      <c r="O1048" s="133"/>
      <c r="P1048" s="133"/>
      <c r="Q1048" s="133"/>
      <c r="R1048" s="133"/>
      <c r="S1048" s="133"/>
      <c r="T1048" s="133"/>
      <c r="U1048" s="133"/>
      <c r="V1048" s="134" t="s">
        <v>974</v>
      </c>
      <c r="W1048" s="48"/>
      <c r="X1048" s="1792">
        <f>CI753</f>
        <v>65</v>
      </c>
      <c r="Y1048" s="1793"/>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71" t="s">
        <v>2171</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Yes</v>
      </c>
      <c r="AH1049" s="1756"/>
      <c r="AI1049" s="83"/>
      <c r="AJ1049" s="1731">
        <f>IF((X1052=0),0,(2*AY1006)*AJ992)</f>
        <v>29623406</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9" t="s">
        <v>1299</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4">
        <f>AY1003</f>
        <v>113</v>
      </c>
      <c r="J1052" s="1795"/>
      <c r="K1052" s="14"/>
      <c r="L1052" s="133"/>
      <c r="M1052" s="133"/>
      <c r="N1052" s="133"/>
      <c r="O1052" s="133"/>
      <c r="P1052" s="133"/>
      <c r="Q1052" s="133"/>
      <c r="R1052" s="133"/>
      <c r="S1052" s="133"/>
      <c r="T1052" s="133"/>
      <c r="U1052" s="133"/>
      <c r="V1052" s="134" t="s">
        <v>975</v>
      </c>
      <c r="X1052" s="1792">
        <f>CM753</f>
        <v>29</v>
      </c>
      <c r="Y1052" s="1793"/>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90" t="s">
        <v>514</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2">
        <f>SUM(AJ992:AQ1052)</f>
        <v>152264305.84</v>
      </c>
      <c r="AK1053" s="1803"/>
      <c r="AL1053" s="1803"/>
      <c r="AM1053" s="1803"/>
      <c r="AN1053" s="1803"/>
      <c r="AO1053" s="1803"/>
      <c r="AP1053" s="1803"/>
      <c r="AQ1053" s="1804"/>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70">
        <f>'Sources and Uses Budget'!S107+'Sources and Uses Budget'!T107</f>
        <v>99190720</v>
      </c>
      <c r="AB1056" s="1370"/>
      <c r="AC1056" s="1370"/>
      <c r="AD1056" s="1370"/>
      <c r="AE1056" s="1370"/>
      <c r="AF1056" s="137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12937920</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86">
        <f>IFERROR((AA1056-BA1059)/(AJ1053-AJ1045-AJ1049),"")</f>
        <v>0.99867878121643383</v>
      </c>
      <c r="AB1057" s="1387"/>
      <c r="AC1057" s="1387"/>
      <c r="AD1057" s="1387"/>
      <c r="AE1057" s="1387"/>
      <c r="AF1057" s="138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3"/>
      <c r="I1058" s="1353"/>
      <c r="J1058" s="1353"/>
      <c r="K1058" s="1353"/>
      <c r="L1058" s="1353"/>
      <c r="M1058" s="1353"/>
      <c r="N1058" s="1353"/>
      <c r="O1058" s="1353"/>
      <c r="P1058" s="1353"/>
      <c r="Q1058" s="1353"/>
      <c r="R1058" s="1353"/>
      <c r="S1058" s="1353"/>
      <c r="T1058" s="1353"/>
      <c r="U1058" s="1353"/>
      <c r="V1058" s="1353"/>
      <c r="W1058" s="1353"/>
      <c r="X1058" s="1353"/>
      <c r="Y1058" s="1353"/>
      <c r="Z1058" s="1353"/>
      <c r="AA1058" s="1353"/>
      <c r="AB1058" s="1353"/>
      <c r="AC1058" s="1353"/>
      <c r="AD1058" s="1353"/>
      <c r="AE1058" s="1353"/>
      <c r="AF1058" s="1353"/>
      <c r="AG1058" s="1353"/>
      <c r="AH1058" s="1353"/>
      <c r="AI1058" s="1353"/>
      <c r="AJ1058" s="1353"/>
      <c r="AK1058" s="1353"/>
      <c r="AL1058" s="1353"/>
      <c r="AM1058" s="1353"/>
      <c r="AN1058" s="1353"/>
      <c r="AO1058" s="68"/>
      <c r="AP1058" s="68"/>
      <c r="AQ1058" s="68"/>
      <c r="AR1058" s="68"/>
      <c r="AS1058" s="68"/>
      <c r="AT1058" s="68"/>
      <c r="AU1058" s="68"/>
      <c r="AV1058" s="14"/>
      <c r="AW1058" s="14"/>
      <c r="AX1058" s="14"/>
      <c r="AY1058" s="14"/>
      <c r="BA1058" s="1185">
        <f>'Sources and Uses Budget'!$S$104+'Sources and Uses Budget'!$T$104</f>
        <v>12937920</v>
      </c>
      <c r="BB1058" s="3" t="s">
        <v>2494</v>
      </c>
    </row>
    <row r="1059" spans="1:54" ht="12.95" customHeight="1">
      <c r="A1059" s="14"/>
      <c r="B1059" s="14"/>
      <c r="C1059" s="208"/>
      <c r="D1059" s="858"/>
      <c r="E1059" s="858"/>
      <c r="F1059" s="858"/>
      <c r="G1059" s="1353"/>
      <c r="H1059" s="1353"/>
      <c r="I1059" s="1353"/>
      <c r="J1059" s="1353"/>
      <c r="K1059" s="1353"/>
      <c r="L1059" s="1353"/>
      <c r="M1059" s="1353"/>
      <c r="N1059" s="1353"/>
      <c r="O1059" s="1353"/>
      <c r="P1059" s="1353"/>
      <c r="Q1059" s="1353"/>
      <c r="R1059" s="1353"/>
      <c r="S1059" s="1353"/>
      <c r="T1059" s="1353"/>
      <c r="U1059" s="1353"/>
      <c r="V1059" s="1353"/>
      <c r="W1059" s="1353"/>
      <c r="X1059" s="1353"/>
      <c r="Y1059" s="1353"/>
      <c r="Z1059" s="1353"/>
      <c r="AA1059" s="1353"/>
      <c r="AB1059" s="1353"/>
      <c r="AC1059" s="1353"/>
      <c r="AD1059" s="1353"/>
      <c r="AE1059" s="1353"/>
      <c r="AF1059" s="1353"/>
      <c r="AG1059" s="1353"/>
      <c r="AH1059" s="1353"/>
      <c r="AI1059" s="1353"/>
      <c r="AJ1059" s="1353"/>
      <c r="AK1059" s="1353"/>
      <c r="AL1059" s="1353"/>
      <c r="AM1059" s="1353"/>
      <c r="AN1059" s="1353"/>
      <c r="AO1059" s="68"/>
      <c r="AP1059" s="68"/>
      <c r="AQ1059" s="68"/>
      <c r="AR1059" s="68"/>
      <c r="AS1059" s="68"/>
      <c r="AT1059" s="68"/>
      <c r="AU1059" s="68"/>
      <c r="AV1059" s="14"/>
      <c r="AW1059" s="14"/>
      <c r="AX1059" s="14"/>
      <c r="AY1059" s="14"/>
      <c r="BA1059" s="1186">
        <f>MAX($BA$1058-$BA$1055,0)</f>
        <v>10437920</v>
      </c>
      <c r="BB1059" s="3" t="s">
        <v>2495</v>
      </c>
    </row>
    <row r="1060" spans="1:54" ht="12.95" customHeight="1">
      <c r="A1060" s="88"/>
      <c r="B1060" s="1172"/>
      <c r="C1060" s="1172"/>
      <c r="D1060" s="1172"/>
      <c r="E1060" s="1172"/>
      <c r="F1060" s="1172"/>
      <c r="G1060" s="1353"/>
      <c r="H1060" s="1353"/>
      <c r="I1060" s="1353"/>
      <c r="J1060" s="1353"/>
      <c r="K1060" s="1353"/>
      <c r="L1060" s="1353"/>
      <c r="M1060" s="1353"/>
      <c r="N1060" s="1353"/>
      <c r="O1060" s="1353"/>
      <c r="P1060" s="1353"/>
      <c r="Q1060" s="1353"/>
      <c r="R1060" s="1353"/>
      <c r="S1060" s="1353"/>
      <c r="T1060" s="1353"/>
      <c r="U1060" s="1353"/>
      <c r="V1060" s="1353"/>
      <c r="W1060" s="1353"/>
      <c r="X1060" s="1353"/>
      <c r="Y1060" s="1353"/>
      <c r="Z1060" s="1353"/>
      <c r="AA1060" s="1353"/>
      <c r="AB1060" s="1353"/>
      <c r="AC1060" s="1353"/>
      <c r="AD1060" s="1353"/>
      <c r="AE1060" s="1353"/>
      <c r="AF1060" s="1353"/>
      <c r="AG1060" s="1353"/>
      <c r="AH1060" s="1353"/>
      <c r="AI1060" s="1353"/>
      <c r="AJ1060" s="1353"/>
      <c r="AK1060" s="1353"/>
      <c r="AL1060" s="1353"/>
      <c r="AM1060" s="1353"/>
      <c r="AN1060" s="1353"/>
      <c r="AO1060" s="1172"/>
      <c r="AP1060" s="1172"/>
      <c r="AQ1060" s="68"/>
      <c r="AR1060" s="68"/>
      <c r="AS1060" s="68"/>
      <c r="AT1060" s="68"/>
      <c r="AU1060" s="68"/>
      <c r="AV1060" s="68"/>
      <c r="AW1060" s="68"/>
      <c r="AX1060" s="68"/>
      <c r="AY1060" s="68"/>
    </row>
    <row r="1061" spans="1:54" ht="12.95" customHeight="1">
      <c r="A1061" s="1841" t="s">
        <v>795</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20" t="s">
        <v>546</v>
      </c>
      <c r="B1065" s="1420"/>
      <c r="C1065" s="1860">
        <v>1</v>
      </c>
      <c r="D1065" s="1860"/>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20" t="s">
        <v>592</v>
      </c>
      <c r="B1067" s="1420"/>
      <c r="C1067" s="1860">
        <v>2</v>
      </c>
      <c r="D1067" s="1860"/>
      <c r="E1067" s="1862" t="s">
        <v>2238</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20" t="s">
        <v>592</v>
      </c>
      <c r="B1070" s="1420"/>
      <c r="C1070" s="1414">
        <v>3</v>
      </c>
      <c r="D1070" s="1414"/>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14"/>
      <c r="D1071" s="1414"/>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14"/>
      <c r="D1072" s="1414"/>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14"/>
      <c r="D1073" s="1414"/>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14"/>
      <c r="D1074" s="141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20" t="s">
        <v>592</v>
      </c>
      <c r="B1075" s="1420"/>
      <c r="C1075" s="1414">
        <v>4</v>
      </c>
      <c r="D1075" s="1414"/>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14"/>
      <c r="D1076" s="1414"/>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14"/>
      <c r="D1077" s="1414"/>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14"/>
      <c r="D1078" s="1414"/>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14"/>
      <c r="D1079" s="1414"/>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14"/>
      <c r="D1080" s="141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20" t="s">
        <v>592</v>
      </c>
      <c r="B1081" s="1420"/>
      <c r="C1081" s="1414">
        <v>5</v>
      </c>
      <c r="D1081" s="1414"/>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14"/>
      <c r="D1082" s="1414"/>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14"/>
      <c r="D1083" s="1414"/>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14"/>
      <c r="D1084" s="141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20" t="s">
        <v>592</v>
      </c>
      <c r="B1085" s="1420"/>
      <c r="C1085" s="1414">
        <v>6</v>
      </c>
      <c r="D1085" s="1414"/>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14"/>
      <c r="D1087" s="1414"/>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14"/>
      <c r="D1088" s="141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20" t="s">
        <v>592</v>
      </c>
      <c r="B1089" s="1420"/>
      <c r="C1089" s="1414">
        <v>7</v>
      </c>
      <c r="D1089" s="1414"/>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14"/>
      <c r="D1090" s="1414"/>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14"/>
      <c r="D1091" s="1414"/>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14"/>
      <c r="D1092" s="141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14"/>
      <c r="D1093" s="141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20" t="s">
        <v>592</v>
      </c>
      <c r="B1094" s="1420"/>
      <c r="C1094" s="1414">
        <v>8</v>
      </c>
      <c r="D1094" s="1414"/>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14"/>
      <c r="D1095" s="1414"/>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14"/>
      <c r="D1096" s="141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20" t="s">
        <v>592</v>
      </c>
      <c r="B1097" s="1420"/>
      <c r="C1097" s="1860">
        <v>9</v>
      </c>
      <c r="D1097" s="1860"/>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20" t="s">
        <v>592</v>
      </c>
      <c r="B1100" s="1420"/>
      <c r="C1100" s="1860">
        <v>10</v>
      </c>
      <c r="D1100" s="1860"/>
      <c r="E1100" s="1861" t="s">
        <v>2239</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20" t="s">
        <v>592</v>
      </c>
      <c r="B1103" s="1420"/>
      <c r="C1103" s="1860">
        <v>11</v>
      </c>
      <c r="D1103" s="1860"/>
      <c r="E1103" s="1861" t="s">
        <v>2241</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0" t="s">
        <v>592</v>
      </c>
      <c r="B1125" s="1420"/>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C1088:D1088"/>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B726:F726"/>
    <mergeCell ref="G655:L655"/>
    <mergeCell ref="H656:R656"/>
    <mergeCell ref="AC733:AG733"/>
    <mergeCell ref="AG649:AH649"/>
    <mergeCell ref="H688:R688"/>
    <mergeCell ref="X721:AB721"/>
    <mergeCell ref="O738:S738"/>
    <mergeCell ref="T740:W740"/>
    <mergeCell ref="AK737:AO737"/>
    <mergeCell ref="X735:AB735"/>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580:R580"/>
    <mergeCell ref="G579:R579"/>
    <mergeCell ref="G578:R578"/>
    <mergeCell ref="G586:R586"/>
    <mergeCell ref="G587:R587"/>
    <mergeCell ref="G588:R588"/>
    <mergeCell ref="Z588:AK588"/>
    <mergeCell ref="Z586:AK586"/>
    <mergeCell ref="Z587:AK587"/>
    <mergeCell ref="AC635:AE635"/>
    <mergeCell ref="DU740:DY740"/>
    <mergeCell ref="DZ740:ED740"/>
    <mergeCell ref="EE740:EI740"/>
    <mergeCell ref="K725:N725"/>
    <mergeCell ref="AC736:AG736"/>
    <mergeCell ref="AC724:AG724"/>
    <mergeCell ref="AC730:AG730"/>
    <mergeCell ref="AH727:AJ727"/>
    <mergeCell ref="O735:S735"/>
    <mergeCell ref="G741:J741"/>
    <mergeCell ref="T739:W739"/>
    <mergeCell ref="AK731:AO731"/>
    <mergeCell ref="AK738:AO738"/>
    <mergeCell ref="G730:J730"/>
    <mergeCell ref="X730:AB730"/>
    <mergeCell ref="X731:AB731"/>
    <mergeCell ref="AH732:AJ732"/>
    <mergeCell ref="T737:W737"/>
    <mergeCell ref="X739:AB739"/>
    <mergeCell ref="G740:J740"/>
    <mergeCell ref="T733:W733"/>
    <mergeCell ref="O734:S734"/>
    <mergeCell ref="K739:N739"/>
    <mergeCell ref="AC734:AG734"/>
    <mergeCell ref="AC735:AG735"/>
    <mergeCell ref="G729:J729"/>
    <mergeCell ref="O737:S737"/>
    <mergeCell ref="X736:AB736"/>
    <mergeCell ref="T735:W735"/>
    <mergeCell ref="T734:W734"/>
    <mergeCell ref="K724:N724"/>
    <mergeCell ref="X738:AB738"/>
    <mergeCell ref="EJ718:EN718"/>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47:EL647"/>
    <mergeCell ref="EM647:EQ647"/>
    <mergeCell ref="ER655:EV655"/>
    <mergeCell ref="EH648:EL648"/>
    <mergeCell ref="DJ747:DN747"/>
    <mergeCell ref="ET738:EX738"/>
    <mergeCell ref="DU738:DY738"/>
    <mergeCell ref="CK745:CL745"/>
    <mergeCell ref="EO740:ES740"/>
    <mergeCell ref="ER669:EV669"/>
    <mergeCell ref="ER639:EV639"/>
    <mergeCell ref="DX644:EB644"/>
    <mergeCell ref="DX637:EB637"/>
    <mergeCell ref="DU739:DY739"/>
    <mergeCell ref="EM662:EQ662"/>
    <mergeCell ref="ER662:EV662"/>
    <mergeCell ref="DU718:DY718"/>
    <mergeCell ref="DU721:DY721"/>
    <mergeCell ref="EE721:EI721"/>
    <mergeCell ref="EJ721:EN721"/>
    <mergeCell ref="DZ721:ED721"/>
    <mergeCell ref="DZ722:ED722"/>
    <mergeCell ref="DU717:DY717"/>
    <mergeCell ref="DU719:DY719"/>
    <mergeCell ref="EE717:EI717"/>
    <mergeCell ref="EJ720:EN720"/>
    <mergeCell ref="EO722:ES722"/>
    <mergeCell ref="EO717:ES717"/>
    <mergeCell ref="CU721:CY721"/>
    <mergeCell ref="EJ729:EN729"/>
    <mergeCell ref="EJ717:EN717"/>
    <mergeCell ref="DJ720:DN720"/>
    <mergeCell ref="DJ717:DN717"/>
    <mergeCell ref="DJ722:DN722"/>
    <mergeCell ref="DE721:DI721"/>
    <mergeCell ref="DE723:DI723"/>
    <mergeCell ref="EH651:EL651"/>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EJ739:EN739"/>
    <mergeCell ref="DJ746:DN746"/>
    <mergeCell ref="DO746:DS746"/>
    <mergeCell ref="CZ746:DD746"/>
    <mergeCell ref="DE744:DI744"/>
    <mergeCell ref="DE750:DI750"/>
    <mergeCell ref="DJ750:DN750"/>
    <mergeCell ref="DZ738:ED738"/>
    <mergeCell ref="EE738:EI738"/>
    <mergeCell ref="DO732:DS732"/>
    <mergeCell ref="DZ739:ED739"/>
    <mergeCell ref="EE739:EI739"/>
    <mergeCell ref="DJ751:DN751"/>
    <mergeCell ref="DU734:DY734"/>
    <mergeCell ref="DZ741:ED741"/>
    <mergeCell ref="EO737:ES737"/>
    <mergeCell ref="DU737:DY737"/>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DU735:DY73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J727:EN727"/>
    <mergeCell ref="EO729:ES729"/>
    <mergeCell ref="EO732:ES732"/>
    <mergeCell ref="ET729:EX72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DZ737:ED737"/>
    <mergeCell ref="EM670:EQ670"/>
    <mergeCell ref="DU729:DY729"/>
    <mergeCell ref="EH667:EL667"/>
    <mergeCell ref="EM666:EQ666"/>
    <mergeCell ref="ER666:EV666"/>
    <mergeCell ref="DX649:EB649"/>
    <mergeCell ref="DX655:EB655"/>
    <mergeCell ref="EE734:EI734"/>
    <mergeCell ref="DU731:DY731"/>
    <mergeCell ref="DZ729:ED729"/>
    <mergeCell ref="ET727:EX727"/>
    <mergeCell ref="DZ727:ED727"/>
    <mergeCell ref="EE727:EI727"/>
    <mergeCell ref="EJ740:EN740"/>
    <mergeCell ref="DE739:DI739"/>
    <mergeCell ref="DJ737:DN737"/>
    <mergeCell ref="EJ738:EN738"/>
    <mergeCell ref="DJ734:DN734"/>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DO733:DS733"/>
    <mergeCell ref="DO734:DS734"/>
    <mergeCell ref="EM648:EQ648"/>
    <mergeCell ref="EM650:EQ650"/>
    <mergeCell ref="EC653:EG653"/>
    <mergeCell ref="EH652:EL652"/>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J730:DN730"/>
    <mergeCell ref="EH661:EL661"/>
    <mergeCell ref="EM651:EQ651"/>
    <mergeCell ref="EH655:EL655"/>
    <mergeCell ref="EM655:EQ655"/>
    <mergeCell ref="EH664:EL664"/>
    <mergeCell ref="FJ721:FN721"/>
    <mergeCell ref="FO721:FS721"/>
    <mergeCell ref="EO718:ES718"/>
    <mergeCell ref="EM668:EQ668"/>
    <mergeCell ref="DX670:EB670"/>
    <mergeCell ref="ET721:EX721"/>
    <mergeCell ref="EE720:EI720"/>
    <mergeCell ref="DU730:DY730"/>
    <mergeCell ref="EO727:ES727"/>
    <mergeCell ref="EJ733:EN733"/>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EZ736:FD736"/>
    <mergeCell ref="FE736:FI736"/>
    <mergeCell ref="FJ736:FN736"/>
    <mergeCell ref="ET736:EX736"/>
    <mergeCell ref="EE735:EI735"/>
    <mergeCell ref="EJ734:EN734"/>
    <mergeCell ref="EE733:EI733"/>
    <mergeCell ref="ET732:EX732"/>
    <mergeCell ref="EE726:EI726"/>
    <mergeCell ref="EJ726:EN726"/>
    <mergeCell ref="EE728:EI728"/>
    <mergeCell ref="EJ728:EN72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9:FD739"/>
    <mergeCell ref="FE739:FI739"/>
    <mergeCell ref="FJ739:FN739"/>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67:AG967"/>
    <mergeCell ref="M961:S961"/>
    <mergeCell ref="M969:S969"/>
    <mergeCell ref="AA969:AG96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K738:N738"/>
    <mergeCell ref="G732:J732"/>
    <mergeCell ref="B740:F740"/>
    <mergeCell ref="G723:J723"/>
    <mergeCell ref="O739:S739"/>
    <mergeCell ref="O740:S740"/>
    <mergeCell ref="K741:N741"/>
    <mergeCell ref="O736:S736"/>
    <mergeCell ref="O725:S725"/>
    <mergeCell ref="O726:S726"/>
    <mergeCell ref="G739:J739"/>
    <mergeCell ref="B742:F742"/>
    <mergeCell ref="B743:F743"/>
    <mergeCell ref="G734:J734"/>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G753:J753"/>
    <mergeCell ref="X791:AB791"/>
    <mergeCell ref="X774:AB774"/>
    <mergeCell ref="J788:N788"/>
    <mergeCell ref="T773:W773"/>
    <mergeCell ref="AC747:AG747"/>
    <mergeCell ref="J773:N773"/>
    <mergeCell ref="O773:S773"/>
    <mergeCell ref="T752:W752"/>
    <mergeCell ref="J776:N776"/>
    <mergeCell ref="AC791:AG791"/>
    <mergeCell ref="T796:W796"/>
    <mergeCell ref="J790:N790"/>
    <mergeCell ref="AC789:AG789"/>
    <mergeCell ref="AC790:AG790"/>
    <mergeCell ref="Z818:AE818"/>
    <mergeCell ref="AK749:AO749"/>
    <mergeCell ref="AK751:AO751"/>
    <mergeCell ref="T792:W792"/>
    <mergeCell ref="O777:S777"/>
    <mergeCell ref="X788:AB788"/>
    <mergeCell ref="O797:S797"/>
    <mergeCell ref="G752:J752"/>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AD759:AF759"/>
    <mergeCell ref="O746:S746"/>
    <mergeCell ref="T746:W746"/>
    <mergeCell ref="K747:N747"/>
    <mergeCell ref="AH750:AJ750"/>
    <mergeCell ref="AK750:AO750"/>
    <mergeCell ref="B752:F752"/>
    <mergeCell ref="O750:S750"/>
    <mergeCell ref="K751:N751"/>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M958:S958"/>
    <mergeCell ref="AA972:AG972"/>
    <mergeCell ref="AA920:AF920"/>
    <mergeCell ref="X740:AB740"/>
    <mergeCell ref="O729:S729"/>
    <mergeCell ref="AK748:AO748"/>
    <mergeCell ref="AA949:AF949"/>
    <mergeCell ref="E885:AB885"/>
    <mergeCell ref="M831:P831"/>
    <mergeCell ref="Q831:T831"/>
    <mergeCell ref="M960:S960"/>
    <mergeCell ref="Z901:AE901"/>
    <mergeCell ref="W878:AC878"/>
    <mergeCell ref="U931:Z931"/>
    <mergeCell ref="F915:T915"/>
    <mergeCell ref="I946:T946"/>
    <mergeCell ref="AA946:AF946"/>
    <mergeCell ref="W861:AC861"/>
    <mergeCell ref="F946:H946"/>
    <mergeCell ref="U920:Z920"/>
    <mergeCell ref="M968:S968"/>
    <mergeCell ref="F932:T932"/>
    <mergeCell ref="AA939:AF939"/>
    <mergeCell ref="AA940:AF940"/>
    <mergeCell ref="W853:AC853"/>
    <mergeCell ref="M955:S955"/>
    <mergeCell ref="AE956:AK956"/>
    <mergeCell ref="U948:Z948"/>
    <mergeCell ref="P945:T945"/>
    <mergeCell ref="I948:T948"/>
    <mergeCell ref="W859:AC859"/>
    <mergeCell ref="W849:AC849"/>
    <mergeCell ref="M877:V877"/>
    <mergeCell ref="W869:AC869"/>
    <mergeCell ref="W842:AC842"/>
    <mergeCell ref="AB917:AE917"/>
    <mergeCell ref="AA922:AF922"/>
    <mergeCell ref="F930:T930"/>
    <mergeCell ref="U941:Z941"/>
    <mergeCell ref="AA943:AF943"/>
    <mergeCell ref="F929:T929"/>
    <mergeCell ref="AA919:AF919"/>
    <mergeCell ref="U925:Z925"/>
    <mergeCell ref="A910:AT911"/>
    <mergeCell ref="F936:T936"/>
    <mergeCell ref="AA947:AF947"/>
    <mergeCell ref="Y830:AB830"/>
    <mergeCell ref="U922:Z922"/>
    <mergeCell ref="AA924:AF924"/>
    <mergeCell ref="AA935:AF935"/>
    <mergeCell ref="AA918:AF918"/>
    <mergeCell ref="DO739:DS739"/>
    <mergeCell ref="X783:AB786"/>
    <mergeCell ref="X787:AB787"/>
    <mergeCell ref="X796:AB796"/>
    <mergeCell ref="Y829:AB829"/>
    <mergeCell ref="AC829:AF829"/>
    <mergeCell ref="Y826:AB826"/>
    <mergeCell ref="P816:Y816"/>
    <mergeCell ref="Y827:AB827"/>
    <mergeCell ref="AG827:AJ827"/>
    <mergeCell ref="Z817:AE817"/>
    <mergeCell ref="T775:W775"/>
    <mergeCell ref="CZ741:DD741"/>
    <mergeCell ref="CG740:CH740"/>
    <mergeCell ref="AH739:AJ739"/>
    <mergeCell ref="AH740:AJ740"/>
    <mergeCell ref="AK747:AO747"/>
    <mergeCell ref="K745:N745"/>
    <mergeCell ref="T774:W774"/>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O796:S796"/>
    <mergeCell ref="U825:X825"/>
    <mergeCell ref="Z814:AE814"/>
    <mergeCell ref="Y825:AB825"/>
    <mergeCell ref="AC825:AF825"/>
    <mergeCell ref="F831:L831"/>
    <mergeCell ref="U827:X827"/>
    <mergeCell ref="C827:H827"/>
    <mergeCell ref="O756:R756"/>
    <mergeCell ref="AG756:AJ756"/>
    <mergeCell ref="O751:S751"/>
    <mergeCell ref="X790:AB790"/>
    <mergeCell ref="U831:X831"/>
    <mergeCell ref="CU774:CY774"/>
    <mergeCell ref="X745:AB745"/>
    <mergeCell ref="X746:AB746"/>
    <mergeCell ref="D1046:AE1047"/>
    <mergeCell ref="M826:P826"/>
    <mergeCell ref="M871:V871"/>
    <mergeCell ref="M878:V878"/>
    <mergeCell ref="Q825:T825"/>
    <mergeCell ref="W870:AC870"/>
    <mergeCell ref="O790:S790"/>
    <mergeCell ref="U946:Z946"/>
    <mergeCell ref="AA941:AF941"/>
    <mergeCell ref="AA929:AF929"/>
    <mergeCell ref="U930:Z930"/>
    <mergeCell ref="AA930:AF930"/>
    <mergeCell ref="U949:Z949"/>
    <mergeCell ref="C830:H830"/>
    <mergeCell ref="I949:T949"/>
    <mergeCell ref="U938:Z938"/>
    <mergeCell ref="U935:Z935"/>
    <mergeCell ref="AA923:AF923"/>
    <mergeCell ref="F937:T937"/>
    <mergeCell ref="U937:Z937"/>
    <mergeCell ref="AA937:AF937"/>
    <mergeCell ref="F942:T942"/>
    <mergeCell ref="U942:Z942"/>
    <mergeCell ref="AA942:AF942"/>
    <mergeCell ref="U924:Z924"/>
    <mergeCell ref="U928:Z928"/>
    <mergeCell ref="U934:Z934"/>
    <mergeCell ref="AA931:AF931"/>
    <mergeCell ref="U932:Z932"/>
    <mergeCell ref="AA932:AF932"/>
    <mergeCell ref="F938:T938"/>
    <mergeCell ref="AA933:AF933"/>
    <mergeCell ref="DZ734:ED734"/>
    <mergeCell ref="DU726:DY726"/>
    <mergeCell ref="EO721:ES721"/>
    <mergeCell ref="DZ731:ED731"/>
    <mergeCell ref="DU732:DY732"/>
    <mergeCell ref="DU727:DY727"/>
    <mergeCell ref="DZ726:ED726"/>
    <mergeCell ref="DU728:DY728"/>
    <mergeCell ref="DU722:DY722"/>
    <mergeCell ref="DU736:DY736"/>
    <mergeCell ref="DU733:DY733"/>
    <mergeCell ref="DU720:DY720"/>
    <mergeCell ref="M823:P824"/>
    <mergeCell ref="DG122:DM122"/>
    <mergeCell ref="CU122:CV122"/>
    <mergeCell ref="AH714:AJ717"/>
    <mergeCell ref="AH725:AJ72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EO719:ES719"/>
    <mergeCell ref="ET719:EX719"/>
    <mergeCell ref="EJ722:EN722"/>
    <mergeCell ref="AK730:AO730"/>
    <mergeCell ref="CP721:CT721"/>
    <mergeCell ref="DO730:DS730"/>
    <mergeCell ref="CG725:CH725"/>
    <mergeCell ref="EE723:EI723"/>
    <mergeCell ref="EJ723:EN723"/>
    <mergeCell ref="EO725:ES725"/>
    <mergeCell ref="EJ724:EN724"/>
    <mergeCell ref="EO723:ES723"/>
    <mergeCell ref="CZ719:DD719"/>
    <mergeCell ref="CZ724:DD724"/>
    <mergeCell ref="DO725:DS725"/>
    <mergeCell ref="DO721:DS721"/>
    <mergeCell ref="AK726:AO726"/>
    <mergeCell ref="AK720:AO720"/>
    <mergeCell ref="AC727:AG727"/>
    <mergeCell ref="AC728:AG728"/>
    <mergeCell ref="DU725:DY725"/>
    <mergeCell ref="DZ725:ED725"/>
    <mergeCell ref="DU723:DY723"/>
    <mergeCell ref="DZ723:ED723"/>
    <mergeCell ref="EE719:EI719"/>
    <mergeCell ref="DZ720:ED720"/>
    <mergeCell ref="EJ719:EN719"/>
    <mergeCell ref="ET725:EX725"/>
    <mergeCell ref="DU724:DY724"/>
    <mergeCell ref="DZ719:ED719"/>
    <mergeCell ref="AF638:AJ638"/>
    <mergeCell ref="EW637:FA637"/>
    <mergeCell ref="EC645:EG645"/>
    <mergeCell ref="ER645:EV645"/>
    <mergeCell ref="EW645:FA645"/>
    <mergeCell ref="EM637:EQ637"/>
    <mergeCell ref="EM644:EQ644"/>
    <mergeCell ref="ER644:EV644"/>
    <mergeCell ref="EM646:EQ646"/>
    <mergeCell ref="EW642:FA642"/>
    <mergeCell ref="EW643:FA643"/>
    <mergeCell ref="AE702:AF702"/>
    <mergeCell ref="EC639:EG639"/>
    <mergeCell ref="EH639:EL639"/>
    <mergeCell ref="EM639:EQ639"/>
    <mergeCell ref="ER646:EV646"/>
    <mergeCell ref="EW646:FA646"/>
    <mergeCell ref="EW653:FA653"/>
    <mergeCell ref="EH649:EL649"/>
    <mergeCell ref="EC647:EG647"/>
    <mergeCell ref="ER641:EV641"/>
    <mergeCell ref="EH641:EL641"/>
    <mergeCell ref="DJ719:DN719"/>
    <mergeCell ref="CU717:CY717"/>
    <mergeCell ref="CM723:CN723"/>
    <mergeCell ref="Z654:AK654"/>
    <mergeCell ref="AG689:AH689"/>
    <mergeCell ref="CK719:CL719"/>
    <mergeCell ref="DX640:EB640"/>
    <mergeCell ref="DJ718:DN718"/>
    <mergeCell ref="EC667:EG667"/>
    <mergeCell ref="AO631:AS631"/>
    <mergeCell ref="DX658:EB658"/>
    <mergeCell ref="EC658:EG658"/>
    <mergeCell ref="DX642:EB642"/>
    <mergeCell ref="AO637:AS637"/>
    <mergeCell ref="AA688:AK688"/>
    <mergeCell ref="AI655:AK655"/>
    <mergeCell ref="ET718:EX718"/>
    <mergeCell ref="EW644:FA644"/>
    <mergeCell ref="EC641:EG641"/>
    <mergeCell ref="EC643:EG643"/>
    <mergeCell ref="EH643:EL643"/>
    <mergeCell ref="EM643:EQ643"/>
    <mergeCell ref="EC648:EG648"/>
    <mergeCell ref="EW639:FA639"/>
    <mergeCell ref="EC640:EG640"/>
    <mergeCell ref="EW640:FA640"/>
    <mergeCell ref="ER643:EV643"/>
    <mergeCell ref="ER640:EV640"/>
    <mergeCell ref="EH650:EL650"/>
    <mergeCell ref="ER649:EV649"/>
    <mergeCell ref="EM641:EQ641"/>
    <mergeCell ref="EC651:EG651"/>
    <mergeCell ref="DX652:EB652"/>
    <mergeCell ref="EC652:EG652"/>
    <mergeCell ref="Z655:AE655"/>
    <mergeCell ref="CZ717:DD717"/>
    <mergeCell ref="CP718:CT718"/>
    <mergeCell ref="CI718:CJ718"/>
    <mergeCell ref="DX666:EB666"/>
    <mergeCell ref="EC666:EG666"/>
    <mergeCell ref="DE718:DI718"/>
    <mergeCell ref="CK718:CL718"/>
    <mergeCell ref="DX664:EB664"/>
    <mergeCell ref="EC664:EG664"/>
    <mergeCell ref="DX643:EB643"/>
    <mergeCell ref="EC649:EG649"/>
    <mergeCell ref="DX645:EB645"/>
    <mergeCell ref="Z686:AK686"/>
    <mergeCell ref="Z675:AK675"/>
    <mergeCell ref="CP717:CT717"/>
    <mergeCell ref="DZ717:ED717"/>
    <mergeCell ref="DX653:EB653"/>
    <mergeCell ref="DX654:EB654"/>
    <mergeCell ref="DX648:EB648"/>
    <mergeCell ref="DX651:EB651"/>
    <mergeCell ref="AI663:AK663"/>
    <mergeCell ref="Z667:AK667"/>
    <mergeCell ref="CU718:CY718"/>
    <mergeCell ref="AA664:AK664"/>
    <mergeCell ref="AE698:AI698"/>
    <mergeCell ref="AC714:AG717"/>
    <mergeCell ref="DO731:DS731"/>
    <mergeCell ref="DJ728:DN728"/>
    <mergeCell ref="AC719:AG719"/>
    <mergeCell ref="Z653:AK653"/>
    <mergeCell ref="DO729:DS729"/>
    <mergeCell ref="AF633:AJ633"/>
    <mergeCell ref="DJ731:DN731"/>
    <mergeCell ref="DJ729:DN729"/>
    <mergeCell ref="DE719:DI719"/>
    <mergeCell ref="CZ720:DD720"/>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AE564:AH564"/>
    <mergeCell ref="AF624:AJ626"/>
    <mergeCell ref="CI717:CJ717"/>
    <mergeCell ref="AA680:AK680"/>
    <mergeCell ref="Z661:AK661"/>
    <mergeCell ref="AK636:AN636"/>
    <mergeCell ref="DE728:DI728"/>
    <mergeCell ref="AG615:AH615"/>
    <mergeCell ref="B714:F717"/>
    <mergeCell ref="Z611:AK611"/>
    <mergeCell ref="Z676:AK676"/>
    <mergeCell ref="W700:AK700"/>
    <mergeCell ref="Z683:AK683"/>
    <mergeCell ref="AF631:AJ631"/>
    <mergeCell ref="AK633:AN633"/>
    <mergeCell ref="Z645:AK645"/>
    <mergeCell ref="Z629:AB629"/>
    <mergeCell ref="AE699:AI699"/>
    <mergeCell ref="G601:R601"/>
    <mergeCell ref="W634:Y634"/>
    <mergeCell ref="AG607:AH607"/>
    <mergeCell ref="T635:V635"/>
    <mergeCell ref="T636:V636"/>
    <mergeCell ref="T637:V637"/>
    <mergeCell ref="W638:Y638"/>
    <mergeCell ref="AF627:AJ627"/>
    <mergeCell ref="G645:R645"/>
    <mergeCell ref="G659:R659"/>
    <mergeCell ref="G675:R675"/>
    <mergeCell ref="G609:R609"/>
    <mergeCell ref="N615:O615"/>
    <mergeCell ref="M628:P628"/>
    <mergeCell ref="M633:P633"/>
    <mergeCell ref="Z605:AE605"/>
    <mergeCell ref="Z609:AK609"/>
    <mergeCell ref="AC632:AE632"/>
    <mergeCell ref="H672:R672"/>
    <mergeCell ref="AA606:AK606"/>
    <mergeCell ref="EJ725:EN725"/>
    <mergeCell ref="DZ728:ED728"/>
    <mergeCell ref="EE724:EI724"/>
    <mergeCell ref="Z679:AE679"/>
    <mergeCell ref="Z670:AK670"/>
    <mergeCell ref="AK728:AO728"/>
    <mergeCell ref="W559:Y559"/>
    <mergeCell ref="Z602:AK602"/>
    <mergeCell ref="Z612:AK612"/>
    <mergeCell ref="AC627:AE627"/>
    <mergeCell ref="AA656:AK656"/>
    <mergeCell ref="AK714:AO717"/>
    <mergeCell ref="AK718:AO718"/>
    <mergeCell ref="AK630:AN630"/>
    <mergeCell ref="AK631:AN631"/>
    <mergeCell ref="AK632:AN632"/>
    <mergeCell ref="AI671:AK671"/>
    <mergeCell ref="AK627:AN627"/>
    <mergeCell ref="AF632:AJ632"/>
    <mergeCell ref="AC631:AE631"/>
    <mergeCell ref="AM565:AS565"/>
    <mergeCell ref="EM636:EQ636"/>
    <mergeCell ref="AC633:AE633"/>
    <mergeCell ref="B639:AN639"/>
    <mergeCell ref="B640:AN640"/>
    <mergeCell ref="B719:F719"/>
    <mergeCell ref="AM563:AS563"/>
    <mergeCell ref="G612:R612"/>
    <mergeCell ref="Q636:S636"/>
    <mergeCell ref="Q637:S637"/>
    <mergeCell ref="C636:L636"/>
    <mergeCell ref="AO628:AS628"/>
    <mergeCell ref="DJ723:DN723"/>
    <mergeCell ref="DJ724:DN724"/>
    <mergeCell ref="DO727:DS727"/>
    <mergeCell ref="DO728:DS728"/>
    <mergeCell ref="DO722:DS722"/>
    <mergeCell ref="DO723:DS723"/>
    <mergeCell ref="DO724:DS724"/>
    <mergeCell ref="DJ721:DN721"/>
    <mergeCell ref="DO726:DS726"/>
    <mergeCell ref="Z662:AK662"/>
    <mergeCell ref="CZ727:DD727"/>
    <mergeCell ref="CP719:CT719"/>
    <mergeCell ref="X720:AB720"/>
    <mergeCell ref="CM720:CN720"/>
    <mergeCell ref="CP720:CT720"/>
    <mergeCell ref="CI720:CJ720"/>
    <mergeCell ref="CU720:CY720"/>
    <mergeCell ref="CU723:CY723"/>
    <mergeCell ref="CM722:CN722"/>
    <mergeCell ref="DO717:DS717"/>
    <mergeCell ref="CZ721:DD721"/>
    <mergeCell ref="DO720:DS720"/>
    <mergeCell ref="CP724:CT724"/>
    <mergeCell ref="CP727:CT727"/>
    <mergeCell ref="CI727:CJ727"/>
    <mergeCell ref="CI719:CJ719"/>
    <mergeCell ref="X728:AB728"/>
    <mergeCell ref="DE722:DI722"/>
    <mergeCell ref="CG722:CH722"/>
    <mergeCell ref="DE720:DI720"/>
    <mergeCell ref="DE724:DI724"/>
    <mergeCell ref="AA672:AK672"/>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AM559:AS559"/>
    <mergeCell ref="Z687:AE687"/>
    <mergeCell ref="AE563:AH563"/>
    <mergeCell ref="AM558:AS558"/>
    <mergeCell ref="AM566:AS566"/>
    <mergeCell ref="Q632:S632"/>
    <mergeCell ref="AM562:AS562"/>
    <mergeCell ref="Q624:S626"/>
    <mergeCell ref="G572:L572"/>
    <mergeCell ref="Z581:AE581"/>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P589:R589"/>
    <mergeCell ref="G611:R611"/>
    <mergeCell ref="AG599:AH599"/>
    <mergeCell ref="G595:R595"/>
    <mergeCell ref="G596:R596"/>
    <mergeCell ref="M558:P558"/>
    <mergeCell ref="G571:R571"/>
    <mergeCell ref="P605:R605"/>
    <mergeCell ref="C628:L628"/>
    <mergeCell ref="W633:Y633"/>
    <mergeCell ref="Z630:AB630"/>
    <mergeCell ref="G684:R684"/>
    <mergeCell ref="C637:L637"/>
    <mergeCell ref="G679:L679"/>
    <mergeCell ref="T638:V638"/>
    <mergeCell ref="T628:V628"/>
    <mergeCell ref="G678:R678"/>
    <mergeCell ref="P679:R679"/>
    <mergeCell ref="M637:P637"/>
    <mergeCell ref="W635:Y635"/>
    <mergeCell ref="AF629:AJ629"/>
    <mergeCell ref="AI613:AK613"/>
    <mergeCell ref="AA614:AK614"/>
    <mergeCell ref="AC624:AE626"/>
    <mergeCell ref="Z631:AB631"/>
    <mergeCell ref="AC628:AE628"/>
    <mergeCell ref="C629:L629"/>
    <mergeCell ref="T629:V629"/>
    <mergeCell ref="AC630:AE630"/>
    <mergeCell ref="Z671:AE671"/>
    <mergeCell ref="G652:R652"/>
    <mergeCell ref="G610:R610"/>
    <mergeCell ref="A617:AT618"/>
    <mergeCell ref="B624:L626"/>
    <mergeCell ref="Z613:AE613"/>
    <mergeCell ref="AC629:AE629"/>
    <mergeCell ref="AO633:AS633"/>
    <mergeCell ref="G677:R677"/>
    <mergeCell ref="Z678:AK678"/>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G581:L581"/>
    <mergeCell ref="AI563:AL563"/>
    <mergeCell ref="Z563:AD563"/>
    <mergeCell ref="T560:V560"/>
    <mergeCell ref="W558:Y558"/>
    <mergeCell ref="W556:Y556"/>
    <mergeCell ref="C561:L561"/>
    <mergeCell ref="Q556:S556"/>
    <mergeCell ref="AE556:AH556"/>
    <mergeCell ref="AE559:AH559"/>
    <mergeCell ref="AI559:AL559"/>
    <mergeCell ref="AC518:AF518"/>
    <mergeCell ref="AH504:AK504"/>
    <mergeCell ref="AH517:AK517"/>
    <mergeCell ref="C558:L558"/>
    <mergeCell ref="W563:Y563"/>
    <mergeCell ref="M627:P627"/>
    <mergeCell ref="M629:P629"/>
    <mergeCell ref="W624:Y626"/>
    <mergeCell ref="W628:Y628"/>
    <mergeCell ref="P663:R663"/>
    <mergeCell ref="AO640:AS640"/>
    <mergeCell ref="W636:Y636"/>
    <mergeCell ref="AO632:AS632"/>
    <mergeCell ref="T630:V630"/>
    <mergeCell ref="T631:V631"/>
    <mergeCell ref="H614:R614"/>
    <mergeCell ref="G613:L613"/>
    <mergeCell ref="Q638:S638"/>
    <mergeCell ref="H648:R648"/>
    <mergeCell ref="M634:P634"/>
    <mergeCell ref="Q634:S634"/>
    <mergeCell ref="M636:P636"/>
    <mergeCell ref="M638:P638"/>
    <mergeCell ref="AO624:AS626"/>
    <mergeCell ref="Z632:AB632"/>
    <mergeCell ref="Z635:AB635"/>
    <mergeCell ref="Z628:AB628"/>
    <mergeCell ref="G647:L647"/>
    <mergeCell ref="C638:L638"/>
    <mergeCell ref="G671:L671"/>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DE730:DI730"/>
    <mergeCell ref="CM730:CN730"/>
    <mergeCell ref="CK727:CL727"/>
    <mergeCell ref="DE729:DI729"/>
    <mergeCell ref="DE726:DI726"/>
    <mergeCell ref="DE731:DI731"/>
    <mergeCell ref="CP728:CT728"/>
    <mergeCell ref="CU728:CY728"/>
    <mergeCell ref="CK732:CL732"/>
    <mergeCell ref="CZ730:DD730"/>
    <mergeCell ref="CI724:CJ724"/>
    <mergeCell ref="CU726:CY726"/>
    <mergeCell ref="CZ726:DD726"/>
    <mergeCell ref="DE727:DI727"/>
    <mergeCell ref="CP725:CT725"/>
    <mergeCell ref="DJ735:DN735"/>
    <mergeCell ref="CG727:CH727"/>
    <mergeCell ref="CZ728:DD728"/>
    <mergeCell ref="CU730:CY730"/>
    <mergeCell ref="CK728:CL728"/>
    <mergeCell ref="CZ731:DD731"/>
    <mergeCell ref="CK731:CL731"/>
    <mergeCell ref="CK729:CL729"/>
    <mergeCell ref="DE737:DI737"/>
    <mergeCell ref="DJ727:DN727"/>
    <mergeCell ref="CU734:CY734"/>
    <mergeCell ref="DE735:DI735"/>
    <mergeCell ref="DE734:DI734"/>
    <mergeCell ref="DE740:DI740"/>
    <mergeCell ref="CZ739:DD739"/>
    <mergeCell ref="CK734:CL734"/>
    <mergeCell ref="CM734:CN734"/>
    <mergeCell ref="CK738:CL738"/>
    <mergeCell ref="CI731:CJ731"/>
    <mergeCell ref="CI728:CJ728"/>
    <mergeCell ref="CU729:CY729"/>
    <mergeCell ref="CP733:CT733"/>
    <mergeCell ref="CK735:CL735"/>
    <mergeCell ref="CP732:CT732"/>
    <mergeCell ref="CM729:CN729"/>
    <mergeCell ref="CP736:CT736"/>
    <mergeCell ref="CU733:CY733"/>
    <mergeCell ref="DJ739:DN739"/>
    <mergeCell ref="CK740:CL740"/>
    <mergeCell ref="DJ738:DN738"/>
    <mergeCell ref="CG729:CH729"/>
    <mergeCell ref="CG739:CH739"/>
    <mergeCell ref="CK737:CL737"/>
    <mergeCell ref="CG732:CH732"/>
    <mergeCell ref="CK733:CL733"/>
    <mergeCell ref="CI739:CJ739"/>
    <mergeCell ref="CP734:CT734"/>
    <mergeCell ref="CI738:CJ738"/>
    <mergeCell ref="CM725:CN725"/>
    <mergeCell ref="CK730:CL730"/>
    <mergeCell ref="CP731:CT731"/>
    <mergeCell ref="CI729:CJ729"/>
    <mergeCell ref="CZ734:DD734"/>
    <mergeCell ref="CI735:CJ735"/>
    <mergeCell ref="CU739:CY739"/>
    <mergeCell ref="CK741:CL741"/>
    <mergeCell ref="CM741:CN741"/>
    <mergeCell ref="CZ735:DD735"/>
    <mergeCell ref="CI734:CJ734"/>
    <mergeCell ref="CM739:CN739"/>
    <mergeCell ref="CP729:CT729"/>
    <mergeCell ref="CK736:CL736"/>
    <mergeCell ref="CP740:CT740"/>
    <mergeCell ref="CM731:CN731"/>
    <mergeCell ref="CG736:CH736"/>
    <mergeCell ref="CI740:CJ740"/>
    <mergeCell ref="AK734:AO734"/>
    <mergeCell ref="CM728:CN728"/>
    <mergeCell ref="AG681:AH681"/>
    <mergeCell ref="AI687:AK687"/>
    <mergeCell ref="J705:O705"/>
    <mergeCell ref="CM737:CN737"/>
    <mergeCell ref="CI723:CJ723"/>
    <mergeCell ref="AC729:AG729"/>
    <mergeCell ref="O728:S728"/>
    <mergeCell ref="AK736:AO736"/>
    <mergeCell ref="AC732:AG732"/>
    <mergeCell ref="CP738:CT738"/>
    <mergeCell ref="CU740:CY740"/>
    <mergeCell ref="CZ733:DD733"/>
    <mergeCell ref="CZ736:DD736"/>
    <mergeCell ref="CZ732:DD732"/>
    <mergeCell ref="CU737:CY737"/>
    <mergeCell ref="CZ738:DD738"/>
    <mergeCell ref="CM736:CN736"/>
    <mergeCell ref="AH737:AJ737"/>
    <mergeCell ref="CU736:CY736"/>
    <mergeCell ref="CG737:CH737"/>
    <mergeCell ref="CZ729:DD729"/>
    <mergeCell ref="CG733:CH733"/>
    <mergeCell ref="CZ725:DD725"/>
    <mergeCell ref="CM735:CN735"/>
    <mergeCell ref="CP722:CT722"/>
    <mergeCell ref="O722:S722"/>
    <mergeCell ref="AC725:AG725"/>
    <mergeCell ref="AC726:AG726"/>
    <mergeCell ref="AH734:AJ734"/>
    <mergeCell ref="X737:AB737"/>
    <mergeCell ref="X725:AB725"/>
    <mergeCell ref="B723:F723"/>
    <mergeCell ref="G714:J717"/>
    <mergeCell ref="G668:R668"/>
    <mergeCell ref="G662:R662"/>
    <mergeCell ref="Z684:AK684"/>
    <mergeCell ref="X724:AB724"/>
    <mergeCell ref="O727:S727"/>
    <mergeCell ref="W706:AK706"/>
    <mergeCell ref="CZ740:DD740"/>
    <mergeCell ref="CU741:CY741"/>
    <mergeCell ref="CG735:CH735"/>
    <mergeCell ref="CI737:CJ737"/>
    <mergeCell ref="CP723:CT723"/>
    <mergeCell ref="CM724:CN724"/>
    <mergeCell ref="CM733:CN733"/>
    <mergeCell ref="CI733:CJ733"/>
    <mergeCell ref="CP737:CT737"/>
    <mergeCell ref="B733:F733"/>
    <mergeCell ref="B731:F731"/>
    <mergeCell ref="B730:F730"/>
    <mergeCell ref="G683:R683"/>
    <mergeCell ref="N681:O681"/>
    <mergeCell ref="X719:AB719"/>
    <mergeCell ref="G686:R686"/>
    <mergeCell ref="N689:O689"/>
    <mergeCell ref="AH729:AJ729"/>
    <mergeCell ref="X729:AB729"/>
    <mergeCell ref="AK732:AO732"/>
    <mergeCell ref="AK733:AO733"/>
    <mergeCell ref="B736:F736"/>
    <mergeCell ref="X733:AB733"/>
    <mergeCell ref="AH735:AJ735"/>
    <mergeCell ref="X734:AB734"/>
    <mergeCell ref="AC828:AF828"/>
    <mergeCell ref="AG829:AJ829"/>
    <mergeCell ref="AG826:AJ826"/>
    <mergeCell ref="AG825:AJ825"/>
    <mergeCell ref="AC895:AH895"/>
    <mergeCell ref="Z900:AE900"/>
    <mergeCell ref="W866:AC866"/>
    <mergeCell ref="G661:R661"/>
    <mergeCell ref="B720:F720"/>
    <mergeCell ref="B722:F722"/>
    <mergeCell ref="AG673:AH673"/>
    <mergeCell ref="B728:F728"/>
    <mergeCell ref="B725:F725"/>
    <mergeCell ref="B724:F724"/>
    <mergeCell ref="B727:F727"/>
    <mergeCell ref="H680:R680"/>
    <mergeCell ref="Z668:AK668"/>
    <mergeCell ref="G676:R676"/>
    <mergeCell ref="O719:S719"/>
    <mergeCell ref="G719:J719"/>
    <mergeCell ref="AC718:AG718"/>
    <mergeCell ref="R705:T705"/>
    <mergeCell ref="AK727:AO727"/>
    <mergeCell ref="AK723:AO723"/>
    <mergeCell ref="AK724:AO724"/>
    <mergeCell ref="AK725:AO725"/>
    <mergeCell ref="AH718:AJ718"/>
    <mergeCell ref="AH724:AJ724"/>
    <mergeCell ref="C892:AB892"/>
    <mergeCell ref="AH749:AJ749"/>
    <mergeCell ref="AC739:AG739"/>
    <mergeCell ref="C837:AJ837"/>
    <mergeCell ref="F926:T926"/>
    <mergeCell ref="F927:T927"/>
    <mergeCell ref="F928:T928"/>
    <mergeCell ref="U926:Z926"/>
    <mergeCell ref="AA926:AF926"/>
    <mergeCell ref="U927:Z927"/>
    <mergeCell ref="AA927:AF927"/>
    <mergeCell ref="AC887:AH887"/>
    <mergeCell ref="AC886:AH886"/>
    <mergeCell ref="Q832:T832"/>
    <mergeCell ref="U832:X832"/>
    <mergeCell ref="M832:P83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U823:X824"/>
    <mergeCell ref="Z806:AE806"/>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BD904:BE904"/>
    <mergeCell ref="BD906:BF906"/>
    <mergeCell ref="AA928:AF928"/>
    <mergeCell ref="AA944:AF944"/>
    <mergeCell ref="AA936:AF936"/>
    <mergeCell ref="U943:Z943"/>
    <mergeCell ref="B734:F734"/>
    <mergeCell ref="X789:AB789"/>
    <mergeCell ref="T741:W741"/>
    <mergeCell ref="T791:W791"/>
    <mergeCell ref="T787:W787"/>
    <mergeCell ref="O795:S795"/>
    <mergeCell ref="T789:W789"/>
    <mergeCell ref="U933:Z933"/>
    <mergeCell ref="C895:AB89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W874:AC874"/>
    <mergeCell ref="AC830:AF830"/>
    <mergeCell ref="Y832:AB832"/>
    <mergeCell ref="AC831:AF831"/>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Q827:T827"/>
    <mergeCell ref="O793:S793"/>
    <mergeCell ref="AC783:AG786"/>
    <mergeCell ref="T795:W795"/>
    <mergeCell ref="Q829:T829"/>
    <mergeCell ref="AC796:AG796"/>
    <mergeCell ref="O730:S730"/>
    <mergeCell ref="X732:AB732"/>
    <mergeCell ref="K734:N734"/>
    <mergeCell ref="AC823:AF824"/>
    <mergeCell ref="Z816:AE816"/>
    <mergeCell ref="AC773:AG773"/>
    <mergeCell ref="G738:J738"/>
    <mergeCell ref="O783:S786"/>
    <mergeCell ref="M825:P825"/>
    <mergeCell ref="AK746:AO746"/>
    <mergeCell ref="T788:W788"/>
    <mergeCell ref="Z685:AK685"/>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Z807:AE807"/>
    <mergeCell ref="O774:S774"/>
    <mergeCell ref="O794:S794"/>
    <mergeCell ref="X769:AB772"/>
    <mergeCell ref="T769:W772"/>
    <mergeCell ref="AC793:AG793"/>
    <mergeCell ref="X775:AB775"/>
    <mergeCell ref="X776:AB776"/>
    <mergeCell ref="AC775:AG775"/>
    <mergeCell ref="T738:W738"/>
    <mergeCell ref="AK735:AO735"/>
    <mergeCell ref="J791:N791"/>
    <mergeCell ref="Q559:S559"/>
    <mergeCell ref="P581:R581"/>
    <mergeCell ref="N591:O591"/>
    <mergeCell ref="Q560:S560"/>
    <mergeCell ref="Q565:S565"/>
    <mergeCell ref="Q561:S561"/>
    <mergeCell ref="C562:L562"/>
    <mergeCell ref="Z585:AK585"/>
    <mergeCell ref="G594:R594"/>
    <mergeCell ref="Z594:AK594"/>
    <mergeCell ref="Z610:AK610"/>
    <mergeCell ref="AF628:AJ628"/>
    <mergeCell ref="N599:O599"/>
    <mergeCell ref="AA590:AK590"/>
    <mergeCell ref="AI589:AK589"/>
    <mergeCell ref="Z596:AK596"/>
    <mergeCell ref="H598:R598"/>
    <mergeCell ref="AG583:AH583"/>
    <mergeCell ref="Z580:AK580"/>
    <mergeCell ref="Z569:AK569"/>
    <mergeCell ref="N607:O607"/>
    <mergeCell ref="G593:R593"/>
    <mergeCell ref="G605:L605"/>
    <mergeCell ref="H606:R606"/>
    <mergeCell ref="AI597:AK597"/>
    <mergeCell ref="C627:L627"/>
    <mergeCell ref="AK624:AN626"/>
    <mergeCell ref="G570:R570"/>
    <mergeCell ref="Z561:AD561"/>
    <mergeCell ref="W560:Y560"/>
    <mergeCell ref="P572:R572"/>
    <mergeCell ref="AI605:AK605"/>
    <mergeCell ref="AE562:AH562"/>
    <mergeCell ref="Q562:S562"/>
    <mergeCell ref="G568:R568"/>
    <mergeCell ref="M574:R574"/>
    <mergeCell ref="M561:P561"/>
    <mergeCell ref="Z577:AK577"/>
    <mergeCell ref="AF574:AK574"/>
    <mergeCell ref="C565:L565"/>
    <mergeCell ref="Z603:AK603"/>
    <mergeCell ref="AA573:AK573"/>
    <mergeCell ref="Z578:AK578"/>
    <mergeCell ref="N583:O583"/>
    <mergeCell ref="AI560:AL560"/>
    <mergeCell ref="C560:L560"/>
    <mergeCell ref="AG591:AH591"/>
    <mergeCell ref="Z595:AK595"/>
    <mergeCell ref="G603:R603"/>
    <mergeCell ref="P597:R597"/>
    <mergeCell ref="G597:L597"/>
    <mergeCell ref="G602:R602"/>
    <mergeCell ref="W564:Y564"/>
    <mergeCell ref="W565:Y565"/>
    <mergeCell ref="Z597:AE597"/>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R411:S411"/>
    <mergeCell ref="W551:Y553"/>
    <mergeCell ref="AH521:AK521"/>
    <mergeCell ref="AC530:AF530"/>
    <mergeCell ref="Z555:AD555"/>
    <mergeCell ref="O535:AA535"/>
    <mergeCell ref="AE558:AH558"/>
    <mergeCell ref="W471:Y471"/>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AH523:AK523"/>
    <mergeCell ref="I421:K421"/>
    <mergeCell ref="AH524:AK524"/>
    <mergeCell ref="AH525:AK525"/>
    <mergeCell ref="P418:R418"/>
    <mergeCell ref="AA336:AK336"/>
    <mergeCell ref="S402:U402"/>
    <mergeCell ref="AA339:AF339"/>
    <mergeCell ref="S489:AK490"/>
    <mergeCell ref="M263:R263"/>
    <mergeCell ref="M265:T265"/>
    <mergeCell ref="AA314:AK314"/>
    <mergeCell ref="AA313:AK313"/>
    <mergeCell ref="AA316:AF316"/>
    <mergeCell ref="AA297:AK297"/>
    <mergeCell ref="M253:T253"/>
    <mergeCell ref="L274:AJ274"/>
    <mergeCell ref="H291:M291"/>
    <mergeCell ref="H299:M299"/>
    <mergeCell ref="H300:M300"/>
    <mergeCell ref="AA257:AK257"/>
    <mergeCell ref="M260:AE260"/>
    <mergeCell ref="AA265:AK265"/>
    <mergeCell ref="M261:T261"/>
    <mergeCell ref="H312:R312"/>
    <mergeCell ref="AI307:AK307"/>
    <mergeCell ref="H304:R304"/>
    <mergeCell ref="H303:R303"/>
    <mergeCell ref="P424:Q424"/>
    <mergeCell ref="D473:V473"/>
    <mergeCell ref="AE425:AF425"/>
    <mergeCell ref="V381:W381"/>
    <mergeCell ref="AA320:AK320"/>
    <mergeCell ref="H317:R317"/>
    <mergeCell ref="D470:V470"/>
    <mergeCell ref="D438:AF438"/>
    <mergeCell ref="H314:R314"/>
    <mergeCell ref="H316:M316"/>
    <mergeCell ref="P323:R323"/>
    <mergeCell ref="AA315:AF315"/>
    <mergeCell ref="P349:AE349"/>
    <mergeCell ref="AA308:AF308"/>
    <mergeCell ref="M254:AE254"/>
    <mergeCell ref="AH262:AK262"/>
    <mergeCell ref="T267:X267"/>
    <mergeCell ref="AA319:AK319"/>
    <mergeCell ref="AA291:AF291"/>
    <mergeCell ref="AI291:AK291"/>
    <mergeCell ref="AA323:AF323"/>
    <mergeCell ref="H323:M323"/>
    <mergeCell ref="AA330:AK330"/>
    <mergeCell ref="H324:M324"/>
    <mergeCell ref="AA325:AK325"/>
    <mergeCell ref="H315:M315"/>
    <mergeCell ref="L276:S276"/>
    <mergeCell ref="L278:Q278"/>
    <mergeCell ref="AH254:AK254"/>
    <mergeCell ref="M259:AE259"/>
    <mergeCell ref="AA293:AK293"/>
    <mergeCell ref="L280:AD280"/>
    <mergeCell ref="L275:AD275"/>
    <mergeCell ref="V276:W276"/>
    <mergeCell ref="AA301:AK301"/>
    <mergeCell ref="AA296:AK296"/>
    <mergeCell ref="H301:R301"/>
    <mergeCell ref="L277:AD277"/>
    <mergeCell ref="P339:R339"/>
    <mergeCell ref="AA341:AK341"/>
    <mergeCell ref="AA290:AK290"/>
    <mergeCell ref="AA287:AK28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AA289:AK289"/>
    <mergeCell ref="AA288:AK288"/>
    <mergeCell ref="H297:R297"/>
    <mergeCell ref="H296:R296"/>
    <mergeCell ref="H298:R29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U255:W255"/>
    <mergeCell ref="P299:R299"/>
    <mergeCell ref="H293:R293"/>
    <mergeCell ref="M264:AE264"/>
    <mergeCell ref="AB276:AD276"/>
    <mergeCell ref="Y278:AD278"/>
    <mergeCell ref="AF259:AK259"/>
    <mergeCell ref="AC261:AE261"/>
    <mergeCell ref="M262:AE262"/>
    <mergeCell ref="AA299:AF299"/>
    <mergeCell ref="AI299:AK299"/>
    <mergeCell ref="AA300:AF300"/>
    <mergeCell ref="W261:X261"/>
    <mergeCell ref="U263:W263"/>
    <mergeCell ref="M257:T257"/>
    <mergeCell ref="M256:AE256"/>
    <mergeCell ref="H288:R288"/>
    <mergeCell ref="H287:R287"/>
    <mergeCell ref="H289:R289"/>
    <mergeCell ref="H290:R290"/>
    <mergeCell ref="AA298:AK298"/>
    <mergeCell ref="AA292:AF292"/>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R177:S177"/>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AE402:AJ402"/>
    <mergeCell ref="AC504:AF504"/>
    <mergeCell ref="AE554:AH554"/>
    <mergeCell ref="Q492:AK492"/>
    <mergeCell ref="AF418:AH418"/>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H340:M340"/>
    <mergeCell ref="T720:W720"/>
    <mergeCell ref="K714:N717"/>
    <mergeCell ref="C635:L635"/>
    <mergeCell ref="C630:L630"/>
    <mergeCell ref="C631:L631"/>
    <mergeCell ref="C632:L632"/>
    <mergeCell ref="P687:R687"/>
    <mergeCell ref="O714:S717"/>
    <mergeCell ref="J704:X704"/>
    <mergeCell ref="K720:N720"/>
    <mergeCell ref="T714:W717"/>
    <mergeCell ref="H664:R664"/>
    <mergeCell ref="AA648:AK648"/>
    <mergeCell ref="N665:O665"/>
    <mergeCell ref="AK637:AN637"/>
    <mergeCell ref="Z646:AK646"/>
    <mergeCell ref="W631:Y631"/>
    <mergeCell ref="AF630:AJ630"/>
    <mergeCell ref="G685:R685"/>
    <mergeCell ref="M635:P635"/>
    <mergeCell ref="G646:R646"/>
    <mergeCell ref="Z652:AK652"/>
    <mergeCell ref="P647:R647"/>
    <mergeCell ref="AI647:AK647"/>
    <mergeCell ref="G654:R654"/>
    <mergeCell ref="G653:R653"/>
    <mergeCell ref="AE696:AI696"/>
    <mergeCell ref="K718:N718"/>
    <mergeCell ref="G718:J718"/>
    <mergeCell ref="G670:R670"/>
    <mergeCell ref="Z669:AK669"/>
    <mergeCell ref="E707:AK707"/>
    <mergeCell ref="B489:P490"/>
    <mergeCell ref="AC506:AF506"/>
    <mergeCell ref="Q489:R490"/>
    <mergeCell ref="Q488:AK488"/>
    <mergeCell ref="AH535:AK535"/>
    <mergeCell ref="AC532:AF532"/>
    <mergeCell ref="AJ356:AK356"/>
    <mergeCell ref="AD377:AE377"/>
    <mergeCell ref="AC371:AF371"/>
    <mergeCell ref="AC385:AJ385"/>
    <mergeCell ref="E368:AH369"/>
    <mergeCell ref="Q365:AG365"/>
    <mergeCell ref="AG395:AJ395"/>
    <mergeCell ref="AI392:AJ392"/>
    <mergeCell ref="AG394:AJ394"/>
    <mergeCell ref="E420:AJ420"/>
    <mergeCell ref="H414:AE415"/>
    <mergeCell ref="AC503:AF503"/>
    <mergeCell ref="AC513:AF513"/>
    <mergeCell ref="D466:V466"/>
    <mergeCell ref="Y364:Z364"/>
    <mergeCell ref="N378:P378"/>
    <mergeCell ref="M358:N358"/>
    <mergeCell ref="AH519:AK519"/>
    <mergeCell ref="W418:Y418"/>
    <mergeCell ref="AG439:AJ439"/>
    <mergeCell ref="AE424:AF424"/>
    <mergeCell ref="N371:Q371"/>
    <mergeCell ref="V382:W382"/>
    <mergeCell ref="J367:K367"/>
    <mergeCell ref="S405:AJ405"/>
    <mergeCell ref="AG379:AH379"/>
    <mergeCell ref="CG723:CH723"/>
    <mergeCell ref="CG720:CH720"/>
    <mergeCell ref="CG742:CH742"/>
    <mergeCell ref="CG743:CH743"/>
    <mergeCell ref="CG719:CH719"/>
    <mergeCell ref="CI721:CJ721"/>
    <mergeCell ref="V377:W377"/>
    <mergeCell ref="S377:T377"/>
    <mergeCell ref="D437:AF437"/>
    <mergeCell ref="D442:AF442"/>
    <mergeCell ref="AF430:AG430"/>
    <mergeCell ref="AG437:AJ437"/>
    <mergeCell ref="J388:U388"/>
    <mergeCell ref="AG449:AJ449"/>
    <mergeCell ref="AC528:AF528"/>
    <mergeCell ref="C554:L554"/>
    <mergeCell ref="D446:AF446"/>
    <mergeCell ref="D447:AF447"/>
    <mergeCell ref="W466:Y466"/>
    <mergeCell ref="AG446:AJ446"/>
    <mergeCell ref="W467:Y467"/>
    <mergeCell ref="W470:Y470"/>
    <mergeCell ref="D471:V471"/>
    <mergeCell ref="O532:AA532"/>
    <mergeCell ref="B551:L553"/>
    <mergeCell ref="M554:P554"/>
    <mergeCell ref="W465:Y465"/>
    <mergeCell ref="W469:Y469"/>
    <mergeCell ref="AH501:AK501"/>
    <mergeCell ref="G474:V474"/>
    <mergeCell ref="AH738:AJ738"/>
    <mergeCell ref="AH736:AJ736"/>
    <mergeCell ref="CI722:CJ722"/>
    <mergeCell ref="CG721:CH721"/>
    <mergeCell ref="CK720:CL720"/>
    <mergeCell ref="CG731:CH731"/>
    <mergeCell ref="CG741:CH741"/>
    <mergeCell ref="CI741:CJ741"/>
    <mergeCell ref="O748:S748"/>
    <mergeCell ref="K737:N737"/>
    <mergeCell ref="X727:AB727"/>
    <mergeCell ref="G728:J728"/>
    <mergeCell ref="CM747:CN747"/>
    <mergeCell ref="CK723:CL723"/>
    <mergeCell ref="CK721:CL721"/>
    <mergeCell ref="CM726:CN726"/>
    <mergeCell ref="CI732:CJ732"/>
    <mergeCell ref="G731:J731"/>
    <mergeCell ref="T732:W732"/>
    <mergeCell ref="T731:W731"/>
    <mergeCell ref="AH733:AJ733"/>
    <mergeCell ref="CI743:CJ743"/>
    <mergeCell ref="CK743:CL743"/>
    <mergeCell ref="CM743:CN743"/>
    <mergeCell ref="O723:S723"/>
    <mergeCell ref="X723:AB723"/>
    <mergeCell ref="O724:S724"/>
    <mergeCell ref="T725:W725"/>
    <mergeCell ref="G724:J724"/>
    <mergeCell ref="T729:W729"/>
    <mergeCell ref="CK722:CL722"/>
    <mergeCell ref="AK742:AO742"/>
    <mergeCell ref="X742:AB742"/>
    <mergeCell ref="AH742:AJ742"/>
    <mergeCell ref="B729:F729"/>
    <mergeCell ref="G663:L663"/>
    <mergeCell ref="G644:R644"/>
    <mergeCell ref="P655:R655"/>
    <mergeCell ref="CU722:CY722"/>
    <mergeCell ref="CZ722:DD722"/>
    <mergeCell ref="K727:N727"/>
    <mergeCell ref="K726:N726"/>
    <mergeCell ref="K730:N730"/>
    <mergeCell ref="B641:AN641"/>
    <mergeCell ref="G643:R643"/>
    <mergeCell ref="AE693:AF693"/>
    <mergeCell ref="G651:R651"/>
    <mergeCell ref="CG724:CH724"/>
    <mergeCell ref="CG730:CH730"/>
    <mergeCell ref="CG728:CH728"/>
    <mergeCell ref="X718:AB718"/>
    <mergeCell ref="G721:J721"/>
    <mergeCell ref="G722:J722"/>
    <mergeCell ref="X722:AB722"/>
    <mergeCell ref="CM718:CN718"/>
    <mergeCell ref="T719:W719"/>
    <mergeCell ref="AG665:AH665"/>
    <mergeCell ref="AH728:AJ728"/>
    <mergeCell ref="CP726:CT726"/>
    <mergeCell ref="CZ723:DD723"/>
    <mergeCell ref="AK729:AO729"/>
    <mergeCell ref="X714:AB717"/>
    <mergeCell ref="AE694:AF694"/>
    <mergeCell ref="A709:AT711"/>
    <mergeCell ref="G660:R660"/>
    <mergeCell ref="AG657:AH657"/>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Z633:AB633"/>
    <mergeCell ref="AI679:AK679"/>
    <mergeCell ref="Z663:AE663"/>
    <mergeCell ref="Z643:AK643"/>
    <mergeCell ref="CK748:CL748"/>
    <mergeCell ref="CM748:CN748"/>
    <mergeCell ref="Z570:AK570"/>
    <mergeCell ref="CK744:CL744"/>
    <mergeCell ref="CM744:CN744"/>
    <mergeCell ref="CG738:CH738"/>
    <mergeCell ref="CK739:CL739"/>
    <mergeCell ref="Z660:AK660"/>
    <mergeCell ref="AH719:AJ719"/>
    <mergeCell ref="CK725:CL725"/>
    <mergeCell ref="CI748:CJ748"/>
    <mergeCell ref="CG747:CH747"/>
    <mergeCell ref="CI747:CJ747"/>
    <mergeCell ref="CK747:CL747"/>
    <mergeCell ref="CM742:CN742"/>
    <mergeCell ref="Z557:AD557"/>
    <mergeCell ref="T562:V562"/>
    <mergeCell ref="AC538:AF538"/>
    <mergeCell ref="Z554:AD554"/>
    <mergeCell ref="AH531:AK531"/>
    <mergeCell ref="AH540:AK540"/>
    <mergeCell ref="AH538:AK538"/>
    <mergeCell ref="AC516:AF516"/>
    <mergeCell ref="O523:AA523"/>
    <mergeCell ref="Q554:S554"/>
    <mergeCell ref="T565:V565"/>
    <mergeCell ref="N657:O657"/>
    <mergeCell ref="N649:O649"/>
    <mergeCell ref="Z560:AD560"/>
    <mergeCell ref="AC539:AF539"/>
    <mergeCell ref="AC637:AE637"/>
    <mergeCell ref="T634:V634"/>
    <mergeCell ref="AF634:AJ634"/>
    <mergeCell ref="W637:Y637"/>
    <mergeCell ref="Z634:AB634"/>
    <mergeCell ref="T555:V555"/>
    <mergeCell ref="G604:R604"/>
    <mergeCell ref="G577:R577"/>
    <mergeCell ref="Z559:AD559"/>
    <mergeCell ref="Z562:AD562"/>
    <mergeCell ref="W561:Y561"/>
    <mergeCell ref="W562:Y562"/>
    <mergeCell ref="T559:V559"/>
    <mergeCell ref="Z604:AK604"/>
    <mergeCell ref="C563:L563"/>
    <mergeCell ref="AE565:AH565"/>
    <mergeCell ref="AI565:AL565"/>
    <mergeCell ref="S392:U392"/>
    <mergeCell ref="AG390:AJ390"/>
    <mergeCell ref="Q391:U391"/>
    <mergeCell ref="N372:Q372"/>
    <mergeCell ref="AC505:AF505"/>
    <mergeCell ref="AH522:AK522"/>
    <mergeCell ref="D467:V467"/>
    <mergeCell ref="AG441:AJ441"/>
    <mergeCell ref="AC515:AF515"/>
    <mergeCell ref="AC514:AF514"/>
    <mergeCell ref="AH515:AK515"/>
    <mergeCell ref="AC507:AF507"/>
    <mergeCell ref="M495:P495"/>
    <mergeCell ref="AC501:AF501"/>
    <mergeCell ref="AG438:AJ438"/>
    <mergeCell ref="B501:H502"/>
    <mergeCell ref="D449:AF449"/>
    <mergeCell ref="AH505:AK505"/>
    <mergeCell ref="D468:V468"/>
    <mergeCell ref="AC512:AF512"/>
    <mergeCell ref="AC521:AF521"/>
    <mergeCell ref="Q485:AK485"/>
    <mergeCell ref="AH513:AK513"/>
    <mergeCell ref="AG443:AJ443"/>
    <mergeCell ref="L508:AB508"/>
    <mergeCell ref="O520:AA520"/>
    <mergeCell ref="AG444:AJ444"/>
    <mergeCell ref="D440:AF440"/>
    <mergeCell ref="AH503:AK503"/>
    <mergeCell ref="AC500:AF500"/>
    <mergeCell ref="AC519:AF519"/>
    <mergeCell ref="AH516:AK516"/>
    <mergeCell ref="AG450:AJ450"/>
    <mergeCell ref="M551:P553"/>
    <mergeCell ref="AC536:AF536"/>
    <mergeCell ref="Q494:AK494"/>
    <mergeCell ref="AC455:AF455"/>
    <mergeCell ref="F457:AB458"/>
    <mergeCell ref="Q491:AK491"/>
    <mergeCell ref="AH495:AK495"/>
    <mergeCell ref="D465:V465"/>
    <mergeCell ref="AC509:AF509"/>
    <mergeCell ref="W474:Y474"/>
    <mergeCell ref="AC531:AF531"/>
    <mergeCell ref="AE555:AH555"/>
    <mergeCell ref="AH518:AK518"/>
    <mergeCell ref="AH514:AK514"/>
    <mergeCell ref="Q555:S555"/>
    <mergeCell ref="AH539:AK539"/>
    <mergeCell ref="AH541:AK541"/>
    <mergeCell ref="AC535:AF535"/>
    <mergeCell ref="AI554:AL554"/>
    <mergeCell ref="Q551:S553"/>
    <mergeCell ref="T551:V553"/>
    <mergeCell ref="M555:P555"/>
    <mergeCell ref="AC510:AF510"/>
    <mergeCell ref="AH527:AK527"/>
    <mergeCell ref="AC517:AF517"/>
    <mergeCell ref="AC520:AF520"/>
    <mergeCell ref="AC527:AF527"/>
    <mergeCell ref="AC525:AF525"/>
    <mergeCell ref="Z551:AD553"/>
    <mergeCell ref="AH526:AK526"/>
    <mergeCell ref="AC542:AF542"/>
    <mergeCell ref="DE741:DI741"/>
    <mergeCell ref="X743:AB743"/>
    <mergeCell ref="X744:AB744"/>
    <mergeCell ref="AH743:AJ743"/>
    <mergeCell ref="AH744:AJ744"/>
    <mergeCell ref="CP741:CT741"/>
    <mergeCell ref="T742:W742"/>
    <mergeCell ref="CU742:CY742"/>
    <mergeCell ref="T554:V554"/>
    <mergeCell ref="AC524:AF524"/>
    <mergeCell ref="AH506:AK506"/>
    <mergeCell ref="AH508:AK508"/>
    <mergeCell ref="AC540:AF540"/>
    <mergeCell ref="AC508:AF508"/>
    <mergeCell ref="AH537:AK537"/>
    <mergeCell ref="AC534:AF534"/>
    <mergeCell ref="AH542:AK542"/>
    <mergeCell ref="AH507:AK507"/>
    <mergeCell ref="AI558:AL558"/>
    <mergeCell ref="T556:V556"/>
    <mergeCell ref="AC541:AF541"/>
    <mergeCell ref="W557:Y557"/>
    <mergeCell ref="AC526:AF526"/>
    <mergeCell ref="AE557:AH557"/>
    <mergeCell ref="AH532:AK532"/>
    <mergeCell ref="AC522:AF522"/>
    <mergeCell ref="AM555:AS555"/>
    <mergeCell ref="AI557:AL557"/>
    <mergeCell ref="T724:W724"/>
    <mergeCell ref="AM551:AS553"/>
    <mergeCell ref="AH529:AK529"/>
    <mergeCell ref="AH534:AK534"/>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C555:L555"/>
    <mergeCell ref="C556:L556"/>
    <mergeCell ref="CI742:CJ742"/>
    <mergeCell ref="CK742:CL742"/>
    <mergeCell ref="CP742:CT742"/>
    <mergeCell ref="Q557:S557"/>
    <mergeCell ref="C557:L557"/>
    <mergeCell ref="M556:P556"/>
    <mergeCell ref="C559:L559"/>
    <mergeCell ref="AH722:AJ722"/>
    <mergeCell ref="AI572:AK572"/>
    <mergeCell ref="T564:V564"/>
    <mergeCell ref="AM554:AS554"/>
    <mergeCell ref="AO639:AS639"/>
    <mergeCell ref="AO629:AS629"/>
    <mergeCell ref="AO638:AS638"/>
    <mergeCell ref="AC523:AF523"/>
    <mergeCell ref="CZ742:DD742"/>
    <mergeCell ref="DE742:DI74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I746:CJ746"/>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M664:EQ664"/>
    <mergeCell ref="ER664:EV664"/>
    <mergeCell ref="EW661:FA661"/>
    <mergeCell ref="EW660:FA660"/>
    <mergeCell ref="DX661:EB661"/>
    <mergeCell ref="FY749:GC749"/>
    <mergeCell ref="FE746:FI746"/>
    <mergeCell ref="FJ746:FN746"/>
    <mergeCell ref="FO746:FS746"/>
    <mergeCell ref="FT750:FX750"/>
    <mergeCell ref="FY750:GC750"/>
    <mergeCell ref="EJ745:EN745"/>
    <mergeCell ref="EZ741:FD741"/>
    <mergeCell ref="FE741:FI741"/>
    <mergeCell ref="FJ741:FN741"/>
    <mergeCell ref="FO741:FS741"/>
    <mergeCell ref="FY741:GC741"/>
    <mergeCell ref="EZ742:FD742"/>
    <mergeCell ref="FT742:FX742"/>
    <mergeCell ref="FY742:GC742"/>
    <mergeCell ref="EZ743:FD743"/>
    <mergeCell ref="FE743:FI743"/>
    <mergeCell ref="FJ743:FN743"/>
    <mergeCell ref="FO743:FS743"/>
    <mergeCell ref="FT743:FX743"/>
    <mergeCell ref="FY743:GC743"/>
    <mergeCell ref="FO744:FS744"/>
    <mergeCell ref="FT744:FX744"/>
    <mergeCell ref="FY744:GC744"/>
    <mergeCell ref="EJ743:EN743"/>
    <mergeCell ref="EO743:ES743"/>
    <mergeCell ref="ET743:EX743"/>
    <mergeCell ref="EJ744:EN744"/>
    <mergeCell ref="EO744:ES744"/>
    <mergeCell ref="ET744:EX744"/>
    <mergeCell ref="ET742:EX742"/>
    <mergeCell ref="FE742:FI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T741:EX741"/>
    <mergeCell ref="DJ742:DN742"/>
    <mergeCell ref="DO742:DS742"/>
    <mergeCell ref="CU743:CY743"/>
    <mergeCell ref="FO751:FS751"/>
    <mergeCell ref="EE753:EI753"/>
    <mergeCell ref="EO753:ES753"/>
    <mergeCell ref="DJ753:DN753"/>
    <mergeCell ref="EE745:EI745"/>
    <mergeCell ref="EO745:ES745"/>
    <mergeCell ref="DU749:DY749"/>
    <mergeCell ref="DZ749:ED749"/>
    <mergeCell ref="CP746:CT746"/>
    <mergeCell ref="CK746:CL746"/>
    <mergeCell ref="CM746:CN746"/>
    <mergeCell ref="FO753:FS753"/>
    <mergeCell ref="FJ748:FN748"/>
    <mergeCell ref="FO748:FS748"/>
    <mergeCell ref="EZ745:FD745"/>
    <mergeCell ref="CU745:CY745"/>
    <mergeCell ref="EO747:ES747"/>
    <mergeCell ref="ET747:EX747"/>
    <mergeCell ref="DU748:DY748"/>
    <mergeCell ref="DZ748:ED748"/>
    <mergeCell ref="EE748:EI748"/>
    <mergeCell ref="FO742:FS742"/>
    <mergeCell ref="CK750:CL750"/>
    <mergeCell ref="CM750:CN750"/>
    <mergeCell ref="CU746:CY746"/>
    <mergeCell ref="DU753:DY753"/>
    <mergeCell ref="EJ748:EN748"/>
    <mergeCell ref="DE746:DI746"/>
    <mergeCell ref="CP745:CT745"/>
    <mergeCell ref="DU741:DY741"/>
    <mergeCell ref="DU745:DY745"/>
    <mergeCell ref="DZ745:ED745"/>
    <mergeCell ref="DU743:DY743"/>
    <mergeCell ref="DZ743:ED743"/>
    <mergeCell ref="EE743:EI743"/>
    <mergeCell ref="DU744:DY744"/>
    <mergeCell ref="DZ744:ED744"/>
    <mergeCell ref="EE744:EI744"/>
    <mergeCell ref="DU742:DY742"/>
    <mergeCell ref="DZ742:ED742"/>
    <mergeCell ref="FJ742:FN742"/>
    <mergeCell ref="EE741:EI741"/>
    <mergeCell ref="EJ741:EN741"/>
    <mergeCell ref="EO741:ES741"/>
    <mergeCell ref="FJ753:FN753"/>
    <mergeCell ref="DJ743:DN743"/>
    <mergeCell ref="DO743:DS743"/>
    <mergeCell ref="DO744:DS744"/>
    <mergeCell ref="DO750:DS750"/>
    <mergeCell ref="DJ745:DN745"/>
    <mergeCell ref="DO745:DS745"/>
    <mergeCell ref="EZ748:FD748"/>
    <mergeCell ref="ET752:EX752"/>
    <mergeCell ref="EO751:ES751"/>
    <mergeCell ref="ET753:EX753"/>
    <mergeCell ref="FE751:FI751"/>
    <mergeCell ref="FJ751:FN751"/>
    <mergeCell ref="EZ744:FD744"/>
    <mergeCell ref="FE744:FI744"/>
    <mergeCell ref="FJ744:FN744"/>
    <mergeCell ref="FE748:FI748"/>
    <mergeCell ref="EO748:ES748"/>
    <mergeCell ref="ET748:EX748"/>
    <mergeCell ref="CK752:CL752"/>
    <mergeCell ref="CP747:CT747"/>
    <mergeCell ref="CG748:CH748"/>
    <mergeCell ref="CZ750:DD750"/>
    <mergeCell ref="CZ752:DD752"/>
    <mergeCell ref="CU752:CY752"/>
    <mergeCell ref="CZ745:DD745"/>
    <mergeCell ref="DE745:DI745"/>
    <mergeCell ref="CP753:CT753"/>
    <mergeCell ref="T744:W744"/>
    <mergeCell ref="AK743:AO743"/>
    <mergeCell ref="AK744:AO744"/>
    <mergeCell ref="CZ743:DD743"/>
    <mergeCell ref="DE743:DI743"/>
    <mergeCell ref="DO747:DS747"/>
    <mergeCell ref="CK751:CL751"/>
    <mergeCell ref="CG744:CH744"/>
    <mergeCell ref="CI744:CJ744"/>
    <mergeCell ref="CG750:CH750"/>
    <mergeCell ref="CG746:CH746"/>
    <mergeCell ref="CG749:CH749"/>
    <mergeCell ref="DZ753:ED753"/>
    <mergeCell ref="DO753:DS753"/>
    <mergeCell ref="CI750:CJ750"/>
    <mergeCell ref="CU751:CY751"/>
    <mergeCell ref="CI753:CJ753"/>
    <mergeCell ref="CP751:CT751"/>
    <mergeCell ref="CM751:CN751"/>
    <mergeCell ref="CP743:CT743"/>
    <mergeCell ref="CM745:CN745"/>
    <mergeCell ref="AA1057:AF1057"/>
    <mergeCell ref="DO792:DS792"/>
    <mergeCell ref="DO787:DS787"/>
    <mergeCell ref="DO788:DS788"/>
    <mergeCell ref="DO789:DS789"/>
    <mergeCell ref="DO790:DS790"/>
    <mergeCell ref="DO791:DS791"/>
    <mergeCell ref="DO793:DS793"/>
    <mergeCell ref="DO794:DS794"/>
    <mergeCell ref="DO795:DS795"/>
    <mergeCell ref="DO796:DS796"/>
    <mergeCell ref="DO797:DS797"/>
    <mergeCell ref="CZ775:DD775"/>
    <mergeCell ref="CZ776:DD776"/>
    <mergeCell ref="CP796:CT796"/>
    <mergeCell ref="CP793:CT793"/>
    <mergeCell ref="CU802:CY802"/>
    <mergeCell ref="CZ802:DD802"/>
    <mergeCell ref="X777:AB777"/>
    <mergeCell ref="X795:AB795"/>
    <mergeCell ref="Z813:AE813"/>
    <mergeCell ref="C798:AN799"/>
    <mergeCell ref="J793:N793"/>
    <mergeCell ref="AC788:AG788"/>
    <mergeCell ref="X792:AB792"/>
    <mergeCell ref="U826:X826"/>
    <mergeCell ref="X794:AB794"/>
    <mergeCell ref="T776:W776"/>
    <mergeCell ref="M828:P828"/>
    <mergeCell ref="J779:K779"/>
    <mergeCell ref="J787:N787"/>
    <mergeCell ref="C829:H829"/>
    <mergeCell ref="CP773:CT773"/>
    <mergeCell ref="CU773:CY773"/>
    <mergeCell ref="DJ776:DN776"/>
    <mergeCell ref="CU775:CY775"/>
    <mergeCell ref="CU776:CY776"/>
    <mergeCell ref="CP775:CT775"/>
    <mergeCell ref="CP776:CT776"/>
    <mergeCell ref="CP748:CT748"/>
    <mergeCell ref="CU748:CY748"/>
    <mergeCell ref="CU744:CY744"/>
    <mergeCell ref="AA1056:AF1056"/>
    <mergeCell ref="AC774:AG774"/>
    <mergeCell ref="CM753:CN753"/>
    <mergeCell ref="CI752:CJ752"/>
    <mergeCell ref="CP750:CT750"/>
    <mergeCell ref="CU750:CY750"/>
    <mergeCell ref="AC885:AH885"/>
    <mergeCell ref="AC894:AH894"/>
    <mergeCell ref="Z899:AE899"/>
    <mergeCell ref="AC888:AH888"/>
    <mergeCell ref="AG830:AJ830"/>
    <mergeCell ref="BI841:BL841"/>
    <mergeCell ref="Y828:AB828"/>
    <mergeCell ref="AC769:AG772"/>
    <mergeCell ref="DE752:DI752"/>
    <mergeCell ref="CG752:CH752"/>
    <mergeCell ref="CZ744:DD744"/>
    <mergeCell ref="BD905:BF905"/>
    <mergeCell ref="BD910:BE910"/>
    <mergeCell ref="BD903:BE903"/>
    <mergeCell ref="AC889:AH889"/>
    <mergeCell ref="W843:AC843"/>
    <mergeCell ref="ET799:EX799"/>
    <mergeCell ref="EO788:ES788"/>
    <mergeCell ref="EO789:ES789"/>
    <mergeCell ref="EO790:ES790"/>
    <mergeCell ref="EO791:ES791"/>
    <mergeCell ref="EO792:ES792"/>
    <mergeCell ref="EO793:ES793"/>
    <mergeCell ref="EO794:ES794"/>
    <mergeCell ref="EO795:ES795"/>
    <mergeCell ref="EO797:ES797"/>
    <mergeCell ref="ET787:EX787"/>
    <mergeCell ref="ET788:EX788"/>
    <mergeCell ref="ET789:EX789"/>
    <mergeCell ref="ET790:EX790"/>
    <mergeCell ref="ET791:EX791"/>
    <mergeCell ref="ET792:EX792"/>
    <mergeCell ref="G1058:AN1060"/>
    <mergeCell ref="AC892:AH892"/>
    <mergeCell ref="DJ796:DN796"/>
    <mergeCell ref="DJ797:DN797"/>
    <mergeCell ref="CP797:CT797"/>
    <mergeCell ref="M827:P827"/>
    <mergeCell ref="J797:N797"/>
    <mergeCell ref="J795:N795"/>
    <mergeCell ref="J794:N794"/>
    <mergeCell ref="J789:N789"/>
    <mergeCell ref="Y801:AC801"/>
    <mergeCell ref="Y800:AC800"/>
    <mergeCell ref="U828:X828"/>
    <mergeCell ref="AG828:AJ828"/>
    <mergeCell ref="O788:S788"/>
    <mergeCell ref="C828:H828"/>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E787:EI787"/>
    <mergeCell ref="EE788:EI788"/>
    <mergeCell ref="EE789:EI789"/>
    <mergeCell ref="DZ794:ED794"/>
    <mergeCell ref="EJ797:EN797"/>
    <mergeCell ref="DZ797:ED797"/>
    <mergeCell ref="DE795:DI795"/>
    <mergeCell ref="DE796:DI796"/>
    <mergeCell ref="DE790:DI790"/>
    <mergeCell ref="DE791:DI791"/>
    <mergeCell ref="DE792:DI792"/>
    <mergeCell ref="DE793:DI793"/>
    <mergeCell ref="ET793:EX793"/>
    <mergeCell ref="ET794:EX794"/>
    <mergeCell ref="ET795:EX795"/>
    <mergeCell ref="ET796:EX796"/>
    <mergeCell ref="ET797:EX797"/>
    <mergeCell ref="DE797:DI797"/>
    <mergeCell ref="DJ789:DN789"/>
    <mergeCell ref="DJ790:DN790"/>
    <mergeCell ref="DJ791:DN791"/>
    <mergeCell ref="DJ792:DN792"/>
    <mergeCell ref="DJ793:DN793"/>
    <mergeCell ref="DJ794:DN794"/>
    <mergeCell ref="DJ795:DN795"/>
    <mergeCell ref="DZ787:ED787"/>
    <mergeCell ref="DZ788:ED788"/>
    <mergeCell ref="DZ789:ED789"/>
    <mergeCell ref="DZ790:ED790"/>
    <mergeCell ref="DZ791:ED791"/>
    <mergeCell ref="DZ792:ED792"/>
    <mergeCell ref="DZ793:ED793"/>
    <mergeCell ref="EO787:ES787"/>
    <mergeCell ref="EE795:EI795"/>
    <mergeCell ref="EE796:EI796"/>
    <mergeCell ref="DE794:DI794"/>
    <mergeCell ref="EE797:EI797"/>
    <mergeCell ref="DZ795:ED795"/>
    <mergeCell ref="DU797:DY797"/>
    <mergeCell ref="H295:R295"/>
    <mergeCell ref="AA295:AK295"/>
    <mergeCell ref="H320:R320"/>
    <mergeCell ref="H319:R319"/>
    <mergeCell ref="H321:R321"/>
    <mergeCell ref="H322:R322"/>
    <mergeCell ref="EO796:ES796"/>
    <mergeCell ref="EJ788:EN788"/>
    <mergeCell ref="EJ789:EN789"/>
    <mergeCell ref="EJ790:EN790"/>
    <mergeCell ref="EJ791:EN791"/>
    <mergeCell ref="EJ792:EN792"/>
    <mergeCell ref="EJ793:EN793"/>
    <mergeCell ref="EJ794:EN794"/>
    <mergeCell ref="EJ795:EN795"/>
    <mergeCell ref="EJ796:EN796"/>
    <mergeCell ref="DZ796:ED796"/>
    <mergeCell ref="EE790:EI790"/>
    <mergeCell ref="EE791:EI791"/>
    <mergeCell ref="EE792:EI792"/>
    <mergeCell ref="EE793:EI793"/>
    <mergeCell ref="EE794:EI794"/>
    <mergeCell ref="CU796:CY796"/>
    <mergeCell ref="CZ787:DD787"/>
    <mergeCell ref="CZ788:DD788"/>
    <mergeCell ref="CZ789:DD789"/>
    <mergeCell ref="CP794:CT794"/>
    <mergeCell ref="CZ753:DD753"/>
    <mergeCell ref="DJ775:DN775"/>
    <mergeCell ref="CU787:CY787"/>
    <mergeCell ref="CU788:CY788"/>
    <mergeCell ref="CU789:CY789"/>
    <mergeCell ref="DO773:DS773"/>
    <mergeCell ref="CU797:CY797"/>
    <mergeCell ref="CU790:CY790"/>
    <mergeCell ref="CU791:CY791"/>
    <mergeCell ref="CU792:CY792"/>
    <mergeCell ref="CU793:CY793"/>
    <mergeCell ref="CU794:CY794"/>
    <mergeCell ref="CU795:CY795"/>
    <mergeCell ref="CZ793:DD793"/>
    <mergeCell ref="CZ794:DD794"/>
    <mergeCell ref="CZ795:DD795"/>
    <mergeCell ref="CP795:CT795"/>
    <mergeCell ref="CZ790:DD790"/>
    <mergeCell ref="CP789:CT789"/>
    <mergeCell ref="DJ787:DN787"/>
    <mergeCell ref="DJ788:DN788"/>
    <mergeCell ref="CZ792:DD792"/>
    <mergeCell ref="CP792:CT792"/>
    <mergeCell ref="CP791:CT791"/>
    <mergeCell ref="CP790:CT790"/>
    <mergeCell ref="CP787:CT787"/>
    <mergeCell ref="CZ796:DD796"/>
    <mergeCell ref="CZ797:DD797"/>
    <mergeCell ref="DE787:DI787"/>
    <mergeCell ref="DE788:DI788"/>
    <mergeCell ref="DO776:DS776"/>
    <mergeCell ref="DO775:DS775"/>
    <mergeCell ref="DE776:DI776"/>
    <mergeCell ref="DO774:DS774"/>
    <mergeCell ref="DE774:DI774"/>
    <mergeCell ref="CZ791:DD791"/>
    <mergeCell ref="CP777:CT77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68" workbookViewId="0">
      <selection activeCell="S110" sqref="S11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9" t="s">
        <v>622</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1)Permanent Mortgage</v>
      </c>
      <c r="G2" s="139" t="str">
        <f>Application!B628&amp;Application!C628</f>
        <v>2)HCD MHP</v>
      </c>
      <c r="H2" s="139" t="str">
        <f>Application!B629&amp;Application!C629</f>
        <v>3)County of Marin</v>
      </c>
      <c r="I2" s="139" t="str">
        <f>Application!B630&amp;Application!C630</f>
        <v>4)LGMG</v>
      </c>
      <c r="J2" s="139" t="str">
        <f>Application!B631&amp;Application!C631</f>
        <v>5)Marin Community Foundation</v>
      </c>
      <c r="K2" s="139" t="str">
        <f>Application!B632&amp;Application!C632</f>
        <v>6)GP Equity</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892980</v>
      </c>
      <c r="C5" s="147">
        <v>892980</v>
      </c>
      <c r="D5" s="147"/>
      <c r="E5" s="147">
        <f t="shared" ref="E5:E7" si="0">B5-SUM(F5:Q5)</f>
        <v>292980</v>
      </c>
      <c r="F5" s="147"/>
      <c r="G5" s="147"/>
      <c r="H5" s="147"/>
      <c r="I5" s="147"/>
      <c r="J5" s="147">
        <f>Application!AO631</f>
        <v>600000</v>
      </c>
      <c r="K5" s="147"/>
      <c r="L5" s="147"/>
      <c r="M5" s="147"/>
      <c r="N5" s="147"/>
      <c r="O5" s="147"/>
      <c r="P5" s="147"/>
      <c r="Q5" s="147"/>
      <c r="R5" s="516">
        <f>SUM(E5:Q5)</f>
        <v>892980</v>
      </c>
      <c r="S5" s="148"/>
      <c r="T5" s="148"/>
      <c r="U5" s="143"/>
    </row>
    <row r="6" spans="1:21" s="144" customFormat="1">
      <c r="A6" s="145" t="s">
        <v>29</v>
      </c>
      <c r="B6" s="146">
        <f>SUM(C6+D6)</f>
        <v>10000</v>
      </c>
      <c r="C6" s="147">
        <v>10000</v>
      </c>
      <c r="D6" s="147"/>
      <c r="E6" s="147">
        <f t="shared" si="0"/>
        <v>10000</v>
      </c>
      <c r="F6" s="147"/>
      <c r="G6" s="147"/>
      <c r="H6" s="147"/>
      <c r="I6" s="147"/>
      <c r="J6" s="147"/>
      <c r="K6" s="147"/>
      <c r="L6" s="147"/>
      <c r="M6" s="147"/>
      <c r="N6" s="147"/>
      <c r="O6" s="147"/>
      <c r="P6" s="147"/>
      <c r="Q6" s="147"/>
      <c r="R6" s="516">
        <f>SUM(E6:Q6)</f>
        <v>10000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902980</v>
      </c>
      <c r="C8" s="146">
        <f t="shared" ref="C8:Q8" si="1">SUM(C4:C7)</f>
        <v>902980</v>
      </c>
      <c r="D8" s="146">
        <f t="shared" si="1"/>
        <v>0</v>
      </c>
      <c r="E8" s="146">
        <f t="shared" si="1"/>
        <v>302980</v>
      </c>
      <c r="F8" s="146">
        <f t="shared" si="1"/>
        <v>0</v>
      </c>
      <c r="G8" s="146">
        <f t="shared" si="1"/>
        <v>0</v>
      </c>
      <c r="H8" s="146">
        <f t="shared" si="1"/>
        <v>0</v>
      </c>
      <c r="I8" s="146">
        <f t="shared" si="1"/>
        <v>0</v>
      </c>
      <c r="J8" s="146">
        <f t="shared" si="1"/>
        <v>600000</v>
      </c>
      <c r="K8" s="146">
        <f t="shared" si="1"/>
        <v>0</v>
      </c>
      <c r="L8" s="146">
        <f t="shared" si="1"/>
        <v>0</v>
      </c>
      <c r="M8" s="146">
        <f t="shared" si="1"/>
        <v>0</v>
      </c>
      <c r="N8" s="146">
        <f t="shared" si="1"/>
        <v>0</v>
      </c>
      <c r="O8" s="146">
        <f t="shared" si="1"/>
        <v>0</v>
      </c>
      <c r="P8" s="146"/>
      <c r="Q8" s="146">
        <f t="shared" si="1"/>
        <v>0</v>
      </c>
      <c r="R8" s="342">
        <f>SUM(R4:R7)</f>
        <v>902980</v>
      </c>
      <c r="S8" s="148"/>
      <c r="T8" s="148"/>
      <c r="U8" s="143"/>
    </row>
    <row r="9" spans="1:21" s="144" customFormat="1">
      <c r="A9" s="145" t="s">
        <v>595</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219000</v>
      </c>
      <c r="C10" s="147">
        <v>219000</v>
      </c>
      <c r="D10" s="147"/>
      <c r="E10" s="147">
        <f t="shared" si="2"/>
        <v>219000</v>
      </c>
      <c r="F10" s="147"/>
      <c r="G10" s="147"/>
      <c r="H10" s="147"/>
      <c r="I10" s="147"/>
      <c r="J10" s="147"/>
      <c r="K10" s="147"/>
      <c r="L10" s="147"/>
      <c r="M10" s="147"/>
      <c r="N10" s="147"/>
      <c r="O10" s="147"/>
      <c r="P10" s="147"/>
      <c r="Q10" s="147"/>
      <c r="R10" s="516">
        <f>SUM(E10:Q10)</f>
        <v>219000</v>
      </c>
      <c r="S10" s="147">
        <f>R10</f>
        <v>219000</v>
      </c>
      <c r="T10" s="147"/>
      <c r="U10" s="143"/>
    </row>
    <row r="11" spans="1:21" s="144" customFormat="1">
      <c r="A11" s="149" t="s">
        <v>597</v>
      </c>
      <c r="B11" s="146">
        <f>SUM(C11:D11)</f>
        <v>219000</v>
      </c>
      <c r="C11" s="146">
        <f t="shared" ref="C11:Q11" si="3">SUM(C9:C10)</f>
        <v>219000</v>
      </c>
      <c r="D11" s="146">
        <f t="shared" si="3"/>
        <v>0</v>
      </c>
      <c r="E11" s="146">
        <f t="shared" si="3"/>
        <v>219000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219000</v>
      </c>
      <c r="S11" s="148"/>
      <c r="T11" s="150">
        <f>SUM(T9:T10)</f>
        <v>0</v>
      </c>
      <c r="U11" s="143"/>
    </row>
    <row r="12" spans="1:21" s="144" customFormat="1">
      <c r="A12" s="149" t="s">
        <v>84</v>
      </c>
      <c r="B12" s="146">
        <f t="shared" ref="B12:Q12" si="4">SUM(B8+B11)</f>
        <v>1121980</v>
      </c>
      <c r="C12" s="146">
        <f t="shared" si="4"/>
        <v>1121980</v>
      </c>
      <c r="D12" s="146">
        <f t="shared" si="4"/>
        <v>0</v>
      </c>
      <c r="E12" s="146">
        <f t="shared" si="4"/>
        <v>521980</v>
      </c>
      <c r="F12" s="146">
        <f t="shared" si="4"/>
        <v>0</v>
      </c>
      <c r="G12" s="146">
        <f t="shared" si="4"/>
        <v>0</v>
      </c>
      <c r="H12" s="146">
        <f t="shared" si="4"/>
        <v>0</v>
      </c>
      <c r="I12" s="146">
        <f t="shared" si="4"/>
        <v>0</v>
      </c>
      <c r="J12" s="146">
        <f t="shared" si="4"/>
        <v>600000</v>
      </c>
      <c r="K12" s="146">
        <f t="shared" si="4"/>
        <v>0</v>
      </c>
      <c r="L12" s="146">
        <f t="shared" si="4"/>
        <v>0</v>
      </c>
      <c r="M12" s="146">
        <f t="shared" si="4"/>
        <v>0</v>
      </c>
      <c r="N12" s="146">
        <f t="shared" si="4"/>
        <v>0</v>
      </c>
      <c r="O12" s="146">
        <f t="shared" si="4"/>
        <v>0</v>
      </c>
      <c r="P12" s="146"/>
      <c r="Q12" s="146">
        <f t="shared" si="4"/>
        <v>0</v>
      </c>
      <c r="R12" s="342">
        <f>SUM(R8+R11)</f>
        <v>1121980</v>
      </c>
      <c r="S12" s="148"/>
      <c r="T12" s="148"/>
      <c r="U12" s="143"/>
    </row>
    <row r="13" spans="1:21" s="144" customFormat="1">
      <c r="A13" s="287" t="s">
        <v>903</v>
      </c>
      <c r="B13" s="146">
        <f>SUM(C13+D13)</f>
        <v>317396</v>
      </c>
      <c r="C13" s="147">
        <v>317396</v>
      </c>
      <c r="D13" s="147"/>
      <c r="E13" s="147">
        <f t="shared" ref="E13:E15" si="5">B13-SUM(F13:Q13)</f>
        <v>317396</v>
      </c>
      <c r="F13" s="147"/>
      <c r="G13" s="147"/>
      <c r="H13" s="147"/>
      <c r="I13" s="147"/>
      <c r="J13" s="147"/>
      <c r="K13" s="147"/>
      <c r="L13" s="147"/>
      <c r="M13" s="147"/>
      <c r="N13" s="147"/>
      <c r="O13" s="147"/>
      <c r="P13" s="147"/>
      <c r="Q13" s="147"/>
      <c r="R13" s="516">
        <f>SUM(E13:Q13)</f>
        <v>317396</v>
      </c>
      <c r="S13" s="147">
        <f>R13</f>
        <v>317396</v>
      </c>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10715760</v>
      </c>
      <c r="C29" s="147">
        <v>10715760</v>
      </c>
      <c r="D29" s="147"/>
      <c r="E29" s="147">
        <f t="shared" ref="E29:E37" si="11">B29-SUM(F29:Q29)</f>
        <v>1022154</v>
      </c>
      <c r="F29" s="147"/>
      <c r="G29" s="147"/>
      <c r="H29" s="147"/>
      <c r="I29" s="147">
        <f>Application!AO630</f>
        <v>1900000</v>
      </c>
      <c r="J29" s="147"/>
      <c r="K29" s="147">
        <f>ROUND(Application!AO632,0)</f>
        <v>7793606</v>
      </c>
      <c r="L29" s="147"/>
      <c r="M29" s="147"/>
      <c r="N29" s="147"/>
      <c r="O29" s="147"/>
      <c r="P29" s="147"/>
      <c r="Q29" s="147"/>
      <c r="R29" s="516">
        <f t="shared" ref="R29:R37" si="12">SUM(E29:Q29)</f>
        <v>10715760</v>
      </c>
      <c r="S29" s="147">
        <v>7015760</v>
      </c>
      <c r="T29" s="147"/>
      <c r="U29" s="143"/>
    </row>
    <row r="30" spans="1:21" s="144" customFormat="1">
      <c r="A30" s="145" t="s">
        <v>600</v>
      </c>
      <c r="B30" s="146">
        <f t="shared" si="10"/>
        <v>57886213</v>
      </c>
      <c r="C30" s="147">
        <v>57886213</v>
      </c>
      <c r="D30" s="147"/>
      <c r="E30" s="147">
        <f t="shared" si="11"/>
        <v>592700</v>
      </c>
      <c r="F30" s="147">
        <f>Application!AO627</f>
        <v>9273000</v>
      </c>
      <c r="G30" s="147">
        <f>Application!AO628</f>
        <v>41999143</v>
      </c>
      <c r="H30" s="147">
        <f>Application!AO629</f>
        <v>6021370</v>
      </c>
      <c r="I30" s="147"/>
      <c r="J30" s="147"/>
      <c r="K30" s="147"/>
      <c r="L30" s="147"/>
      <c r="M30" s="147"/>
      <c r="N30" s="147"/>
      <c r="O30" s="147"/>
      <c r="P30" s="147"/>
      <c r="Q30" s="147"/>
      <c r="R30" s="516">
        <f t="shared" si="12"/>
        <v>57886213</v>
      </c>
      <c r="S30" s="147">
        <f>R30</f>
        <v>57886213</v>
      </c>
      <c r="T30" s="147"/>
      <c r="U30" s="143"/>
    </row>
    <row r="31" spans="1:21" s="144" customFormat="1">
      <c r="A31" s="145" t="s">
        <v>601</v>
      </c>
      <c r="B31" s="146">
        <f t="shared" si="10"/>
        <v>2026372</v>
      </c>
      <c r="C31" s="147">
        <v>2026372</v>
      </c>
      <c r="D31" s="147"/>
      <c r="E31" s="147">
        <f t="shared" si="11"/>
        <v>2026372</v>
      </c>
      <c r="F31" s="147"/>
      <c r="G31" s="147"/>
      <c r="H31" s="147"/>
      <c r="I31" s="147"/>
      <c r="J31" s="147"/>
      <c r="K31" s="147"/>
      <c r="L31" s="147"/>
      <c r="M31" s="147"/>
      <c r="N31" s="147"/>
      <c r="O31" s="147"/>
      <c r="P31" s="147"/>
      <c r="Q31" s="147"/>
      <c r="R31" s="516">
        <f t="shared" si="12"/>
        <v>2026372</v>
      </c>
      <c r="S31" s="147">
        <f t="shared" ref="S31:S37" si="13">R31</f>
        <v>2026372</v>
      </c>
      <c r="T31" s="147"/>
      <c r="U31" s="143"/>
    </row>
    <row r="32" spans="1:21" s="144" customFormat="1">
      <c r="A32" s="145" t="s">
        <v>137</v>
      </c>
      <c r="B32" s="146">
        <f t="shared" si="10"/>
        <v>1013186</v>
      </c>
      <c r="C32" s="147">
        <v>1013186</v>
      </c>
      <c r="D32" s="147"/>
      <c r="E32" s="147">
        <f t="shared" si="11"/>
        <v>1013186</v>
      </c>
      <c r="F32" s="147"/>
      <c r="G32" s="147"/>
      <c r="H32" s="147"/>
      <c r="I32" s="147"/>
      <c r="J32" s="147"/>
      <c r="K32" s="147"/>
      <c r="L32" s="147"/>
      <c r="M32" s="147"/>
      <c r="N32" s="147"/>
      <c r="O32" s="147"/>
      <c r="P32" s="147"/>
      <c r="Q32" s="147"/>
      <c r="R32" s="516">
        <f t="shared" si="12"/>
        <v>1013186</v>
      </c>
      <c r="S32" s="147">
        <f t="shared" si="13"/>
        <v>1013186</v>
      </c>
      <c r="T32" s="147"/>
      <c r="U32" s="143"/>
    </row>
    <row r="33" spans="1:21" s="144" customFormat="1">
      <c r="A33" s="145" t="s">
        <v>138</v>
      </c>
      <c r="B33" s="146">
        <f t="shared" si="10"/>
        <v>1013186</v>
      </c>
      <c r="C33" s="147">
        <v>1013186</v>
      </c>
      <c r="D33" s="147"/>
      <c r="E33" s="147">
        <f t="shared" si="11"/>
        <v>1013186</v>
      </c>
      <c r="F33" s="147"/>
      <c r="G33" s="147"/>
      <c r="H33" s="147"/>
      <c r="I33" s="147"/>
      <c r="J33" s="147"/>
      <c r="K33" s="147"/>
      <c r="L33" s="147"/>
      <c r="M33" s="147"/>
      <c r="N33" s="147"/>
      <c r="O33" s="147"/>
      <c r="P33" s="147"/>
      <c r="Q33" s="147"/>
      <c r="R33" s="516">
        <f t="shared" si="12"/>
        <v>1013186</v>
      </c>
      <c r="S33" s="147">
        <f t="shared" si="13"/>
        <v>1013186</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675457</v>
      </c>
      <c r="C35" s="147">
        <v>675457</v>
      </c>
      <c r="D35" s="147"/>
      <c r="E35" s="147">
        <f t="shared" si="11"/>
        <v>675457</v>
      </c>
      <c r="F35" s="147"/>
      <c r="G35" s="147"/>
      <c r="H35" s="147"/>
      <c r="I35" s="147"/>
      <c r="J35" s="147"/>
      <c r="K35" s="147"/>
      <c r="L35" s="147"/>
      <c r="M35" s="147"/>
      <c r="N35" s="147"/>
      <c r="O35" s="147"/>
      <c r="P35" s="147"/>
      <c r="Q35" s="147"/>
      <c r="R35" s="516">
        <f t="shared" si="12"/>
        <v>675457</v>
      </c>
      <c r="S35" s="147">
        <f t="shared" si="13"/>
        <v>675457</v>
      </c>
      <c r="T35" s="147"/>
      <c r="U35" s="143"/>
    </row>
    <row r="36" spans="1:21" s="144" customFormat="1">
      <c r="A36" s="283" t="s">
        <v>1641</v>
      </c>
      <c r="B36" s="146">
        <f t="shared" si="10"/>
        <v>262000</v>
      </c>
      <c r="C36" s="147">
        <v>262000</v>
      </c>
      <c r="D36" s="147"/>
      <c r="E36" s="147">
        <f t="shared" si="11"/>
        <v>262000</v>
      </c>
      <c r="F36" s="147"/>
      <c r="G36" s="147"/>
      <c r="H36" s="147"/>
      <c r="I36" s="147"/>
      <c r="J36" s="147"/>
      <c r="K36" s="147"/>
      <c r="L36" s="147"/>
      <c r="M36" s="147"/>
      <c r="N36" s="147"/>
      <c r="O36" s="147"/>
      <c r="P36" s="147"/>
      <c r="Q36" s="147"/>
      <c r="R36" s="516">
        <f t="shared" si="12"/>
        <v>262000</v>
      </c>
      <c r="S36" s="147">
        <f t="shared" si="13"/>
        <v>262000</v>
      </c>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f t="shared" si="13"/>
        <v>0</v>
      </c>
      <c r="T37" s="147"/>
      <c r="U37" s="143"/>
    </row>
    <row r="38" spans="1:21" s="144" customFormat="1">
      <c r="A38" s="149" t="s">
        <v>143</v>
      </c>
      <c r="B38" s="146">
        <f t="shared" si="10"/>
        <v>73592174</v>
      </c>
      <c r="C38" s="146">
        <f>SUM(C29:C37)</f>
        <v>73592174</v>
      </c>
      <c r="D38" s="146">
        <f t="shared" ref="D38:Q38" si="14">SUM(D29:D37)</f>
        <v>0</v>
      </c>
      <c r="E38" s="146">
        <f t="shared" si="14"/>
        <v>6605055</v>
      </c>
      <c r="F38" s="146">
        <f t="shared" si="14"/>
        <v>9273000</v>
      </c>
      <c r="G38" s="146">
        <f t="shared" si="14"/>
        <v>41999143</v>
      </c>
      <c r="H38" s="146">
        <f t="shared" si="14"/>
        <v>6021370</v>
      </c>
      <c r="I38" s="146">
        <f t="shared" si="14"/>
        <v>1900000</v>
      </c>
      <c r="J38" s="146">
        <f t="shared" si="14"/>
        <v>0</v>
      </c>
      <c r="K38" s="146">
        <f t="shared" si="14"/>
        <v>7793606</v>
      </c>
      <c r="L38" s="146">
        <f t="shared" si="14"/>
        <v>0</v>
      </c>
      <c r="M38" s="146">
        <f t="shared" si="14"/>
        <v>0</v>
      </c>
      <c r="N38" s="146">
        <f t="shared" si="14"/>
        <v>0</v>
      </c>
      <c r="O38" s="146">
        <f t="shared" si="14"/>
        <v>0</v>
      </c>
      <c r="P38" s="146">
        <f t="shared" si="14"/>
        <v>0</v>
      </c>
      <c r="Q38" s="146">
        <f t="shared" si="14"/>
        <v>0</v>
      </c>
      <c r="R38" s="342">
        <f>SUM(R29:R37)</f>
        <v>73592174</v>
      </c>
      <c r="S38" s="150">
        <f>SUM(S29:S37)</f>
        <v>69892174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1912200</v>
      </c>
      <c r="C40" s="147">
        <v>1912200</v>
      </c>
      <c r="D40" s="147"/>
      <c r="E40" s="147">
        <f t="shared" ref="E40:E53" si="15">B40-SUM(F40:Q40)</f>
        <v>1912200</v>
      </c>
      <c r="F40" s="147"/>
      <c r="G40" s="147"/>
      <c r="H40" s="147"/>
      <c r="I40" s="147"/>
      <c r="J40" s="147"/>
      <c r="K40" s="147"/>
      <c r="L40" s="147"/>
      <c r="M40" s="147"/>
      <c r="N40" s="147"/>
      <c r="O40" s="147"/>
      <c r="P40" s="147"/>
      <c r="Q40" s="147"/>
      <c r="R40" s="516">
        <f>SUM(E40:Q40)</f>
        <v>1912200</v>
      </c>
      <c r="S40" s="147">
        <f>R40</f>
        <v>1912200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1912200</v>
      </c>
      <c r="C42" s="146">
        <f>SUM(C39:C41)</f>
        <v>1912200</v>
      </c>
      <c r="D42" s="146">
        <f>SUM(D39:D41)</f>
        <v>0</v>
      </c>
      <c r="E42" s="146">
        <f t="shared" ref="E42:T42" si="16">SUM(E40:E41)</f>
        <v>1912200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1912200</v>
      </c>
      <c r="S42" s="150">
        <f t="shared" si="16"/>
        <v>1912200</v>
      </c>
      <c r="T42" s="150">
        <f t="shared" si="16"/>
        <v>0</v>
      </c>
      <c r="U42" s="143"/>
    </row>
    <row r="43" spans="1:21" s="144" customFormat="1">
      <c r="A43" s="149" t="s">
        <v>148</v>
      </c>
      <c r="B43" s="146">
        <f>SUM(C43:D43)</f>
        <v>340000</v>
      </c>
      <c r="C43" s="147">
        <v>340000</v>
      </c>
      <c r="D43" s="147"/>
      <c r="E43" s="147">
        <f t="shared" si="15"/>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8421656</v>
      </c>
      <c r="C45" s="147">
        <v>8421656</v>
      </c>
      <c r="D45" s="147"/>
      <c r="E45" s="147">
        <f t="shared" si="15"/>
        <v>8421656</v>
      </c>
      <c r="F45" s="147"/>
      <c r="G45" s="147"/>
      <c r="H45" s="147"/>
      <c r="I45" s="147"/>
      <c r="J45" s="147"/>
      <c r="K45" s="147"/>
      <c r="L45" s="147"/>
      <c r="M45" s="147"/>
      <c r="N45" s="147"/>
      <c r="O45" s="147"/>
      <c r="P45" s="147"/>
      <c r="Q45" s="147"/>
      <c r="R45" s="516">
        <f t="shared" ref="R45:R53" si="18">SUM(E45:Q45)</f>
        <v>8421656</v>
      </c>
      <c r="S45" s="147">
        <v>4210828</v>
      </c>
      <c r="T45" s="147"/>
      <c r="U45" s="143"/>
    </row>
    <row r="46" spans="1:21" s="144" customFormat="1">
      <c r="A46" s="145" t="s">
        <v>151</v>
      </c>
      <c r="B46" s="146">
        <f t="shared" si="17"/>
        <v>967480</v>
      </c>
      <c r="C46" s="147">
        <v>967480</v>
      </c>
      <c r="D46" s="147"/>
      <c r="E46" s="147">
        <f t="shared" si="15"/>
        <v>967480</v>
      </c>
      <c r="F46" s="147"/>
      <c r="G46" s="147"/>
      <c r="H46" s="147"/>
      <c r="I46" s="147"/>
      <c r="J46" s="147"/>
      <c r="K46" s="147"/>
      <c r="L46" s="147"/>
      <c r="M46" s="147"/>
      <c r="N46" s="147"/>
      <c r="O46" s="147"/>
      <c r="P46" s="147"/>
      <c r="Q46" s="147"/>
      <c r="R46" s="516">
        <f t="shared" si="18"/>
        <v>967480</v>
      </c>
      <c r="S46" s="147">
        <v>83046</v>
      </c>
      <c r="T46" s="147"/>
      <c r="U46" s="143"/>
    </row>
    <row r="47" spans="1:21" s="144" customFormat="1">
      <c r="A47" s="186" t="s">
        <v>152</v>
      </c>
      <c r="B47" s="146">
        <f t="shared" si="17"/>
        <v>0</v>
      </c>
      <c r="C47" s="147"/>
      <c r="D47" s="147"/>
      <c r="E47" s="147">
        <f t="shared" si="15"/>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7"/>
        <v>0</v>
      </c>
      <c r="C48" s="147"/>
      <c r="D48" s="147"/>
      <c r="E48" s="147">
        <f t="shared" si="15"/>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7"/>
        <v>275328</v>
      </c>
      <c r="C49" s="147">
        <v>275328</v>
      </c>
      <c r="D49" s="147"/>
      <c r="E49" s="147">
        <f t="shared" si="15"/>
        <v>275328</v>
      </c>
      <c r="F49" s="147"/>
      <c r="G49" s="147"/>
      <c r="H49" s="147"/>
      <c r="I49" s="147"/>
      <c r="J49" s="147"/>
      <c r="K49" s="147"/>
      <c r="L49" s="147"/>
      <c r="M49" s="147"/>
      <c r="N49" s="147"/>
      <c r="O49" s="147"/>
      <c r="P49" s="147"/>
      <c r="Q49" s="147"/>
      <c r="R49" s="516">
        <f t="shared" si="18"/>
        <v>275328</v>
      </c>
      <c r="S49" s="147">
        <v>23633</v>
      </c>
      <c r="T49" s="147"/>
      <c r="U49" s="143"/>
    </row>
    <row r="50" spans="1:21" s="144" customFormat="1">
      <c r="A50" s="145" t="s">
        <v>156</v>
      </c>
      <c r="B50" s="146">
        <f t="shared" si="17"/>
        <v>80000</v>
      </c>
      <c r="C50" s="147">
        <v>80000</v>
      </c>
      <c r="D50" s="147"/>
      <c r="E50" s="147">
        <f t="shared" si="15"/>
        <v>80000</v>
      </c>
      <c r="F50" s="147"/>
      <c r="G50" s="147"/>
      <c r="H50" s="147"/>
      <c r="I50" s="147"/>
      <c r="J50" s="147"/>
      <c r="K50" s="147"/>
      <c r="L50" s="147"/>
      <c r="M50" s="147"/>
      <c r="N50" s="147"/>
      <c r="O50" s="147"/>
      <c r="P50" s="147"/>
      <c r="Q50" s="147"/>
      <c r="R50" s="516">
        <f t="shared" si="18"/>
        <v>80000</v>
      </c>
      <c r="S50" s="147">
        <f>R50</f>
        <v>80000</v>
      </c>
      <c r="T50" s="147"/>
      <c r="U50" s="143"/>
    </row>
    <row r="51" spans="1:21" s="144" customFormat="1">
      <c r="A51" s="283" t="s">
        <v>154</v>
      </c>
      <c r="B51" s="146">
        <f t="shared" si="17"/>
        <v>0</v>
      </c>
      <c r="C51" s="147"/>
      <c r="D51" s="147"/>
      <c r="E51" s="147">
        <f t="shared" si="15"/>
        <v>0</v>
      </c>
      <c r="F51" s="147"/>
      <c r="G51" s="147"/>
      <c r="H51" s="147"/>
      <c r="I51" s="147"/>
      <c r="J51" s="147"/>
      <c r="K51" s="147"/>
      <c r="L51" s="147"/>
      <c r="M51" s="147"/>
      <c r="N51" s="147"/>
      <c r="O51" s="147"/>
      <c r="P51" s="147"/>
      <c r="Q51" s="147"/>
      <c r="R51" s="516">
        <f t="shared" si="18"/>
        <v>0</v>
      </c>
      <c r="S51" s="147"/>
      <c r="T51" s="147"/>
      <c r="U51" s="143"/>
    </row>
    <row r="52" spans="1:21" s="144" customFormat="1">
      <c r="A52" s="145" t="s">
        <v>155</v>
      </c>
      <c r="B52" s="146">
        <f t="shared" si="17"/>
        <v>1846425</v>
      </c>
      <c r="C52" s="147">
        <v>1846425</v>
      </c>
      <c r="D52" s="147"/>
      <c r="E52" s="147">
        <f t="shared" si="15"/>
        <v>1846425</v>
      </c>
      <c r="F52" s="147"/>
      <c r="G52" s="147"/>
      <c r="H52" s="147"/>
      <c r="I52" s="147"/>
      <c r="J52" s="147"/>
      <c r="K52" s="147"/>
      <c r="L52" s="147"/>
      <c r="M52" s="147"/>
      <c r="N52" s="147"/>
      <c r="O52" s="147"/>
      <c r="P52" s="147"/>
      <c r="Q52" s="147"/>
      <c r="R52" s="516">
        <f t="shared" si="18"/>
        <v>1846425</v>
      </c>
      <c r="S52" s="147">
        <f>R52</f>
        <v>1846425</v>
      </c>
      <c r="T52" s="147"/>
      <c r="U52" s="143"/>
    </row>
    <row r="53" spans="1:21" s="144" customFormat="1">
      <c r="A53" s="1149" t="s">
        <v>2722</v>
      </c>
      <c r="B53" s="146">
        <f t="shared" si="17"/>
        <v>20000</v>
      </c>
      <c r="C53" s="147">
        <v>20000</v>
      </c>
      <c r="D53" s="147"/>
      <c r="E53" s="147">
        <f t="shared" si="15"/>
        <v>20000</v>
      </c>
      <c r="F53" s="147"/>
      <c r="G53" s="147"/>
      <c r="H53" s="147"/>
      <c r="I53" s="147"/>
      <c r="J53" s="147"/>
      <c r="K53" s="147"/>
      <c r="L53" s="147"/>
      <c r="M53" s="147"/>
      <c r="N53" s="147"/>
      <c r="O53" s="147"/>
      <c r="P53" s="147"/>
      <c r="Q53" s="147"/>
      <c r="R53" s="516">
        <f t="shared" si="18"/>
        <v>20000</v>
      </c>
      <c r="S53" s="147">
        <f>R53</f>
        <v>20000</v>
      </c>
      <c r="T53" s="147"/>
      <c r="U53" s="143"/>
    </row>
    <row r="54" spans="1:21" s="153" customFormat="1">
      <c r="A54" s="149" t="s">
        <v>157</v>
      </c>
      <c r="B54" s="150">
        <f>SUM(C54:D54)</f>
        <v>11610889</v>
      </c>
      <c r="C54" s="150">
        <f t="shared" ref="C54:T54" si="19">SUM(C45:C53)</f>
        <v>11610889</v>
      </c>
      <c r="D54" s="150">
        <f t="shared" si="19"/>
        <v>0</v>
      </c>
      <c r="E54" s="150">
        <f t="shared" si="19"/>
        <v>11610889</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11610889</v>
      </c>
      <c r="S54" s="150">
        <f t="shared" si="19"/>
        <v>6263932</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92730</v>
      </c>
      <c r="C56" s="147">
        <v>92730</v>
      </c>
      <c r="D56" s="147"/>
      <c r="E56" s="147">
        <f t="shared" ref="E56:E61" si="21">B56-SUM(F56:Q56)</f>
        <v>92730</v>
      </c>
      <c r="F56" s="147"/>
      <c r="G56" s="147"/>
      <c r="H56" s="147"/>
      <c r="I56" s="147"/>
      <c r="J56" s="147"/>
      <c r="K56" s="147"/>
      <c r="L56" s="147"/>
      <c r="M56" s="147"/>
      <c r="N56" s="147"/>
      <c r="O56" s="147"/>
      <c r="P56" s="147"/>
      <c r="Q56" s="147"/>
      <c r="R56" s="516">
        <f t="shared" ref="R56:R61" si="22">SUM(E56:Q56)</f>
        <v>92730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50000</v>
      </c>
      <c r="C58" s="147">
        <v>50000</v>
      </c>
      <c r="D58" s="147"/>
      <c r="E58" s="147">
        <f t="shared" si="21"/>
        <v>50000</v>
      </c>
      <c r="F58" s="147"/>
      <c r="G58" s="147"/>
      <c r="H58" s="147"/>
      <c r="I58" s="147"/>
      <c r="J58" s="147"/>
      <c r="K58" s="147"/>
      <c r="L58" s="147"/>
      <c r="M58" s="147"/>
      <c r="N58" s="147"/>
      <c r="O58" s="147"/>
      <c r="P58" s="147"/>
      <c r="Q58" s="147"/>
      <c r="R58" s="516">
        <f t="shared" si="22"/>
        <v>50000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2723</v>
      </c>
      <c r="B61" s="146">
        <f t="shared" si="20"/>
        <v>95000</v>
      </c>
      <c r="C61" s="147">
        <v>95000</v>
      </c>
      <c r="D61" s="147"/>
      <c r="E61" s="147">
        <f t="shared" si="21"/>
        <v>95000</v>
      </c>
      <c r="F61" s="147"/>
      <c r="G61" s="147"/>
      <c r="H61" s="147"/>
      <c r="I61" s="147"/>
      <c r="J61" s="147"/>
      <c r="K61" s="147"/>
      <c r="L61" s="147"/>
      <c r="M61" s="147"/>
      <c r="N61" s="147"/>
      <c r="O61" s="147"/>
      <c r="P61" s="147"/>
      <c r="Q61" s="147"/>
      <c r="R61" s="516">
        <f t="shared" si="22"/>
        <v>95000</v>
      </c>
      <c r="S61" s="148"/>
      <c r="T61" s="148"/>
      <c r="U61" s="143"/>
    </row>
    <row r="62" spans="1:21" s="144" customFormat="1" ht="13.9" customHeight="1">
      <c r="A62" s="149" t="s">
        <v>301</v>
      </c>
      <c r="B62" s="146">
        <f>SUM(C62:D62)</f>
        <v>237730</v>
      </c>
      <c r="C62" s="146">
        <f t="shared" ref="C62:R62" si="23">SUM(C56:C61)</f>
        <v>237730</v>
      </c>
      <c r="D62" s="146">
        <f t="shared" si="23"/>
        <v>0</v>
      </c>
      <c r="E62" s="146">
        <f t="shared" si="23"/>
        <v>237730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237730</v>
      </c>
      <c r="S62" s="148"/>
      <c r="T62" s="148"/>
      <c r="U62" s="143"/>
    </row>
    <row r="63" spans="1:21" s="144" customFormat="1">
      <c r="A63" s="154" t="s">
        <v>302</v>
      </c>
      <c r="B63" s="146">
        <f t="shared" ref="B63:R63" si="24">SUM(B8+B11+B13+B14+B15+B26+B27+B38+B42+B43+B54+B62)</f>
        <v>89132369</v>
      </c>
      <c r="C63" s="146">
        <f t="shared" si="24"/>
        <v>89132369</v>
      </c>
      <c r="D63" s="146">
        <f t="shared" si="24"/>
        <v>0</v>
      </c>
      <c r="E63" s="146">
        <f t="shared" si="24"/>
        <v>21545250</v>
      </c>
      <c r="F63" s="146">
        <f t="shared" si="24"/>
        <v>9273000</v>
      </c>
      <c r="G63" s="146">
        <f t="shared" si="24"/>
        <v>41999143</v>
      </c>
      <c r="H63" s="146">
        <f t="shared" si="24"/>
        <v>6021370</v>
      </c>
      <c r="I63" s="146">
        <f t="shared" si="24"/>
        <v>1900000</v>
      </c>
      <c r="J63" s="146">
        <f t="shared" si="24"/>
        <v>600000</v>
      </c>
      <c r="K63" s="146">
        <f t="shared" si="24"/>
        <v>7793606</v>
      </c>
      <c r="L63" s="146">
        <f t="shared" si="24"/>
        <v>0</v>
      </c>
      <c r="M63" s="146">
        <f t="shared" si="24"/>
        <v>0</v>
      </c>
      <c r="N63" s="146">
        <f t="shared" si="24"/>
        <v>0</v>
      </c>
      <c r="O63" s="146">
        <f t="shared" si="24"/>
        <v>0</v>
      </c>
      <c r="P63" s="146">
        <f t="shared" si="24"/>
        <v>0</v>
      </c>
      <c r="Q63" s="146">
        <f t="shared" si="24"/>
        <v>0</v>
      </c>
      <c r="R63" s="342">
        <f t="shared" si="24"/>
        <v>89132369</v>
      </c>
      <c r="S63" s="146">
        <f>SUM(S10+S13+S14+S15+S26+S27+S38+S42+S43+S54)</f>
        <v>78944702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 t="shared" ref="E65:E69" si="25">B65-SUM(F65:Q65)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2724</v>
      </c>
      <c r="B69" s="146">
        <f>SUM(C69+D69)</f>
        <v>60000</v>
      </c>
      <c r="C69" s="147">
        <v>60000</v>
      </c>
      <c r="D69" s="147"/>
      <c r="E69" s="147">
        <f t="shared" si="25"/>
        <v>60000</v>
      </c>
      <c r="F69" s="147"/>
      <c r="G69" s="147"/>
      <c r="H69" s="147"/>
      <c r="I69" s="147"/>
      <c r="J69" s="147"/>
      <c r="K69" s="147"/>
      <c r="L69" s="147"/>
      <c r="M69" s="147"/>
      <c r="N69" s="147"/>
      <c r="O69" s="147"/>
      <c r="P69" s="147"/>
      <c r="Q69" s="147"/>
      <c r="R69" s="516">
        <f>SUM(E69:Q69)</f>
        <v>60000</v>
      </c>
      <c r="S69" s="147">
        <f>R69</f>
        <v>60000</v>
      </c>
      <c r="T69" s="147"/>
      <c r="U69" s="143"/>
    </row>
    <row r="70" spans="1:21" s="144" customFormat="1">
      <c r="A70" s="149" t="s">
        <v>1646</v>
      </c>
      <c r="B70" s="146">
        <f>SUM(C70:D70)</f>
        <v>135000</v>
      </c>
      <c r="C70" s="146">
        <f>SUM(C65:C69)</f>
        <v>135000</v>
      </c>
      <c r="D70" s="146">
        <f>SUM(D65:D69)</f>
        <v>0</v>
      </c>
      <c r="E70" s="146">
        <f t="shared" ref="E70:T70" si="26">SUM(E65:E69)</f>
        <v>135000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135000</v>
      </c>
      <c r="S70" s="150">
        <f t="shared" si="26"/>
        <v>135000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530403</v>
      </c>
      <c r="C75" s="147">
        <v>530403</v>
      </c>
      <c r="D75" s="147"/>
      <c r="E75" s="147">
        <f t="shared" si="27"/>
        <v>530403</v>
      </c>
      <c r="F75" s="147"/>
      <c r="G75" s="147"/>
      <c r="H75" s="147"/>
      <c r="I75" s="147"/>
      <c r="J75" s="147"/>
      <c r="K75" s="147"/>
      <c r="L75" s="147"/>
      <c r="M75" s="147"/>
      <c r="N75" s="147"/>
      <c r="O75" s="147"/>
      <c r="P75" s="147"/>
      <c r="Q75" s="147"/>
      <c r="R75" s="516">
        <f>SUM(E75:Q75)</f>
        <v>530403</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530403</v>
      </c>
      <c r="C77" s="146">
        <f>SUM(C72:C76)</f>
        <v>530403</v>
      </c>
      <c r="D77" s="146">
        <f>SUM(D72:D76)</f>
        <v>0</v>
      </c>
      <c r="E77" s="146">
        <f t="shared" ref="E77:Q77" si="28">SUM(E72:E76)</f>
        <v>530403</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530403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3558098</v>
      </c>
      <c r="C79" s="147">
        <v>3558098</v>
      </c>
      <c r="D79" s="147"/>
      <c r="E79" s="147">
        <f t="shared" ref="E79:E80" si="29">B79-SUM(F79:Q79)</f>
        <v>3558098</v>
      </c>
      <c r="F79" s="147"/>
      <c r="G79" s="147"/>
      <c r="H79" s="147"/>
      <c r="I79" s="147"/>
      <c r="J79" s="147"/>
      <c r="K79" s="147"/>
      <c r="L79" s="147"/>
      <c r="M79" s="147"/>
      <c r="N79" s="147"/>
      <c r="O79" s="147"/>
      <c r="P79" s="147"/>
      <c r="Q79" s="147"/>
      <c r="R79" s="516">
        <f>SUM(E79:Q79)</f>
        <v>3558098</v>
      </c>
      <c r="S79" s="147">
        <f>R79</f>
        <v>3558098</v>
      </c>
      <c r="T79" s="147"/>
      <c r="U79" s="143"/>
    </row>
    <row r="80" spans="1:21" s="144" customFormat="1">
      <c r="A80" s="283" t="s">
        <v>58</v>
      </c>
      <c r="B80" s="146">
        <f>SUM(C80:D80)</f>
        <v>800000</v>
      </c>
      <c r="C80" s="147">
        <v>800000</v>
      </c>
      <c r="D80" s="147"/>
      <c r="E80" s="147">
        <f t="shared" si="29"/>
        <v>800000</v>
      </c>
      <c r="F80" s="147"/>
      <c r="G80" s="147"/>
      <c r="H80" s="147"/>
      <c r="I80" s="147"/>
      <c r="J80" s="147"/>
      <c r="K80" s="147"/>
      <c r="L80" s="147"/>
      <c r="M80" s="147"/>
      <c r="N80" s="147"/>
      <c r="O80" s="147"/>
      <c r="P80" s="147"/>
      <c r="Q80" s="147"/>
      <c r="R80" s="516">
        <f>SUM(E80:Q80)</f>
        <v>800000</v>
      </c>
      <c r="S80" s="147">
        <f>R80</f>
        <v>800000</v>
      </c>
      <c r="T80" s="147"/>
      <c r="U80" s="143"/>
    </row>
    <row r="81" spans="1:21" s="144" customFormat="1">
      <c r="A81" s="149" t="s">
        <v>1210</v>
      </c>
      <c r="B81" s="146">
        <f>SUM(C81:D81)</f>
        <v>4358098</v>
      </c>
      <c r="C81" s="509">
        <f>SUM(C79:C80)</f>
        <v>4358098</v>
      </c>
      <c r="D81" s="509">
        <f t="shared" ref="D81:T81" si="30">SUM(D79:D80)</f>
        <v>0</v>
      </c>
      <c r="E81" s="509">
        <f t="shared" si="30"/>
        <v>4358098</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4358098</v>
      </c>
      <c r="S81" s="509">
        <f t="shared" si="30"/>
        <v>4358098</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2095</v>
      </c>
      <c r="B83" s="146">
        <f t="shared" ref="B83:B95" si="31">SUM(C83+D83)</f>
        <v>121906</v>
      </c>
      <c r="C83" s="147">
        <v>121906</v>
      </c>
      <c r="D83" s="147"/>
      <c r="E83" s="147">
        <f t="shared" ref="E83:E95" si="32">B83-SUM(F83:Q83)</f>
        <v>121906</v>
      </c>
      <c r="F83" s="147"/>
      <c r="G83" s="147"/>
      <c r="H83" s="147"/>
      <c r="I83" s="147"/>
      <c r="J83" s="147"/>
      <c r="K83" s="147"/>
      <c r="L83" s="147"/>
      <c r="M83" s="147"/>
      <c r="N83" s="147"/>
      <c r="O83" s="147"/>
      <c r="P83" s="147"/>
      <c r="Q83" s="147"/>
      <c r="R83" s="516">
        <f t="shared" ref="R83:R95" si="33">SUM(E83:Q83)</f>
        <v>121906</v>
      </c>
      <c r="S83" s="148"/>
      <c r="T83" s="148"/>
      <c r="U83" s="143"/>
    </row>
    <row r="84" spans="1:21" s="144" customFormat="1">
      <c r="A84" s="145" t="s">
        <v>768</v>
      </c>
      <c r="B84" s="146">
        <f t="shared" si="31"/>
        <v>760000</v>
      </c>
      <c r="C84" s="147">
        <v>760000</v>
      </c>
      <c r="D84" s="147"/>
      <c r="E84" s="147">
        <f t="shared" si="32"/>
        <v>760000</v>
      </c>
      <c r="F84" s="147"/>
      <c r="G84" s="147"/>
      <c r="H84" s="147"/>
      <c r="I84" s="147"/>
      <c r="J84" s="147"/>
      <c r="K84" s="147"/>
      <c r="L84" s="147"/>
      <c r="M84" s="147"/>
      <c r="N84" s="147"/>
      <c r="O84" s="147"/>
      <c r="P84" s="147"/>
      <c r="Q84" s="147"/>
      <c r="R84" s="516">
        <f t="shared" si="33"/>
        <v>760000</v>
      </c>
      <c r="S84" s="147">
        <f>R84</f>
        <v>760000</v>
      </c>
      <c r="T84" s="147"/>
      <c r="U84" s="143"/>
    </row>
    <row r="85" spans="1:21" s="144" customFormat="1">
      <c r="A85" s="145" t="s">
        <v>769</v>
      </c>
      <c r="B85" s="146">
        <f t="shared" si="31"/>
        <v>1150000</v>
      </c>
      <c r="C85" s="147">
        <v>1150000</v>
      </c>
      <c r="D85" s="147"/>
      <c r="E85" s="147">
        <f t="shared" si="32"/>
        <v>1150000</v>
      </c>
      <c r="F85" s="147"/>
      <c r="G85" s="147"/>
      <c r="H85" s="147"/>
      <c r="I85" s="147"/>
      <c r="J85" s="147"/>
      <c r="K85" s="147"/>
      <c r="L85" s="147"/>
      <c r="M85" s="147"/>
      <c r="N85" s="147"/>
      <c r="O85" s="147"/>
      <c r="P85" s="147"/>
      <c r="Q85" s="147"/>
      <c r="R85" s="516">
        <f t="shared" si="33"/>
        <v>1150000</v>
      </c>
      <c r="S85" s="147">
        <f t="shared" ref="S85:S87" si="34">R85</f>
        <v>1150000</v>
      </c>
      <c r="T85" s="147"/>
      <c r="U85" s="143"/>
    </row>
    <row r="86" spans="1:21" s="144" customFormat="1">
      <c r="A86" s="145" t="s">
        <v>770</v>
      </c>
      <c r="B86" s="146">
        <f t="shared" si="31"/>
        <v>460000</v>
      </c>
      <c r="C86" s="147">
        <v>460000</v>
      </c>
      <c r="D86" s="147"/>
      <c r="E86" s="147">
        <f t="shared" si="32"/>
        <v>460000</v>
      </c>
      <c r="F86" s="147"/>
      <c r="G86" s="147"/>
      <c r="H86" s="147"/>
      <c r="I86" s="147"/>
      <c r="J86" s="147"/>
      <c r="K86" s="147"/>
      <c r="L86" s="147"/>
      <c r="M86" s="147"/>
      <c r="N86" s="147"/>
      <c r="O86" s="147"/>
      <c r="P86" s="147"/>
      <c r="Q86" s="147"/>
      <c r="R86" s="516">
        <f t="shared" si="33"/>
        <v>460000</v>
      </c>
      <c r="S86" s="147">
        <f t="shared" si="34"/>
        <v>460000</v>
      </c>
      <c r="T86" s="147"/>
      <c r="U86" s="143"/>
    </row>
    <row r="87" spans="1:21" s="144" customFormat="1">
      <c r="A87" s="145" t="s">
        <v>771</v>
      </c>
      <c r="B87" s="146">
        <f t="shared" si="31"/>
        <v>100000</v>
      </c>
      <c r="C87" s="147">
        <v>100000</v>
      </c>
      <c r="D87" s="147"/>
      <c r="E87" s="147">
        <f t="shared" si="32"/>
        <v>100000</v>
      </c>
      <c r="F87" s="147"/>
      <c r="G87" s="147"/>
      <c r="H87" s="147"/>
      <c r="I87" s="147"/>
      <c r="J87" s="147"/>
      <c r="K87" s="147"/>
      <c r="L87" s="147"/>
      <c r="M87" s="147"/>
      <c r="N87" s="147"/>
      <c r="O87" s="147"/>
      <c r="P87" s="147"/>
      <c r="Q87" s="147"/>
      <c r="R87" s="516">
        <f t="shared" si="33"/>
        <v>100000</v>
      </c>
      <c r="S87" s="147">
        <f t="shared" si="34"/>
        <v>100000</v>
      </c>
      <c r="T87" s="147"/>
      <c r="U87" s="143"/>
    </row>
    <row r="88" spans="1:21" s="144" customFormat="1">
      <c r="A88" s="145" t="s">
        <v>772</v>
      </c>
      <c r="B88" s="146">
        <f t="shared" si="31"/>
        <v>153750</v>
      </c>
      <c r="C88" s="147">
        <v>153750</v>
      </c>
      <c r="D88" s="147"/>
      <c r="E88" s="147">
        <f t="shared" si="32"/>
        <v>153750</v>
      </c>
      <c r="F88" s="147"/>
      <c r="G88" s="147"/>
      <c r="H88" s="147"/>
      <c r="I88" s="147"/>
      <c r="J88" s="147"/>
      <c r="K88" s="147"/>
      <c r="L88" s="147"/>
      <c r="M88" s="147"/>
      <c r="N88" s="147"/>
      <c r="O88" s="147"/>
      <c r="P88" s="147"/>
      <c r="Q88" s="147"/>
      <c r="R88" s="516">
        <f t="shared" si="33"/>
        <v>153750</v>
      </c>
      <c r="S88" s="148"/>
      <c r="T88" s="148"/>
      <c r="U88" s="143"/>
    </row>
    <row r="89" spans="1:21" s="144" customFormat="1">
      <c r="A89" s="145" t="s">
        <v>773</v>
      </c>
      <c r="B89" s="146">
        <f t="shared" si="31"/>
        <v>150000</v>
      </c>
      <c r="C89" s="147">
        <v>150000</v>
      </c>
      <c r="D89" s="147"/>
      <c r="E89" s="147">
        <f t="shared" si="32"/>
        <v>150000</v>
      </c>
      <c r="F89" s="147"/>
      <c r="G89" s="147"/>
      <c r="H89" s="147"/>
      <c r="I89" s="147"/>
      <c r="J89" s="147"/>
      <c r="K89" s="147"/>
      <c r="L89" s="147"/>
      <c r="M89" s="147"/>
      <c r="N89" s="147"/>
      <c r="O89" s="147"/>
      <c r="P89" s="147"/>
      <c r="Q89" s="147"/>
      <c r="R89" s="516">
        <f t="shared" si="33"/>
        <v>150000</v>
      </c>
      <c r="S89" s="147">
        <f>R89</f>
        <v>150000</v>
      </c>
      <c r="T89" s="147"/>
      <c r="U89" s="143"/>
    </row>
    <row r="90" spans="1:21" s="144" customFormat="1">
      <c r="A90" s="145" t="s">
        <v>774</v>
      </c>
      <c r="B90" s="146">
        <f t="shared" si="31"/>
        <v>18500</v>
      </c>
      <c r="C90" s="147">
        <v>18500</v>
      </c>
      <c r="D90" s="147"/>
      <c r="E90" s="147">
        <f t="shared" si="32"/>
        <v>18500</v>
      </c>
      <c r="F90" s="147"/>
      <c r="G90" s="147"/>
      <c r="H90" s="147"/>
      <c r="I90" s="147"/>
      <c r="J90" s="147"/>
      <c r="K90" s="147"/>
      <c r="L90" s="147"/>
      <c r="M90" s="147"/>
      <c r="N90" s="147"/>
      <c r="O90" s="147"/>
      <c r="P90" s="147"/>
      <c r="Q90" s="147"/>
      <c r="R90" s="516">
        <f t="shared" si="33"/>
        <v>18500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1212</v>
      </c>
      <c r="B92" s="146">
        <f t="shared" si="31"/>
        <v>5000</v>
      </c>
      <c r="C92" s="147">
        <v>5000</v>
      </c>
      <c r="D92" s="147"/>
      <c r="E92" s="147">
        <f t="shared" si="32"/>
        <v>5000</v>
      </c>
      <c r="F92" s="147"/>
      <c r="G92" s="147"/>
      <c r="H92" s="147"/>
      <c r="I92" s="147"/>
      <c r="J92" s="147"/>
      <c r="K92" s="147"/>
      <c r="L92" s="147"/>
      <c r="M92" s="147"/>
      <c r="N92" s="147"/>
      <c r="O92" s="147"/>
      <c r="P92" s="147"/>
      <c r="Q92" s="147"/>
      <c r="R92" s="516">
        <f t="shared" si="33"/>
        <v>5000</v>
      </c>
      <c r="S92" s="147">
        <f>R92</f>
        <v>5000</v>
      </c>
      <c r="T92" s="147"/>
      <c r="U92" s="143"/>
    </row>
    <row r="93" spans="1:21" s="144" customFormat="1">
      <c r="A93" s="1149" t="s">
        <v>2725</v>
      </c>
      <c r="B93" s="146">
        <f t="shared" si="31"/>
        <v>190000</v>
      </c>
      <c r="C93" s="147">
        <v>190000</v>
      </c>
      <c r="D93" s="147"/>
      <c r="E93" s="147">
        <f t="shared" si="32"/>
        <v>190000</v>
      </c>
      <c r="F93" s="147"/>
      <c r="G93" s="147"/>
      <c r="H93" s="147"/>
      <c r="I93" s="147"/>
      <c r="J93" s="147"/>
      <c r="K93" s="147"/>
      <c r="L93" s="147"/>
      <c r="M93" s="147"/>
      <c r="N93" s="147"/>
      <c r="O93" s="147"/>
      <c r="P93" s="147"/>
      <c r="Q93" s="147"/>
      <c r="R93" s="516">
        <f t="shared" si="33"/>
        <v>190000</v>
      </c>
      <c r="S93" s="147">
        <f>R93</f>
        <v>190000</v>
      </c>
      <c r="T93" s="147"/>
      <c r="U93" s="143"/>
    </row>
    <row r="94" spans="1:21" s="144" customFormat="1">
      <c r="A94" s="1149"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775</v>
      </c>
      <c r="B96" s="146">
        <f>SUM(C96:D96)</f>
        <v>3109156</v>
      </c>
      <c r="C96" s="146">
        <f t="shared" ref="C96:R96" si="35">SUM(C83:C95)</f>
        <v>3109156</v>
      </c>
      <c r="D96" s="146">
        <f t="shared" si="35"/>
        <v>0</v>
      </c>
      <c r="E96" s="146">
        <f t="shared" si="35"/>
        <v>3109156</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3109156</v>
      </c>
      <c r="S96" s="150">
        <f>SUM(S84:S87,S89:S95)</f>
        <v>2815000</v>
      </c>
      <c r="T96" s="146">
        <f>SUM(T84:T87,T89:T95)</f>
        <v>0</v>
      </c>
      <c r="U96" s="143"/>
    </row>
    <row r="97" spans="1:21" s="144" customFormat="1">
      <c r="A97" s="149" t="s">
        <v>776</v>
      </c>
      <c r="B97" s="146">
        <f>SUM(C97:D97)</f>
        <v>97265026</v>
      </c>
      <c r="C97" s="146">
        <f t="shared" ref="C97:R97" si="36">SUM(C63+C70+C77+C81+C96)</f>
        <v>97265026</v>
      </c>
      <c r="D97" s="146">
        <f t="shared" si="36"/>
        <v>0</v>
      </c>
      <c r="E97" s="146">
        <f t="shared" si="36"/>
        <v>29677907</v>
      </c>
      <c r="F97" s="146">
        <f t="shared" si="36"/>
        <v>9273000</v>
      </c>
      <c r="G97" s="146">
        <f t="shared" si="36"/>
        <v>41999143</v>
      </c>
      <c r="H97" s="146">
        <f t="shared" si="36"/>
        <v>6021370</v>
      </c>
      <c r="I97" s="146">
        <f t="shared" si="36"/>
        <v>1900000</v>
      </c>
      <c r="J97" s="146">
        <f t="shared" si="36"/>
        <v>600000</v>
      </c>
      <c r="K97" s="146">
        <f t="shared" si="36"/>
        <v>7793606</v>
      </c>
      <c r="L97" s="146">
        <f t="shared" si="36"/>
        <v>0</v>
      </c>
      <c r="M97" s="146">
        <f t="shared" si="36"/>
        <v>0</v>
      </c>
      <c r="N97" s="146">
        <f t="shared" si="36"/>
        <v>0</v>
      </c>
      <c r="O97" s="146">
        <f t="shared" si="36"/>
        <v>0</v>
      </c>
      <c r="P97" s="146">
        <f t="shared" si="36"/>
        <v>0</v>
      </c>
      <c r="Q97" s="146">
        <f t="shared" si="36"/>
        <v>0</v>
      </c>
      <c r="R97" s="146">
        <f t="shared" si="36"/>
        <v>97265026</v>
      </c>
      <c r="S97" s="146">
        <f>SUM(S63+S70+S81+S96)</f>
        <v>86252800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12937920</v>
      </c>
      <c r="C99" s="979">
        <v>12937920</v>
      </c>
      <c r="D99" s="979"/>
      <c r="E99" s="979">
        <f t="shared" ref="E99:E103" si="37">B99-SUM(F99:Q99)</f>
        <v>11493606</v>
      </c>
      <c r="F99" s="147"/>
      <c r="G99" s="147"/>
      <c r="H99" s="147"/>
      <c r="I99" s="147"/>
      <c r="J99" s="147"/>
      <c r="K99" s="147"/>
      <c r="L99" s="147">
        <f>ROUND(Application!AO633,0)</f>
        <v>1444314</v>
      </c>
      <c r="M99" s="147"/>
      <c r="N99" s="147"/>
      <c r="O99" s="147"/>
      <c r="P99" s="147"/>
      <c r="Q99" s="147"/>
      <c r="R99" s="516">
        <f>SUM(E99:Q99)</f>
        <v>12937920</v>
      </c>
      <c r="S99" s="147">
        <f>R99</f>
        <v>12937920</v>
      </c>
      <c r="T99" s="147"/>
      <c r="U99" s="143"/>
    </row>
    <row r="100" spans="1:21" s="144" customFormat="1">
      <c r="A100" s="283" t="s">
        <v>1647</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12937920</v>
      </c>
      <c r="C104" s="146">
        <f>SUM(C99:C103)</f>
        <v>12937920</v>
      </c>
      <c r="D104" s="146">
        <f t="shared" ref="D104:T104" si="38">SUM(D99:D103)</f>
        <v>0</v>
      </c>
      <c r="E104" s="146">
        <f t="shared" si="38"/>
        <v>11493606</v>
      </c>
      <c r="F104" s="146">
        <f t="shared" si="38"/>
        <v>0</v>
      </c>
      <c r="G104" s="146">
        <f t="shared" si="38"/>
        <v>0</v>
      </c>
      <c r="H104" s="146">
        <f t="shared" si="38"/>
        <v>0</v>
      </c>
      <c r="I104" s="146">
        <f t="shared" si="38"/>
        <v>0</v>
      </c>
      <c r="J104" s="146">
        <f t="shared" si="38"/>
        <v>0</v>
      </c>
      <c r="K104" s="146">
        <f t="shared" si="38"/>
        <v>0</v>
      </c>
      <c r="L104" s="146">
        <f t="shared" si="38"/>
        <v>1444314</v>
      </c>
      <c r="M104" s="146">
        <f t="shared" si="38"/>
        <v>0</v>
      </c>
      <c r="N104" s="146">
        <f t="shared" si="38"/>
        <v>0</v>
      </c>
      <c r="O104" s="146">
        <f t="shared" si="38"/>
        <v>0</v>
      </c>
      <c r="P104" s="146">
        <f t="shared" si="38"/>
        <v>0</v>
      </c>
      <c r="Q104" s="146">
        <f t="shared" si="38"/>
        <v>0</v>
      </c>
      <c r="R104" s="342">
        <f t="shared" si="38"/>
        <v>12937920</v>
      </c>
      <c r="S104" s="150">
        <f t="shared" si="38"/>
        <v>12937920</v>
      </c>
      <c r="T104" s="150">
        <f t="shared" si="38"/>
        <v>0</v>
      </c>
      <c r="U104" s="143"/>
    </row>
    <row r="105" spans="1:21" s="144" customFormat="1">
      <c r="A105" s="149" t="s">
        <v>781</v>
      </c>
      <c r="B105" s="150">
        <f>SUM(C105:D105)</f>
        <v>110202946</v>
      </c>
      <c r="C105" s="150">
        <f t="shared" ref="C105:R105" si="39">SUM(C97+C104)</f>
        <v>110202946</v>
      </c>
      <c r="D105" s="150">
        <f t="shared" si="39"/>
        <v>0</v>
      </c>
      <c r="E105" s="150">
        <f t="shared" si="39"/>
        <v>41171513</v>
      </c>
      <c r="F105" s="150">
        <f t="shared" si="39"/>
        <v>9273000</v>
      </c>
      <c r="G105" s="150">
        <f t="shared" si="39"/>
        <v>41999143</v>
      </c>
      <c r="H105" s="150">
        <f t="shared" si="39"/>
        <v>6021370</v>
      </c>
      <c r="I105" s="150">
        <f t="shared" si="39"/>
        <v>1900000</v>
      </c>
      <c r="J105" s="150">
        <f t="shared" si="39"/>
        <v>600000</v>
      </c>
      <c r="K105" s="150">
        <f t="shared" si="39"/>
        <v>7793606</v>
      </c>
      <c r="L105" s="150">
        <f t="shared" si="39"/>
        <v>1444314</v>
      </c>
      <c r="M105" s="150">
        <f t="shared" si="39"/>
        <v>0</v>
      </c>
      <c r="N105" s="150">
        <f t="shared" si="39"/>
        <v>0</v>
      </c>
      <c r="O105" s="150">
        <f t="shared" si="39"/>
        <v>0</v>
      </c>
      <c r="P105" s="150">
        <f t="shared" si="39"/>
        <v>0</v>
      </c>
      <c r="Q105" s="150">
        <f t="shared" si="39"/>
        <v>0</v>
      </c>
      <c r="R105" s="342">
        <f t="shared" si="39"/>
        <v>110202946</v>
      </c>
      <c r="S105" s="150">
        <f>S97+S104</f>
        <v>99190720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99190720</v>
      </c>
      <c r="T107" s="150">
        <f>T105+T106</f>
        <v>0</v>
      </c>
    </row>
    <row r="108" spans="1:21" s="189" customFormat="1">
      <c r="A108" s="162" t="s">
        <v>880</v>
      </c>
      <c r="B108" s="157"/>
      <c r="C108" s="157"/>
      <c r="D108" s="157"/>
      <c r="E108" s="301">
        <f>Application!AO640</f>
        <v>41171513</v>
      </c>
      <c r="F108" s="301">
        <f>Application!AO627</f>
        <v>9273000</v>
      </c>
      <c r="G108" s="301">
        <f>Application!AO628</f>
        <v>41999143</v>
      </c>
      <c r="H108" s="301">
        <f>Application!AO629</f>
        <v>6021370</v>
      </c>
      <c r="I108" s="301">
        <f>Application!AO630</f>
        <v>1900000</v>
      </c>
      <c r="J108" s="301">
        <f>Application!AO631</f>
        <v>600000</v>
      </c>
      <c r="K108" s="301">
        <f>Application!AO632</f>
        <v>7793606</v>
      </c>
      <c r="L108" s="301">
        <f>Application!AO633</f>
        <v>1444314</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3" t="s">
        <v>991</v>
      </c>
      <c r="E122" s="1873"/>
      <c r="F122" s="187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572"/>
      <c r="F123" s="1572"/>
      <c r="G123" s="1572"/>
      <c r="H123" s="1572"/>
      <c r="I123" s="1572"/>
      <c r="J123" s="1572"/>
      <c r="K123" s="1572"/>
      <c r="L123" s="1572"/>
      <c r="M123" s="1572"/>
      <c r="N123" s="1572"/>
      <c r="O123" s="1572"/>
      <c r="P123" s="1572"/>
      <c r="Q123" s="1572"/>
      <c r="R123" s="1572"/>
      <c r="S123" s="1572"/>
      <c r="T123" s="324"/>
      <c r="U123" s="326"/>
    </row>
    <row r="124" spans="1:21" ht="12.75">
      <c r="A124" s="117" t="s">
        <v>993</v>
      </c>
      <c r="B124" s="333"/>
      <c r="C124" s="117"/>
      <c r="D124" s="1572"/>
      <c r="E124" s="1572"/>
      <c r="F124" s="1572"/>
      <c r="G124" s="1572"/>
      <c r="H124" s="1572"/>
      <c r="I124" s="1572"/>
      <c r="J124" s="1572"/>
      <c r="K124" s="1572"/>
      <c r="L124" s="1572"/>
      <c r="M124" s="1572"/>
      <c r="N124" s="1572"/>
      <c r="O124" s="1572"/>
      <c r="P124" s="1572"/>
      <c r="Q124" s="1572"/>
      <c r="R124" s="1572"/>
      <c r="S124" s="1572"/>
      <c r="T124" s="324"/>
      <c r="U124" s="326"/>
    </row>
    <row r="125" spans="1:21" ht="12.75">
      <c r="A125" s="117" t="s">
        <v>994</v>
      </c>
      <c r="B125" s="333"/>
      <c r="C125" s="117"/>
      <c r="D125" s="1572"/>
      <c r="E125" s="1572"/>
      <c r="F125" s="1572"/>
      <c r="G125" s="1572"/>
      <c r="H125" s="1572"/>
      <c r="I125" s="1572"/>
      <c r="J125" s="1572"/>
      <c r="K125" s="1572"/>
      <c r="L125" s="1572"/>
      <c r="M125" s="1572"/>
      <c r="N125" s="1572"/>
      <c r="O125" s="1572"/>
      <c r="P125" s="1572"/>
      <c r="Q125" s="1572"/>
      <c r="R125" s="1572"/>
      <c r="S125" s="1572"/>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998</v>
      </c>
      <c r="E129" s="1872"/>
      <c r="F129" s="1872"/>
      <c r="G129" s="1872"/>
      <c r="H129" s="187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45"/>
      <c r="E131" s="1545"/>
      <c r="F131" s="1545"/>
      <c r="G131" s="1545"/>
      <c r="H131" s="1545"/>
      <c r="I131" s="117"/>
      <c r="J131" s="1545"/>
      <c r="K131" s="1545"/>
      <c r="L131" s="1545"/>
      <c r="M131" s="1545"/>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activeCell="D46" sqref="D4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1228</v>
      </c>
      <c r="B1" s="1877"/>
      <c r="C1" s="1877"/>
      <c r="D1" s="1877"/>
      <c r="E1" s="1877"/>
      <c r="F1" s="1877"/>
      <c r="G1" s="1877"/>
      <c r="H1" s="1877"/>
      <c r="I1" s="1877"/>
      <c r="J1" s="1878"/>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892980</v>
      </c>
      <c r="C5" s="362"/>
      <c r="D5" s="362"/>
      <c r="E5" s="363"/>
      <c r="F5" s="363"/>
      <c r="G5" s="363"/>
      <c r="H5" s="363"/>
      <c r="I5" s="363"/>
      <c r="J5" s="363"/>
      <c r="K5" s="359"/>
    </row>
    <row r="6" spans="1:11" s="360" customFormat="1">
      <c r="A6" s="364" t="s">
        <v>29</v>
      </c>
      <c r="B6" s="361">
        <f>'Sources and Uses Budget'!C6</f>
        <v>10000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902980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219000</v>
      </c>
      <c r="C10" s="362"/>
      <c r="D10" s="362"/>
      <c r="E10" s="361">
        <f>'Sources and Uses Budget'!S10</f>
        <v>219000</v>
      </c>
      <c r="F10" s="362"/>
      <c r="G10" s="362"/>
      <c r="H10" s="361">
        <f>'Sources and Uses Budget'!T10</f>
        <v>0</v>
      </c>
      <c r="I10" s="362"/>
      <c r="J10" s="362"/>
      <c r="K10" s="359"/>
    </row>
    <row r="11" spans="1:11" s="360" customFormat="1">
      <c r="A11" s="365" t="s">
        <v>597</v>
      </c>
      <c r="B11" s="361">
        <f>'Sources and Uses Budget'!C11</f>
        <v>219000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1121980</v>
      </c>
      <c r="C12" s="361">
        <f>SUM(C8+C11)</f>
        <v>0</v>
      </c>
      <c r="D12" s="361">
        <f>SUM(D8+D11)</f>
        <v>0</v>
      </c>
      <c r="E12" s="363"/>
      <c r="F12" s="363"/>
      <c r="G12" s="363"/>
      <c r="H12" s="363"/>
      <c r="I12" s="363"/>
      <c r="J12" s="363"/>
      <c r="K12" s="359"/>
    </row>
    <row r="13" spans="1:11" s="360" customFormat="1">
      <c r="A13" s="366" t="s">
        <v>903</v>
      </c>
      <c r="B13" s="361">
        <f>'Sources and Uses Budget'!C13</f>
        <v>317396</v>
      </c>
      <c r="C13" s="362"/>
      <c r="D13" s="362"/>
      <c r="E13" s="361">
        <f>'Sources and Uses Budget'!S13</f>
        <v>317396</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10715760</v>
      </c>
      <c r="C29" s="362"/>
      <c r="D29" s="362"/>
      <c r="E29" s="361">
        <f>'Sources and Uses Budget'!S29</f>
        <v>7015760</v>
      </c>
      <c r="F29" s="362"/>
      <c r="G29" s="362"/>
      <c r="H29" s="361">
        <f>'Sources and Uses Budget'!T29</f>
        <v>0</v>
      </c>
      <c r="I29" s="362"/>
      <c r="J29" s="362"/>
      <c r="K29" s="359"/>
    </row>
    <row r="30" spans="1:11" s="360" customFormat="1">
      <c r="A30" s="145" t="s">
        <v>600</v>
      </c>
      <c r="B30" s="361">
        <f>'Sources and Uses Budget'!C30</f>
        <v>57886213</v>
      </c>
      <c r="C30" s="362"/>
      <c r="D30" s="362"/>
      <c r="E30" s="361">
        <f>'Sources and Uses Budget'!S30</f>
        <v>57886213</v>
      </c>
      <c r="F30" s="362"/>
      <c r="G30" s="362"/>
      <c r="H30" s="361">
        <f>'Sources and Uses Budget'!T30</f>
        <v>0</v>
      </c>
      <c r="I30" s="362"/>
      <c r="J30" s="362"/>
      <c r="K30" s="359"/>
    </row>
    <row r="31" spans="1:11" s="360" customFormat="1">
      <c r="A31" s="145" t="s">
        <v>601</v>
      </c>
      <c r="B31" s="361">
        <f>'Sources and Uses Budget'!C31</f>
        <v>2026372</v>
      </c>
      <c r="C31" s="362"/>
      <c r="D31" s="362"/>
      <c r="E31" s="361">
        <f>'Sources and Uses Budget'!S31</f>
        <v>2026372</v>
      </c>
      <c r="F31" s="362"/>
      <c r="G31" s="362"/>
      <c r="H31" s="361">
        <f>'Sources and Uses Budget'!T31</f>
        <v>0</v>
      </c>
      <c r="I31" s="362"/>
      <c r="J31" s="362"/>
      <c r="K31" s="359"/>
    </row>
    <row r="32" spans="1:11" s="360" customFormat="1">
      <c r="A32" s="145" t="s">
        <v>137</v>
      </c>
      <c r="B32" s="361">
        <f>'Sources and Uses Budget'!C32</f>
        <v>1013186</v>
      </c>
      <c r="C32" s="362"/>
      <c r="D32" s="362"/>
      <c r="E32" s="361">
        <f>'Sources and Uses Budget'!S32</f>
        <v>1013186</v>
      </c>
      <c r="F32" s="362"/>
      <c r="G32" s="362"/>
      <c r="H32" s="361">
        <f>'Sources and Uses Budget'!T32</f>
        <v>0</v>
      </c>
      <c r="I32" s="362"/>
      <c r="J32" s="362"/>
      <c r="K32" s="359"/>
    </row>
    <row r="33" spans="1:11" s="360" customFormat="1">
      <c r="A33" s="145" t="s">
        <v>138</v>
      </c>
      <c r="B33" s="361">
        <f>'Sources and Uses Budget'!C33</f>
        <v>1013186</v>
      </c>
      <c r="C33" s="362"/>
      <c r="D33" s="362"/>
      <c r="E33" s="361">
        <f>'Sources and Uses Budget'!S33</f>
        <v>1013186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675457</v>
      </c>
      <c r="C35" s="362"/>
      <c r="D35" s="362"/>
      <c r="E35" s="361">
        <f>'Sources and Uses Budget'!S35</f>
        <v>675457</v>
      </c>
      <c r="F35" s="362"/>
      <c r="G35" s="362"/>
      <c r="H35" s="361">
        <f>'Sources and Uses Budget'!T35</f>
        <v>0</v>
      </c>
      <c r="I35" s="362"/>
      <c r="J35" s="362"/>
      <c r="K35" s="359"/>
    </row>
    <row r="36" spans="1:11" s="360" customFormat="1">
      <c r="A36" s="508" t="s">
        <v>1641</v>
      </c>
      <c r="B36" s="361">
        <f>'Sources and Uses Budget'!C36</f>
        <v>262000</v>
      </c>
      <c r="C36" s="362"/>
      <c r="D36" s="362"/>
      <c r="E36" s="361">
        <f>'Sources and Uses Budget'!S36</f>
        <v>262000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73592174</v>
      </c>
      <c r="C38" s="361">
        <f>SUM(C29:C37)</f>
        <v>0</v>
      </c>
      <c r="D38" s="361">
        <f>SUM(D29:D37)</f>
        <v>0</v>
      </c>
      <c r="E38" s="361">
        <f>'Sources and Uses Budget'!S38</f>
        <v>69892174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1912200</v>
      </c>
      <c r="C40" s="362"/>
      <c r="D40" s="362"/>
      <c r="E40" s="361">
        <f>'Sources and Uses Budget'!S40</f>
        <v>1912200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1912200</v>
      </c>
      <c r="C42" s="361">
        <f>SUM(C39:C41)</f>
        <v>0</v>
      </c>
      <c r="D42" s="361">
        <f>SUM(D39:D41)</f>
        <v>0</v>
      </c>
      <c r="E42" s="361">
        <f>'Sources and Uses Budget'!S42</f>
        <v>1912200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8421656</v>
      </c>
      <c r="C45" s="362"/>
      <c r="D45" s="362"/>
      <c r="E45" s="361">
        <f>'Sources and Uses Budget'!S45</f>
        <v>4210828</v>
      </c>
      <c r="F45" s="362"/>
      <c r="G45" s="362"/>
      <c r="H45" s="361">
        <f>'Sources and Uses Budget'!T45</f>
        <v>0</v>
      </c>
      <c r="I45" s="362"/>
      <c r="J45" s="362"/>
      <c r="K45" s="359"/>
    </row>
    <row r="46" spans="1:11" s="360" customFormat="1">
      <c r="A46" s="364" t="s">
        <v>151</v>
      </c>
      <c r="B46" s="361">
        <f>'Sources and Uses Budget'!C46</f>
        <v>967480</v>
      </c>
      <c r="C46" s="362"/>
      <c r="D46" s="362"/>
      <c r="E46" s="361">
        <f>'Sources and Uses Budget'!S46</f>
        <v>83046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275328</v>
      </c>
      <c r="C49" s="362"/>
      <c r="D49" s="362"/>
      <c r="E49" s="361">
        <f>'Sources and Uses Budget'!S49</f>
        <v>23633</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1846425</v>
      </c>
      <c r="C52" s="362"/>
      <c r="D52" s="362"/>
      <c r="E52" s="361">
        <f>'Sources and Uses Budget'!S52</f>
        <v>1846425</v>
      </c>
      <c r="F52" s="362"/>
      <c r="G52" s="362"/>
      <c r="H52" s="361">
        <f>'Sources and Uses Budget'!T52</f>
        <v>0</v>
      </c>
      <c r="I52" s="362"/>
      <c r="J52" s="362"/>
      <c r="K52" s="359"/>
    </row>
    <row r="53" spans="1:11" s="360" customFormat="1">
      <c r="A53" s="364" t="str">
        <f>'Sources and Uses Budget'!$A53</f>
        <v>Other: (Lender Expenses)</v>
      </c>
      <c r="B53" s="361">
        <f>'Sources and Uses Budget'!C53</f>
        <v>20000</v>
      </c>
      <c r="C53" s="362"/>
      <c r="D53" s="362"/>
      <c r="E53" s="361">
        <f>'Sources and Uses Budget'!S53</f>
        <v>20000</v>
      </c>
      <c r="F53" s="362"/>
      <c r="G53" s="362"/>
      <c r="H53" s="361">
        <f>'Sources and Uses Budget'!T53</f>
        <v>0</v>
      </c>
      <c r="I53" s="362"/>
      <c r="J53" s="362"/>
      <c r="K53" s="359"/>
    </row>
    <row r="54" spans="1:11" s="369" customFormat="1">
      <c r="A54" s="365" t="s">
        <v>157</v>
      </c>
      <c r="B54" s="361">
        <f>'Sources and Uses Budget'!C54</f>
        <v>11610889</v>
      </c>
      <c r="C54" s="367">
        <f>SUM(C45:C53)</f>
        <v>0</v>
      </c>
      <c r="D54" s="367">
        <f>SUM(D45:D53)</f>
        <v>0</v>
      </c>
      <c r="E54" s="361">
        <f>'Sources and Uses Budget'!S54</f>
        <v>6263932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92730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 and legal</v>
      </c>
      <c r="B61" s="361">
        <f>'Sources and Uses Budget'!C61</f>
        <v>95000</v>
      </c>
      <c r="C61" s="362"/>
      <c r="D61" s="362"/>
      <c r="E61" s="363"/>
      <c r="F61" s="363"/>
      <c r="G61" s="363"/>
      <c r="H61" s="363"/>
      <c r="I61" s="363"/>
      <c r="J61" s="363"/>
      <c r="K61" s="359"/>
    </row>
    <row r="62" spans="1:11" s="360" customFormat="1" ht="13.9" customHeight="1">
      <c r="A62" s="365" t="s">
        <v>301</v>
      </c>
      <c r="B62" s="361">
        <f>'Sources and Uses Budget'!C62</f>
        <v>237730</v>
      </c>
      <c r="C62" s="361">
        <f>SUM(C56:C61)</f>
        <v>0</v>
      </c>
      <c r="D62" s="361">
        <f>SUM(D56:D61)</f>
        <v>0</v>
      </c>
      <c r="E62" s="363"/>
      <c r="F62" s="363"/>
      <c r="G62" s="363"/>
      <c r="H62" s="363"/>
      <c r="I62" s="363"/>
      <c r="J62" s="363"/>
      <c r="K62" s="359"/>
    </row>
    <row r="63" spans="1:11" s="360" customFormat="1">
      <c r="A63" s="370" t="s">
        <v>302</v>
      </c>
      <c r="B63" s="361">
        <f>'Sources and Uses Budget'!C63</f>
        <v>89132369</v>
      </c>
      <c r="C63" s="361">
        <f>SUM(C8+C11+C13+C14+C15+C26+C27+C38+C42+C43+C54+C62)</f>
        <v>0</v>
      </c>
      <c r="D63" s="361">
        <f>SUM(D8+D11+D13+D14+D15+D26+D27+D38+D42+D43+D54+D62)</f>
        <v>0</v>
      </c>
      <c r="E63" s="361">
        <f>'Sources and Uses Budget'!S63</f>
        <v>78944702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60000</v>
      </c>
      <c r="C69" s="362"/>
      <c r="D69" s="362"/>
      <c r="E69" s="361">
        <f>'Sources and Uses Budget'!S69</f>
        <v>60000</v>
      </c>
      <c r="F69" s="362"/>
      <c r="G69" s="362"/>
      <c r="H69" s="361">
        <f>'Sources and Uses Budget'!T69</f>
        <v>0</v>
      </c>
      <c r="I69" s="362"/>
      <c r="J69" s="362"/>
      <c r="K69" s="359"/>
    </row>
    <row r="70" spans="1:11" s="360" customFormat="1">
      <c r="A70" s="365" t="s">
        <v>602</v>
      </c>
      <c r="B70" s="361">
        <f>'Sources and Uses Budget'!C70</f>
        <v>135000</v>
      </c>
      <c r="C70" s="361">
        <f>SUM(C64:C69)</f>
        <v>0</v>
      </c>
      <c r="D70" s="361">
        <f>SUM(D64:D69)</f>
        <v>0</v>
      </c>
      <c r="E70" s="361">
        <f>'Sources and Uses Budget'!S70</f>
        <v>135000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530403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530403</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3558098</v>
      </c>
      <c r="C79" s="362"/>
      <c r="D79" s="362"/>
      <c r="E79" s="361">
        <f>'Sources and Uses Budget'!S79</f>
        <v>3558098</v>
      </c>
      <c r="F79" s="362"/>
      <c r="G79" s="362"/>
      <c r="H79" s="361">
        <f>'Sources and Uses Budget'!T79</f>
        <v>0</v>
      </c>
      <c r="I79" s="362"/>
      <c r="J79" s="362"/>
      <c r="K79" s="359"/>
    </row>
    <row r="80" spans="1:11" s="360" customFormat="1">
      <c r="A80" s="364" t="s">
        <v>58</v>
      </c>
      <c r="B80" s="361">
        <f>'Sources and Uses Budget'!C80</f>
        <v>800000</v>
      </c>
      <c r="C80" s="362"/>
      <c r="D80" s="362"/>
      <c r="E80" s="361">
        <f>'Sources and Uses Budget'!S80</f>
        <v>800000</v>
      </c>
      <c r="F80" s="362"/>
      <c r="G80" s="362"/>
      <c r="H80" s="361">
        <f>'Sources and Uses Budget'!T80</f>
        <v>0</v>
      </c>
      <c r="I80" s="362"/>
      <c r="J80" s="362"/>
      <c r="K80" s="359"/>
    </row>
    <row r="81" spans="1:11" s="360" customFormat="1">
      <c r="A81" s="365" t="s">
        <v>1210</v>
      </c>
      <c r="B81" s="361">
        <f>'Sources and Uses Budget'!C81</f>
        <v>4358098</v>
      </c>
      <c r="C81" s="361">
        <f>SUM(C79:C80)</f>
        <v>0</v>
      </c>
      <c r="D81" s="361">
        <f>SUM(D79:D80)</f>
        <v>0</v>
      </c>
      <c r="E81" s="361">
        <f>'Sources and Uses Budget'!S81</f>
        <v>4358098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9" customHeight="1">
      <c r="A83" s="145" t="s">
        <v>2095</v>
      </c>
      <c r="B83" s="361">
        <f>'Sources and Uses Budget'!C83</f>
        <v>121906</v>
      </c>
      <c r="C83" s="362"/>
      <c r="D83" s="362"/>
      <c r="E83" s="363"/>
      <c r="F83" s="363"/>
      <c r="G83" s="363"/>
      <c r="H83" s="363"/>
      <c r="I83" s="363"/>
      <c r="J83" s="363"/>
      <c r="K83" s="359"/>
    </row>
    <row r="84" spans="1:11" s="360" customFormat="1">
      <c r="A84" s="145" t="s">
        <v>768</v>
      </c>
      <c r="B84" s="361">
        <f>'Sources and Uses Budget'!C84</f>
        <v>760000</v>
      </c>
      <c r="C84" s="362"/>
      <c r="D84" s="362"/>
      <c r="E84" s="361">
        <f>'Sources and Uses Budget'!S84</f>
        <v>760000</v>
      </c>
      <c r="F84" s="362"/>
      <c r="G84" s="362"/>
      <c r="H84" s="361">
        <f>'Sources and Uses Budget'!T84</f>
        <v>0</v>
      </c>
      <c r="I84" s="362"/>
      <c r="J84" s="362"/>
      <c r="K84" s="359"/>
    </row>
    <row r="85" spans="1:11" s="360" customFormat="1">
      <c r="A85" s="145" t="s">
        <v>769</v>
      </c>
      <c r="B85" s="361">
        <f>'Sources and Uses Budget'!C85</f>
        <v>1150000</v>
      </c>
      <c r="C85" s="362"/>
      <c r="D85" s="362"/>
      <c r="E85" s="361">
        <f>'Sources and Uses Budget'!S85</f>
        <v>1150000</v>
      </c>
      <c r="F85" s="362"/>
      <c r="G85" s="362"/>
      <c r="H85" s="361">
        <f>'Sources and Uses Budget'!T85</f>
        <v>0</v>
      </c>
      <c r="I85" s="362"/>
      <c r="J85" s="362"/>
      <c r="K85" s="359"/>
    </row>
    <row r="86" spans="1:11" s="360" customFormat="1">
      <c r="A86" s="145" t="s">
        <v>770</v>
      </c>
      <c r="B86" s="361">
        <f>'Sources and Uses Budget'!C86</f>
        <v>460000</v>
      </c>
      <c r="C86" s="362"/>
      <c r="D86" s="362"/>
      <c r="E86" s="361">
        <f>'Sources and Uses Budget'!S86</f>
        <v>460000</v>
      </c>
      <c r="F86" s="362"/>
      <c r="G86" s="362"/>
      <c r="H86" s="361">
        <f>'Sources and Uses Budget'!T86</f>
        <v>0</v>
      </c>
      <c r="I86" s="362"/>
      <c r="J86" s="362"/>
      <c r="K86" s="359"/>
    </row>
    <row r="87" spans="1:11" s="360" customFormat="1">
      <c r="A87" s="145" t="s">
        <v>771</v>
      </c>
      <c r="B87" s="361">
        <f>'Sources and Uses Budget'!C87</f>
        <v>100000</v>
      </c>
      <c r="C87" s="362"/>
      <c r="D87" s="362"/>
      <c r="E87" s="361">
        <f>'Sources and Uses Budget'!S87</f>
        <v>100000</v>
      </c>
      <c r="F87" s="362"/>
      <c r="G87" s="362"/>
      <c r="H87" s="361">
        <f>'Sources and Uses Budget'!T87</f>
        <v>0</v>
      </c>
      <c r="I87" s="362"/>
      <c r="J87" s="362"/>
      <c r="K87" s="359"/>
    </row>
    <row r="88" spans="1:11" s="360" customFormat="1">
      <c r="A88" s="145" t="s">
        <v>772</v>
      </c>
      <c r="B88" s="361">
        <f>'Sources and Uses Budget'!C88</f>
        <v>153750</v>
      </c>
      <c r="C88" s="362"/>
      <c r="D88" s="362"/>
      <c r="E88" s="363"/>
      <c r="F88" s="363"/>
      <c r="G88" s="363"/>
      <c r="H88" s="363"/>
      <c r="I88" s="363"/>
      <c r="J88" s="363"/>
      <c r="K88" s="359"/>
    </row>
    <row r="89" spans="1:11" s="360" customFormat="1">
      <c r="A89" s="145" t="s">
        <v>773</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774</v>
      </c>
      <c r="B90" s="361">
        <f>'Sources and Uses Budget'!C90</f>
        <v>18500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5000</v>
      </c>
      <c r="C92" s="362"/>
      <c r="D92" s="362"/>
      <c r="E92" s="361">
        <f>'Sources and Uses Budget'!S92</f>
        <v>5000</v>
      </c>
      <c r="F92" s="362"/>
      <c r="G92" s="362"/>
      <c r="H92" s="361">
        <f>'Sources and Uses Budget'!T92</f>
        <v>0</v>
      </c>
      <c r="I92" s="362"/>
      <c r="J92" s="362"/>
      <c r="K92" s="359"/>
    </row>
    <row r="93" spans="1:11" s="360" customFormat="1">
      <c r="A93" s="364" t="str">
        <f>'Sources and Uses Budget'!$A93</f>
        <v>Other: (Testing and inspections)</v>
      </c>
      <c r="B93" s="361">
        <f>'Sources and Uses Budget'!C93</f>
        <v>190000</v>
      </c>
      <c r="C93" s="362"/>
      <c r="D93" s="362"/>
      <c r="E93" s="361">
        <f>'Sources and Uses Budget'!S93</f>
        <v>190000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3109156</v>
      </c>
      <c r="C96" s="361">
        <f>SUM(C83:C95)</f>
        <v>0</v>
      </c>
      <c r="D96" s="361">
        <f>SUM(D83:D95)</f>
        <v>0</v>
      </c>
      <c r="E96" s="361">
        <f>'Sources and Uses Budget'!S96</f>
        <v>2815000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97265026</v>
      </c>
      <c r="C97" s="361">
        <f>SUM(C63+C70+C77+C81+C96)</f>
        <v>0</v>
      </c>
      <c r="D97" s="361">
        <f>SUM(D63+D70+D77+D81+D96)</f>
        <v>0</v>
      </c>
      <c r="E97" s="361">
        <f>'Sources and Uses Budget'!S97</f>
        <v>86252800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12937920</v>
      </c>
      <c r="C99" s="362"/>
      <c r="D99" s="362"/>
      <c r="E99" s="361">
        <f>'Sources and Uses Budget'!S99</f>
        <v>12937920</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12937920</v>
      </c>
      <c r="C104" s="361">
        <f>SUM(C99:C103)</f>
        <v>0</v>
      </c>
      <c r="D104" s="361">
        <f>SUM(D99:D103)</f>
        <v>0</v>
      </c>
      <c r="E104" s="361">
        <f>'Sources and Uses Budget'!S104</f>
        <v>12937920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110202946</v>
      </c>
      <c r="C105" s="367">
        <f>SUM(C97+C104)</f>
        <v>0</v>
      </c>
      <c r="D105" s="367">
        <f>SUM(D97+D104)</f>
        <v>0</v>
      </c>
      <c r="E105" s="361">
        <f>'Sources and Uses Budget'!S105</f>
        <v>99190720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99190720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54" workbookViewId="0">
      <selection activeCell="C165" sqref="C165:P165"/>
    </sheetView>
  </sheetViews>
  <sheetFormatPr defaultColWidth="2.7109375" defaultRowHeight="15.9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95" customHeight="1">
      <c r="A1" s="1887" t="s">
        <v>2457</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95" customHeight="1">
      <c r="A2" s="1890" t="s">
        <v>2456</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9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95" customHeight="1" thickBot="1">
      <c r="A4" s="1189"/>
      <c r="B4" s="1192" t="s">
        <v>657</v>
      </c>
      <c r="C4" s="1192"/>
      <c r="D4" s="1192"/>
      <c r="E4" s="1192"/>
      <c r="F4" s="1192"/>
      <c r="G4" s="1190"/>
      <c r="H4" s="1190"/>
      <c r="I4" s="1190"/>
      <c r="J4" s="1190"/>
      <c r="K4" s="1190"/>
      <c r="L4" s="1879" t="str">
        <f>IF(Application!H18="","",Application!H18)</f>
        <v>Oak Hill Eden</v>
      </c>
      <c r="M4" s="1880"/>
      <c r="N4" s="1880"/>
      <c r="O4" s="1880"/>
      <c r="P4" s="1880"/>
      <c r="Q4" s="1880"/>
      <c r="R4" s="1880"/>
      <c r="S4" s="1880"/>
      <c r="T4" s="1880"/>
      <c r="U4" s="1880"/>
      <c r="V4" s="1880"/>
      <c r="W4" s="1880"/>
      <c r="X4" s="1880"/>
      <c r="Y4" s="1880"/>
      <c r="Z4" s="1880"/>
      <c r="AA4" s="1880"/>
      <c r="AB4" s="1880"/>
      <c r="AC4" s="1881"/>
      <c r="AD4" s="1190"/>
      <c r="AE4" s="1190"/>
      <c r="AF4" s="1893" t="s">
        <v>2455</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9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2454</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95" customHeight="1" thickBot="1">
      <c r="A6" s="1189"/>
      <c r="B6" s="1192" t="s">
        <v>2453</v>
      </c>
      <c r="C6" s="1190"/>
      <c r="D6" s="1190"/>
      <c r="E6" s="1190"/>
      <c r="F6" s="1190"/>
      <c r="G6" s="1190"/>
      <c r="H6" s="1190"/>
      <c r="I6" s="1190"/>
      <c r="J6" s="1190"/>
      <c r="K6" s="1190"/>
      <c r="L6" s="1879" t="str">
        <f>IF(Application!H16="","",Application!H16)</f>
        <v>Eden Housing, Inc.</v>
      </c>
      <c r="M6" s="1880"/>
      <c r="N6" s="1880"/>
      <c r="O6" s="1880"/>
      <c r="P6" s="1880"/>
      <c r="Q6" s="1880"/>
      <c r="R6" s="1880"/>
      <c r="S6" s="1880"/>
      <c r="T6" s="1880"/>
      <c r="U6" s="1880"/>
      <c r="V6" s="1880"/>
      <c r="W6" s="1880"/>
      <c r="X6" s="1880"/>
      <c r="Y6" s="1880"/>
      <c r="Z6" s="1880"/>
      <c r="AA6" s="1880"/>
      <c r="AB6" s="1880"/>
      <c r="AC6" s="1881"/>
      <c r="AD6" s="1190"/>
      <c r="AE6" s="1190"/>
      <c r="AF6" s="1882" t="s">
        <v>2452</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7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2451</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7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2449</v>
      </c>
      <c r="AG8" s="1882"/>
      <c r="AH8" s="1882"/>
      <c r="AI8" s="1882"/>
      <c r="AJ8" s="1882"/>
      <c r="AK8" s="1882"/>
      <c r="AL8" s="1882"/>
      <c r="AM8" s="1882"/>
      <c r="AN8" s="1882"/>
      <c r="AO8" s="1882"/>
      <c r="AP8" s="1883" t="s">
        <v>2099</v>
      </c>
      <c r="AQ8" s="1883"/>
      <c r="AR8" s="1883"/>
      <c r="AS8" s="1883"/>
      <c r="AT8" s="1883"/>
      <c r="AU8" s="188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2448</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8">
        <f>Application!AO627</f>
        <v>9273000</v>
      </c>
      <c r="O10" s="1908"/>
      <c r="P10" s="1908"/>
      <c r="Q10" s="1908"/>
      <c r="R10" s="1908"/>
      <c r="S10" s="1908"/>
      <c r="T10" s="1908"/>
      <c r="U10" s="1190"/>
      <c r="V10" s="1190"/>
      <c r="W10" s="1190"/>
      <c r="X10" s="1193"/>
      <c r="Y10" s="1193"/>
      <c r="Z10" s="1193"/>
      <c r="AA10" s="1193"/>
      <c r="AB10" s="1193"/>
      <c r="AC10" s="1193"/>
      <c r="AD10" s="1193"/>
      <c r="AE10" s="1193"/>
      <c r="AF10" s="1893" t="s">
        <v>2445</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2442</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2099</v>
      </c>
    </row>
    <row r="12" spans="1:65" ht="15.7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75" thickBot="1">
      <c r="A13" s="1190"/>
      <c r="B13" s="1896" t="s">
        <v>2440</v>
      </c>
      <c r="C13" s="1897"/>
      <c r="D13" s="1897"/>
      <c r="E13" s="1897"/>
      <c r="F13" s="1897"/>
      <c r="G13" s="1897"/>
      <c r="H13" s="1897"/>
      <c r="I13" s="1897"/>
      <c r="J13" s="1897"/>
      <c r="K13" s="1897"/>
      <c r="L13" s="1897"/>
      <c r="M13" s="1897"/>
      <c r="N13" s="1897"/>
      <c r="O13" s="1897"/>
      <c r="P13" s="1898"/>
      <c r="Q13" s="1899" t="s">
        <v>670</v>
      </c>
      <c r="R13" s="1900"/>
      <c r="S13" s="1900"/>
      <c r="T13" s="1901"/>
      <c r="U13" s="1193"/>
      <c r="V13" s="1190"/>
      <c r="W13" s="1190"/>
      <c r="X13" s="1190"/>
      <c r="Y13" s="1190"/>
      <c r="Z13" s="1190"/>
      <c r="AA13" s="1902" t="s">
        <v>2439</v>
      </c>
      <c r="AB13" s="1902"/>
      <c r="AC13" s="1902"/>
      <c r="AD13" s="1902"/>
      <c r="AE13" s="1902"/>
      <c r="AF13" s="1902"/>
      <c r="AG13" s="1902"/>
      <c r="AH13" s="1902"/>
      <c r="AI13" s="1902"/>
      <c r="AJ13" s="1902"/>
      <c r="AK13" s="1902"/>
      <c r="AL13" s="1902"/>
      <c r="AM13" s="1902"/>
      <c r="AN13" s="1902"/>
      <c r="AO13" s="1903">
        <f>Application!W473</f>
        <v>28</v>
      </c>
      <c r="AP13" s="1904"/>
      <c r="AQ13" s="1904"/>
      <c r="AR13" s="1904"/>
      <c r="AS13" s="1904"/>
      <c r="AT13" s="1193"/>
      <c r="AU13" s="1193"/>
      <c r="AV13" s="1193"/>
      <c r="AW13" s="1193"/>
      <c r="AX13" s="1193"/>
      <c r="AY13" s="1193"/>
      <c r="AZ13" s="1193"/>
      <c r="BA13" s="1193"/>
      <c r="BB13" s="1193"/>
      <c r="BC13" s="1193"/>
      <c r="BD13" s="1193"/>
      <c r="BE13" s="1194"/>
      <c r="BM13" s="1187" t="s">
        <v>2438</v>
      </c>
    </row>
    <row r="14" spans="1:65" ht="15.7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2437</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75" thickBot="1">
      <c r="A15" s="1190"/>
      <c r="B15" s="1909" t="s">
        <v>2436</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2435</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7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2434</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95" customHeight="1">
      <c r="A18" s="1190"/>
      <c r="B18" s="1917" t="s">
        <v>2433</v>
      </c>
      <c r="C18" s="1918"/>
      <c r="D18" s="1918"/>
      <c r="E18" s="1918"/>
      <c r="F18" s="1918"/>
      <c r="G18" s="1918"/>
      <c r="H18" s="1918"/>
      <c r="I18" s="1919"/>
      <c r="J18" s="1920" t="s">
        <v>1587</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2432</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29</v>
      </c>
      <c r="K19" s="1928"/>
      <c r="L19" s="1928"/>
      <c r="M19" s="1928"/>
      <c r="N19" s="1928"/>
      <c r="O19" s="1929"/>
      <c r="P19" s="1927" cm="1">
        <f t="array" ref="P19">SUMPRODUCT((Application!$B$718:$B$752 = 'CalHFA Addendum'!P$18)*(Application!$AC$718:$AC$752 = 'CalHFA Addendum'!$B19),Application!$G$718:$G$752)</f>
        <v>10</v>
      </c>
      <c r="Q19" s="1928"/>
      <c r="R19" s="1928"/>
      <c r="S19" s="1928"/>
      <c r="T19" s="1928"/>
      <c r="U19" s="1929"/>
      <c r="V19" s="1927" cm="1">
        <f t="array" ref="V19">SUMPRODUCT((Application!$B$714:$B$738 = 'CalHFA Addendum'!V$18)*(Application!$AC$714:$AC$738 = 'CalHFA Addendum'!$B19),Application!$G$714:$G$738)</f>
        <v>10</v>
      </c>
      <c r="W19" s="1928"/>
      <c r="X19" s="1928"/>
      <c r="Y19" s="1928"/>
      <c r="Z19" s="1928"/>
      <c r="AA19" s="1929"/>
      <c r="AB19" s="1927" cm="1">
        <f t="array" ref="AB19">SUMPRODUCT((Application!$B$714:$B$738 = 'CalHFA Addendum'!AB$18)*(Application!$AC$714:$AC$738 = 'CalHFA Addendum'!$B19),Application!$G$714:$G$738)</f>
        <v>6</v>
      </c>
      <c r="AC19" s="1928"/>
      <c r="AD19" s="1928"/>
      <c r="AE19" s="1928"/>
      <c r="AF19" s="1928"/>
      <c r="AG19" s="1929"/>
      <c r="AH19" s="1927" cm="1">
        <f t="array" ref="AH19">SUMPRODUCT((Application!$B$714:$B$738 = 'CalHFA Addendum'!AH$18)*(Application!$AC$714:$AC$738 = 'CalHFA Addendum'!$B19),Application!$G$714:$G$738)</f>
        <v>3</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0.25217391304347825</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27</v>
      </c>
      <c r="K20" s="1928"/>
      <c r="L20" s="1928"/>
      <c r="M20" s="1928"/>
      <c r="N20" s="1928"/>
      <c r="O20" s="1929"/>
      <c r="P20" s="1927" cm="1">
        <f t="array" ref="P20">SUMPRODUCT((Application!$B$718:$B$752 = 'CalHFA Addendum'!P$18)*(Application!$AC$718:$AC$752 = 'CalHFA Addendum'!$B20),Application!$G$718:$G$752)</f>
        <v>10</v>
      </c>
      <c r="Q20" s="1928"/>
      <c r="R20" s="1928"/>
      <c r="S20" s="1928"/>
      <c r="T20" s="1928"/>
      <c r="U20" s="1929"/>
      <c r="V20" s="1927" cm="1">
        <f t="array" ref="V20">SUMPRODUCT((Application!$B$714:$B$738 = 'CalHFA Addendum'!V$18)*(Application!$AC$714:$AC$738 = 'CalHFA Addendum'!$B20),Application!$G$714:$G$738)</f>
        <v>5</v>
      </c>
      <c r="W20" s="1928"/>
      <c r="X20" s="1928"/>
      <c r="Y20" s="1928"/>
      <c r="Z20" s="1928"/>
      <c r="AA20" s="1929"/>
      <c r="AB20" s="1927" cm="1">
        <f t="array" ref="AB20">SUMPRODUCT((Application!$B$714:$B$738 = 'CalHFA Addendum'!AB$18)*(Application!$AC$714:$AC$738 = 'CalHFA Addendum'!$B20),Application!$G$714:$G$738)</f>
        <v>6</v>
      </c>
      <c r="AC20" s="1928"/>
      <c r="AD20" s="1928"/>
      <c r="AE20" s="1928"/>
      <c r="AF20" s="1928"/>
      <c r="AG20" s="1929"/>
      <c r="AH20" s="1927" cm="1">
        <f t="array" ref="AH20">SUMPRODUCT((Application!$B$714:$B$738 = 'CalHFA Addendum'!AH$18)*(Application!$AC$714:$AC$738 = 'CalHFA Addendum'!$B20),Application!$G$714:$G$738)</f>
        <v>6</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0.23478260869565218</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38</v>
      </c>
      <c r="K21" s="1928"/>
      <c r="L21" s="1928"/>
      <c r="M21" s="1928"/>
      <c r="N21" s="1928"/>
      <c r="O21" s="1929"/>
      <c r="P21" s="1927" cm="1">
        <f t="array" ref="P21">SUMPRODUCT((Application!$B$714:$B$738 = 'CalHFA Addendum'!P$18)*(Application!$AC$714:$AC$738 = 'CalHFA Addendum'!$B21),Application!$G$714:$G$738)</f>
        <v>10</v>
      </c>
      <c r="Q21" s="1928"/>
      <c r="R21" s="1928"/>
      <c r="S21" s="1928"/>
      <c r="T21" s="1928"/>
      <c r="U21" s="1929"/>
      <c r="V21" s="1927" cm="1">
        <f t="array" ref="V21">SUMPRODUCT((Application!$B$714:$B$738 = 'CalHFA Addendum'!V$18)*(Application!$AC$714:$AC$738 = 'CalHFA Addendum'!$B21),Application!$G$714:$G$738)</f>
        <v>5</v>
      </c>
      <c r="W21" s="1928"/>
      <c r="X21" s="1928"/>
      <c r="Y21" s="1928"/>
      <c r="Z21" s="1928"/>
      <c r="AA21" s="1929"/>
      <c r="AB21" s="1927" cm="1">
        <f t="array" ref="AB21">SUMPRODUCT((Application!$B$714:$B$738 = 'CalHFA Addendum'!AB$18)*(Application!$AC$714:$AC$738 = 'CalHFA Addendum'!$B21),Application!$G$714:$G$738)</f>
        <v>10</v>
      </c>
      <c r="AC21" s="1928"/>
      <c r="AD21" s="1928"/>
      <c r="AE21" s="1928"/>
      <c r="AF21" s="1928"/>
      <c r="AG21" s="1929"/>
      <c r="AH21" s="1927" cm="1">
        <f t="array" ref="AH21">SUMPRODUCT((Application!$B$714:$B$738 = 'CalHFA Addendum'!AH$18)*(Application!$AC$714:$AC$738 = 'CalHFA Addendum'!$B21),Application!$G$714:$G$738)</f>
        <v>13</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0.33043478260869563</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19</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4</v>
      </c>
      <c r="W22" s="1928"/>
      <c r="X22" s="1928"/>
      <c r="Y22" s="1928"/>
      <c r="Z22" s="1928"/>
      <c r="AA22" s="1929"/>
      <c r="AB22" s="1927" cm="1">
        <f t="array" ref="AB22">SUMPRODUCT((Application!$B$714:$B$738 = 'CalHFA Addendum'!AB$18)*(Application!$AC$714:$AC$738 = 'CalHFA Addendum'!$B22),Application!$G$714:$G$738)</f>
        <v>7</v>
      </c>
      <c r="AC22" s="1928"/>
      <c r="AD22" s="1928"/>
      <c r="AE22" s="1928"/>
      <c r="AF22" s="1928"/>
      <c r="AG22" s="1929"/>
      <c r="AH22" s="1927" cm="1">
        <f t="array" ref="AH22">SUMPRODUCT((Application!$B$714:$B$738 = 'CalHFA Addendum'!AH$18)*(Application!$AC$714:$AC$738 = 'CalHFA Addendum'!$B22),Application!$G$714:$G$738)</f>
        <v>8</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0.16521739130434782</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75" thickBot="1">
      <c r="A28" s="1190"/>
      <c r="B28" s="1936" t="s">
        <v>2431</v>
      </c>
      <c r="C28" s="1937"/>
      <c r="D28" s="1937"/>
      <c r="E28" s="1937"/>
      <c r="F28" s="1937"/>
      <c r="G28" s="1937"/>
      <c r="H28" s="1937"/>
      <c r="I28" s="1938"/>
      <c r="J28" s="1939">
        <f>SUM(P28:AS28)</f>
        <v>2</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2</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1.7391304347826087E-2</v>
      </c>
      <c r="AU28" s="1943"/>
      <c r="AV28" s="1943"/>
      <c r="AW28" s="1943"/>
      <c r="AX28" s="1943"/>
      <c r="AY28" s="1944"/>
      <c r="AZ28" s="1190"/>
      <c r="BA28" s="1190"/>
      <c r="BB28" s="1190"/>
      <c r="BC28" s="1190"/>
      <c r="BD28" s="1190"/>
      <c r="BE28" s="1194"/>
    </row>
    <row r="29" spans="1:58" ht="15.75" thickBot="1">
      <c r="A29" s="1190"/>
      <c r="B29" s="1973" t="s">
        <v>1587</v>
      </c>
      <c r="C29" s="1946"/>
      <c r="D29" s="1946"/>
      <c r="E29" s="1946"/>
      <c r="F29" s="1946"/>
      <c r="G29" s="1946"/>
      <c r="H29" s="1946"/>
      <c r="I29" s="1947"/>
      <c r="J29" s="1945">
        <f>SUM(J19:O28)</f>
        <v>115</v>
      </c>
      <c r="K29" s="1946"/>
      <c r="L29" s="1946"/>
      <c r="M29" s="1946"/>
      <c r="N29" s="1946"/>
      <c r="O29" s="1947"/>
      <c r="P29" s="1945">
        <f>SUM(P19:U28)</f>
        <v>30</v>
      </c>
      <c r="Q29" s="1946"/>
      <c r="R29" s="1946"/>
      <c r="S29" s="1946"/>
      <c r="T29" s="1946"/>
      <c r="U29" s="1947"/>
      <c r="V29" s="1945">
        <f>SUM(V19:AA28)</f>
        <v>24</v>
      </c>
      <c r="W29" s="1946"/>
      <c r="X29" s="1946"/>
      <c r="Y29" s="1946"/>
      <c r="Z29" s="1946"/>
      <c r="AA29" s="1947"/>
      <c r="AB29" s="1945">
        <f>SUM(AB19:AG28)</f>
        <v>31</v>
      </c>
      <c r="AC29" s="1946"/>
      <c r="AD29" s="1946"/>
      <c r="AE29" s="1946"/>
      <c r="AF29" s="1946"/>
      <c r="AG29" s="1947"/>
      <c r="AH29" s="1945">
        <f>SUM(AH19:AM28)</f>
        <v>30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7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75" thickBot="1">
      <c r="A31" s="1190"/>
      <c r="B31" s="1951" t="s">
        <v>2430</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75" thickBot="1">
      <c r="A32" s="1190"/>
      <c r="B32" s="1954" t="s">
        <v>2429</v>
      </c>
      <c r="C32" s="1955"/>
      <c r="D32" s="1955"/>
      <c r="E32" s="1955"/>
      <c r="F32" s="1955"/>
      <c r="G32" s="1955"/>
      <c r="H32" s="1955"/>
      <c r="I32" s="1955"/>
      <c r="J32" s="1958" t="s">
        <v>2428</v>
      </c>
      <c r="K32" s="1959"/>
      <c r="L32" s="1959"/>
      <c r="M32" s="1959"/>
      <c r="N32" s="1958" t="s">
        <v>2427</v>
      </c>
      <c r="O32" s="1959"/>
      <c r="P32" s="1959"/>
      <c r="Q32" s="1961"/>
      <c r="R32" s="1963" t="s">
        <v>2426</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2425</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9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9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2424</v>
      </c>
      <c r="AT35" s="1975"/>
      <c r="AU35" s="1975"/>
      <c r="AV35" s="1975"/>
      <c r="AW35" s="1975"/>
      <c r="AX35" s="1983"/>
      <c r="AY35" s="1974" t="s">
        <v>2423</v>
      </c>
      <c r="AZ35" s="1975"/>
      <c r="BA35" s="1975"/>
      <c r="BB35" s="1975"/>
      <c r="BC35" s="1975"/>
      <c r="BD35" s="1976"/>
      <c r="BE35" s="1194"/>
    </row>
    <row r="36" spans="1:58" ht="15.95" customHeight="1">
      <c r="A36" s="1190"/>
      <c r="B36" s="1993" t="s">
        <v>2422</v>
      </c>
      <c r="C36" s="1994"/>
      <c r="D36" s="1994"/>
      <c r="E36" s="1994"/>
      <c r="F36" s="1994"/>
      <c r="G36" s="1994"/>
      <c r="H36" s="1994"/>
      <c r="I36" s="1994"/>
      <c r="J36" s="1995" t="s">
        <v>2421</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95" customHeight="1">
      <c r="A37" s="1190"/>
      <c r="B37" s="1993" t="s">
        <v>2420</v>
      </c>
      <c r="C37" s="1994"/>
      <c r="D37" s="1994"/>
      <c r="E37" s="1994"/>
      <c r="F37" s="1994"/>
      <c r="G37" s="1994"/>
      <c r="H37" s="1994"/>
      <c r="I37" s="1994"/>
      <c r="J37" s="1995" t="s">
        <v>2419</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95" customHeight="1">
      <c r="A38" s="1190"/>
      <c r="B38" s="1993" t="s">
        <v>2418</v>
      </c>
      <c r="C38" s="1994"/>
      <c r="D38" s="1994"/>
      <c r="E38" s="1994"/>
      <c r="F38" s="1994"/>
      <c r="G38" s="1994"/>
      <c r="H38" s="1994"/>
      <c r="I38" s="1994"/>
      <c r="J38" s="1995" t="s">
        <v>2417</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95" customHeight="1">
      <c r="A39" s="1190"/>
      <c r="B39" s="1993" t="s">
        <v>2416</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95" customHeight="1">
      <c r="A40" s="1190"/>
      <c r="B40" s="1993" t="s">
        <v>2416</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95" customHeight="1">
      <c r="A41" s="1190"/>
      <c r="B41" s="1993" t="s">
        <v>2415</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95" customHeight="1">
      <c r="A42" s="1190"/>
      <c r="B42" s="1993" t="s">
        <v>2415</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95" customHeight="1">
      <c r="A43" s="1190"/>
      <c r="B43" s="1997" t="s">
        <v>2414</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95" customHeight="1">
      <c r="A44" s="1190"/>
      <c r="B44" s="1997" t="s">
        <v>2413</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95" customHeight="1">
      <c r="A45" s="1190"/>
      <c r="B45" s="1997" t="s">
        <v>2412</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95" customHeight="1">
      <c r="A46" s="1190"/>
      <c r="B46" s="1997" t="s">
        <v>2336</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95" customHeight="1" thickBot="1">
      <c r="A47" s="1190"/>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9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9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95" customHeight="1">
      <c r="A50" s="1190"/>
      <c r="B50" s="2009" t="s">
        <v>2409</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950000000000003" customHeight="1">
      <c r="A51" s="1190"/>
      <c r="B51" s="2012" t="s">
        <v>2402</v>
      </c>
      <c r="C51" s="2013"/>
      <c r="D51" s="2013"/>
      <c r="E51" s="2013"/>
      <c r="F51" s="2013"/>
      <c r="G51" s="2013"/>
      <c r="H51" s="2013"/>
      <c r="I51" s="2013"/>
      <c r="J51" s="2013" t="s">
        <v>2408</v>
      </c>
      <c r="K51" s="2013"/>
      <c r="L51" s="2013"/>
      <c r="M51" s="2013"/>
      <c r="N51" s="2013"/>
      <c r="O51" s="2013"/>
      <c r="P51" s="2013"/>
      <c r="Q51" s="2013"/>
      <c r="R51" s="2014" t="s">
        <v>2407</v>
      </c>
      <c r="S51" s="2014"/>
      <c r="T51" s="2014"/>
      <c r="U51" s="2014"/>
      <c r="V51" s="2014"/>
      <c r="W51" s="2014"/>
      <c r="X51" s="2014"/>
      <c r="Y51" s="2014"/>
      <c r="Z51" s="2014" t="s">
        <v>2406</v>
      </c>
      <c r="AA51" s="2014"/>
      <c r="AB51" s="2014"/>
      <c r="AC51" s="2014"/>
      <c r="AD51" s="2014"/>
      <c r="AE51" s="2014"/>
      <c r="AF51" s="2014"/>
      <c r="AG51" s="2014"/>
      <c r="AH51" s="2014" t="s">
        <v>2405</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95" customHeight="1">
      <c r="A52" s="1190"/>
      <c r="B52" s="1997" t="s">
        <v>2404</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95" customHeight="1">
      <c r="A53" s="1190"/>
      <c r="B53" s="1997" t="s">
        <v>2403</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9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9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250</v>
      </c>
      <c r="AU55" s="1192"/>
      <c r="AV55" s="1192"/>
      <c r="AW55" s="1192"/>
      <c r="AX55" s="1190"/>
      <c r="AY55" s="1190"/>
      <c r="AZ55" s="1190"/>
      <c r="BA55" s="1190"/>
      <c r="BB55" s="1190"/>
      <c r="BC55" s="1190"/>
      <c r="BD55" s="1190"/>
      <c r="BE55" s="1194"/>
    </row>
    <row r="56" spans="1:77" ht="15.9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95" customHeight="1" thickBot="1">
      <c r="A57" s="1192"/>
      <c r="B57" s="2030" t="s">
        <v>1587</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9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95" customHeight="1">
      <c r="A59" s="1190"/>
      <c r="B59" s="2021" t="s">
        <v>2402</v>
      </c>
      <c r="C59" s="2022"/>
      <c r="D59" s="2022"/>
      <c r="E59" s="2022"/>
      <c r="F59" s="2022"/>
      <c r="G59" s="2022"/>
      <c r="H59" s="2022"/>
      <c r="I59" s="2023"/>
      <c r="J59" s="1915" t="s">
        <v>2401</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9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9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9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9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9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9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9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9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95" customHeight="1" thickBot="1">
      <c r="A68" s="1190"/>
      <c r="B68" s="1914" t="s">
        <v>2399</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2398</v>
      </c>
      <c r="AD68" s="2059"/>
      <c r="AE68" s="2059"/>
      <c r="AF68" s="2059"/>
      <c r="AG68" s="2059"/>
      <c r="AH68" s="2059"/>
      <c r="AI68" s="2059"/>
      <c r="AJ68" s="2059"/>
      <c r="AK68" s="2059"/>
      <c r="AL68" s="2059"/>
      <c r="AM68" s="2059"/>
      <c r="AN68" s="2059"/>
      <c r="AO68" s="2059"/>
      <c r="AP68" s="2059"/>
      <c r="AQ68" s="2059"/>
      <c r="AR68" s="2059"/>
      <c r="AS68" s="2059"/>
      <c r="AT68" s="2059"/>
      <c r="AU68" s="2059"/>
      <c r="AV68" s="2036" t="s">
        <v>670</v>
      </c>
      <c r="AW68" s="2037"/>
      <c r="AX68" s="2037"/>
      <c r="AY68" s="2037"/>
      <c r="AZ68" s="2037"/>
      <c r="BA68" s="2037"/>
      <c r="BB68" s="2037"/>
      <c r="BC68" s="2038"/>
      <c r="BD68" s="1190"/>
      <c r="BE68" s="1194"/>
      <c r="BM68" s="1199" t="s">
        <v>2397</v>
      </c>
    </row>
    <row r="69" spans="1:94" ht="15.95" customHeight="1" thickTop="1" thickBot="1">
      <c r="A69" s="1190"/>
      <c r="B69" s="2039" t="s">
        <v>2396</v>
      </c>
      <c r="C69" s="2040"/>
      <c r="D69" s="2040"/>
      <c r="E69" s="2040"/>
      <c r="F69" s="2040"/>
      <c r="G69" s="2040"/>
      <c r="H69" s="2040"/>
      <c r="I69" s="2040"/>
      <c r="J69" s="2040"/>
      <c r="K69" s="2040"/>
      <c r="L69" s="2040"/>
      <c r="M69" s="2040"/>
      <c r="N69" s="2040"/>
      <c r="O69" s="2041" t="s">
        <v>2395</v>
      </c>
      <c r="P69" s="2042"/>
      <c r="Q69" s="2042"/>
      <c r="R69" s="2042"/>
      <c r="S69" s="2042"/>
      <c r="T69" s="2042"/>
      <c r="U69" s="2042"/>
      <c r="V69" s="2042"/>
      <c r="W69" s="2042"/>
      <c r="X69" s="2042"/>
      <c r="Y69" s="2042"/>
      <c r="Z69" s="2042"/>
      <c r="AA69" s="2043"/>
      <c r="AB69" s="1190"/>
      <c r="AC69" s="2044" t="s">
        <v>2394</v>
      </c>
      <c r="AD69" s="2045"/>
      <c r="AE69" s="2045"/>
      <c r="AF69" s="2045"/>
      <c r="AG69" s="2045"/>
      <c r="AH69" s="2045"/>
      <c r="AI69" s="2045"/>
      <c r="AJ69" s="2045"/>
      <c r="AK69" s="2045"/>
      <c r="AL69" s="2045"/>
      <c r="AM69" s="2045"/>
      <c r="AN69" s="2045"/>
      <c r="AO69" s="2045"/>
      <c r="AP69" s="2045"/>
      <c r="AQ69" s="2045"/>
      <c r="AR69" s="2045"/>
      <c r="AS69" s="2045"/>
      <c r="AT69" s="2045"/>
      <c r="AU69" s="2045"/>
      <c r="AV69" s="2036" t="s">
        <v>670</v>
      </c>
      <c r="AW69" s="2037"/>
      <c r="AX69" s="2037"/>
      <c r="AY69" s="2037"/>
      <c r="AZ69" s="2037"/>
      <c r="BA69" s="2037"/>
      <c r="BB69" s="2037"/>
      <c r="BC69" s="2038"/>
      <c r="BD69" s="1190"/>
      <c r="BE69" s="1194"/>
      <c r="BM69" s="1200" t="s">
        <v>546</v>
      </c>
    </row>
    <row r="70" spans="1:94" ht="15.95" customHeight="1">
      <c r="A70" s="1190"/>
      <c r="B70" s="1993" t="s">
        <v>2393</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2392</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670</v>
      </c>
    </row>
    <row r="71" spans="1:94" ht="15.95" customHeight="1" thickBot="1">
      <c r="A71" s="1190"/>
      <c r="B71" s="1993" t="s">
        <v>2391</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2390</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2389</v>
      </c>
    </row>
    <row r="72" spans="1:94" ht="15.95" customHeight="1">
      <c r="A72" s="1190"/>
      <c r="B72" s="1993" t="s">
        <v>2388</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2387</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95" customHeight="1">
      <c r="A73" s="1190"/>
      <c r="B73" s="1997" t="s">
        <v>2386</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2331</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9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9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9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9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9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95" customHeight="1">
      <c r="A79" s="1190"/>
      <c r="B79" s="1202" t="s">
        <v>2284</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95" customHeight="1" thickBot="1">
      <c r="A80" s="1190"/>
      <c r="B80" s="2063" t="s">
        <v>2384</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95" customHeight="1" thickBot="1">
      <c r="A81" s="1190"/>
      <c r="B81" s="2068" t="s">
        <v>2383</v>
      </c>
      <c r="C81" s="2069"/>
      <c r="D81" s="2069"/>
      <c r="E81" s="2069"/>
      <c r="F81" s="2069"/>
      <c r="G81" s="2069"/>
      <c r="H81" s="2069"/>
      <c r="I81" s="2069"/>
      <c r="J81" s="2069"/>
      <c r="K81" s="2069"/>
      <c r="L81" s="2069"/>
      <c r="M81" s="2069"/>
      <c r="N81" s="2069"/>
      <c r="O81" s="2069"/>
      <c r="P81" s="2069"/>
      <c r="Q81" s="2069"/>
      <c r="R81" s="2070" t="s">
        <v>2189</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9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95" customHeight="1">
      <c r="A83" s="1190"/>
      <c r="B83" s="2073" t="s">
        <v>2382</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2381</v>
      </c>
      <c r="AK83" s="2092"/>
      <c r="AL83" s="2092"/>
      <c r="AM83" s="2092"/>
      <c r="AN83" s="2092"/>
      <c r="AO83" s="2092"/>
      <c r="AP83" s="2092"/>
      <c r="AQ83" s="2092"/>
      <c r="AR83" s="2092"/>
      <c r="AS83" s="2092"/>
      <c r="AT83" s="2092"/>
      <c r="AU83" s="2092"/>
      <c r="AV83" s="2092"/>
      <c r="AW83" s="2092"/>
      <c r="AX83" s="2092"/>
      <c r="AY83" s="2095" t="s">
        <v>546</v>
      </c>
      <c r="AZ83" s="2095"/>
      <c r="BA83" s="2095"/>
      <c r="BB83" s="2096"/>
      <c r="BC83" s="1190"/>
      <c r="BD83" s="1190"/>
      <c r="BE83" s="1194"/>
      <c r="CK83" s="1188"/>
      <c r="CL83" s="1188"/>
      <c r="CM83" s="1188"/>
      <c r="CN83" s="1188"/>
      <c r="CO83" s="1188"/>
      <c r="CP83" s="1188"/>
    </row>
    <row r="84" spans="1:94" ht="15.95" customHeight="1">
      <c r="A84" s="1190"/>
      <c r="B84" s="2012"/>
      <c r="C84" s="2013"/>
      <c r="D84" s="2013"/>
      <c r="E84" s="2013"/>
      <c r="F84" s="2013"/>
      <c r="G84" s="2013"/>
      <c r="H84" s="2013"/>
      <c r="I84" s="2013" t="s">
        <v>2371</v>
      </c>
      <c r="J84" s="2013"/>
      <c r="K84" s="2013"/>
      <c r="L84" s="2013"/>
      <c r="M84" s="2013"/>
      <c r="N84" s="2013"/>
      <c r="O84" s="2013" t="s">
        <v>2347</v>
      </c>
      <c r="P84" s="2013"/>
      <c r="Q84" s="2013"/>
      <c r="R84" s="2013"/>
      <c r="S84" s="2013"/>
      <c r="T84" s="2013"/>
      <c r="U84" s="2013"/>
      <c r="V84" s="2099" t="s">
        <v>2346</v>
      </c>
      <c r="W84" s="2099"/>
      <c r="X84" s="2099"/>
      <c r="Y84" s="2099"/>
      <c r="Z84" s="2099"/>
      <c r="AA84" s="2099"/>
      <c r="AB84" s="2100" t="s">
        <v>2370</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9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95" customHeight="1">
      <c r="A86" s="1190"/>
      <c r="B86" s="2012" t="s">
        <v>2369</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95" customHeight="1">
      <c r="A87" s="1190"/>
      <c r="B87" s="2012" t="s">
        <v>2368</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2375</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95" customHeight="1" thickBot="1">
      <c r="A88" s="1190"/>
      <c r="B88" s="2030" t="s">
        <v>2367</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9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9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9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95" customHeight="1">
      <c r="A92" s="1190"/>
      <c r="B92" s="1212" t="s">
        <v>2284</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95" customHeight="1" thickBot="1">
      <c r="A93" s="1190"/>
      <c r="B93" s="2063" t="s">
        <v>2379</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95" customHeight="1" thickBot="1">
      <c r="A94" s="1190"/>
      <c r="B94" s="2068" t="s">
        <v>2378</v>
      </c>
      <c r="C94" s="2069"/>
      <c r="D94" s="2069"/>
      <c r="E94" s="2069"/>
      <c r="F94" s="2069"/>
      <c r="G94" s="2069"/>
      <c r="H94" s="2069"/>
      <c r="I94" s="2069"/>
      <c r="J94" s="2069"/>
      <c r="K94" s="2069"/>
      <c r="L94" s="2069"/>
      <c r="M94" s="2069"/>
      <c r="N94" s="2069"/>
      <c r="O94" s="2069"/>
      <c r="P94" s="2069"/>
      <c r="Q94" s="2103"/>
      <c r="R94" s="2070" t="s">
        <v>2189</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9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95" customHeight="1">
      <c r="A96" s="1190"/>
      <c r="B96" s="2073" t="s">
        <v>2377</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2376</v>
      </c>
      <c r="AK96" s="2092"/>
      <c r="AL96" s="2092"/>
      <c r="AM96" s="2092"/>
      <c r="AN96" s="2092"/>
      <c r="AO96" s="2092"/>
      <c r="AP96" s="2092"/>
      <c r="AQ96" s="2092"/>
      <c r="AR96" s="2092"/>
      <c r="AS96" s="2092"/>
      <c r="AT96" s="2092"/>
      <c r="AU96" s="2092"/>
      <c r="AV96" s="2092"/>
      <c r="AW96" s="2092"/>
      <c r="AX96" s="2092"/>
      <c r="AY96" s="2095" t="s">
        <v>546</v>
      </c>
      <c r="AZ96" s="2095"/>
      <c r="BA96" s="2095"/>
      <c r="BB96" s="2096"/>
      <c r="BC96" s="1190"/>
      <c r="BD96" s="1190"/>
      <c r="BE96" s="1194"/>
      <c r="BQ96" s="1256" t="str">
        <f>Application!M243&amp;IF(TRIM(Application!AA249)&lt;&gt;""," ("&amp;Application!AA249&amp;")","")</f>
        <v>Oak Hill Eden LLC</v>
      </c>
      <c r="BR96" s="1259">
        <f>Application!AH246</f>
        <v>0.01</v>
      </c>
      <c r="CM96" s="1188"/>
      <c r="CN96" s="1188"/>
      <c r="CO96" s="1188"/>
      <c r="CP96" s="1188"/>
    </row>
    <row r="97" spans="1:94" ht="15.95" customHeight="1">
      <c r="A97" s="1190"/>
      <c r="B97" s="2012"/>
      <c r="C97" s="2013"/>
      <c r="D97" s="2013"/>
      <c r="E97" s="2013"/>
      <c r="F97" s="2013"/>
      <c r="G97" s="2013"/>
      <c r="H97" s="2013"/>
      <c r="I97" s="2013" t="s">
        <v>2371</v>
      </c>
      <c r="J97" s="2013"/>
      <c r="K97" s="2013"/>
      <c r="L97" s="2013"/>
      <c r="M97" s="2013"/>
      <c r="N97" s="2013"/>
      <c r="O97" s="2013" t="s">
        <v>2347</v>
      </c>
      <c r="P97" s="2013"/>
      <c r="Q97" s="2013"/>
      <c r="R97" s="2013"/>
      <c r="S97" s="2013"/>
      <c r="T97" s="2013"/>
      <c r="U97" s="2013"/>
      <c r="V97" s="2099" t="s">
        <v>2346</v>
      </c>
      <c r="W97" s="2099"/>
      <c r="X97" s="2099"/>
      <c r="Y97" s="2099"/>
      <c r="Z97" s="2099"/>
      <c r="AA97" s="2099"/>
      <c r="AB97" s="2100" t="s">
        <v>2370</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
      </c>
      <c r="BR97" s="1259">
        <f>Application!AH254</f>
        <v>0</v>
      </c>
      <c r="CM97" s="1188"/>
      <c r="CN97" s="1188"/>
      <c r="CO97" s="1188"/>
      <c r="CP97" s="1188"/>
    </row>
    <row r="98" spans="1:94" ht="15.9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95" customHeight="1">
      <c r="A99" s="1190"/>
      <c r="B99" s="2012" t="s">
        <v>2369</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95" customHeight="1">
      <c r="A100" s="1190"/>
      <c r="B100" s="2012" t="s">
        <v>2368</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2375</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95" customHeight="1" thickBot="1">
      <c r="A101" s="1190"/>
      <c r="B101" s="2030" t="s">
        <v>2367</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Eden Housing Management, Inc.</v>
      </c>
      <c r="CM101" s="1188"/>
      <c r="CN101" s="1188"/>
      <c r="CO101" s="1188"/>
      <c r="CP101" s="1188"/>
    </row>
    <row r="102" spans="1:94" ht="15.9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9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95" customHeight="1">
      <c r="A104" s="1190"/>
      <c r="B104" s="1212" t="s">
        <v>2284</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95" customHeight="1" thickBot="1">
      <c r="A105" s="1190"/>
      <c r="B105" s="1219" t="s">
        <v>2373</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9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95" customHeight="1">
      <c r="A107" s="1190"/>
      <c r="B107" s="2058" t="s">
        <v>2372</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2371</v>
      </c>
      <c r="J108" s="2013"/>
      <c r="K108" s="2013"/>
      <c r="L108" s="2013"/>
      <c r="M108" s="2013"/>
      <c r="N108" s="2013"/>
      <c r="O108" s="2013" t="s">
        <v>2347</v>
      </c>
      <c r="P108" s="2013"/>
      <c r="Q108" s="2013"/>
      <c r="R108" s="2013"/>
      <c r="S108" s="2013"/>
      <c r="T108" s="2013"/>
      <c r="U108" s="2013"/>
      <c r="V108" s="2099" t="s">
        <v>2346</v>
      </c>
      <c r="W108" s="2099"/>
      <c r="X108" s="2099"/>
      <c r="Y108" s="2099"/>
      <c r="Z108" s="2099"/>
      <c r="AA108" s="2099"/>
      <c r="AB108" s="2100" t="s">
        <v>2370</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95" customHeight="1">
      <c r="A110" s="1190"/>
      <c r="B110" s="2012" t="s">
        <v>2369</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95" customHeight="1">
      <c r="A111" s="1190"/>
      <c r="B111" s="2012" t="s">
        <v>2368</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95" customHeight="1" thickBot="1">
      <c r="A112" s="1190"/>
      <c r="B112" s="2030" t="s">
        <v>2367</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9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9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95" customHeight="1">
      <c r="A115" s="1190"/>
      <c r="B115" s="1212" t="s">
        <v>2284</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9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95" customHeight="1">
      <c r="A117" s="1190"/>
      <c r="B117" s="2118" t="s">
        <v>2365</v>
      </c>
      <c r="C117" s="2119"/>
      <c r="D117" s="2119"/>
      <c r="E117" s="2119"/>
      <c r="F117" s="2119"/>
      <c r="G117" s="2119"/>
      <c r="H117" s="2119"/>
      <c r="I117" s="2119"/>
      <c r="J117" s="2119"/>
      <c r="K117" s="2119"/>
      <c r="L117" s="2119"/>
      <c r="M117" s="2119"/>
      <c r="N117" s="2119"/>
      <c r="O117" s="2119"/>
      <c r="P117" s="2119"/>
      <c r="Q117" s="2119"/>
      <c r="R117" s="2119"/>
      <c r="S117" s="2119"/>
      <c r="T117" s="2119"/>
      <c r="U117" s="2122" t="s">
        <v>546</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9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9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9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95" customHeight="1">
      <c r="A121" s="1190"/>
      <c r="B121" s="2126" t="s">
        <v>2365</v>
      </c>
      <c r="C121" s="2127"/>
      <c r="D121" s="2127"/>
      <c r="E121" s="2127"/>
      <c r="F121" s="2127"/>
      <c r="G121" s="2127"/>
      <c r="H121" s="2127"/>
      <c r="I121" s="2127"/>
      <c r="J121" s="2127"/>
      <c r="K121" s="2127"/>
      <c r="L121" s="2127"/>
      <c r="M121" s="2127"/>
      <c r="N121" s="2127"/>
      <c r="O121" s="2127"/>
      <c r="P121" s="2127"/>
      <c r="Q121" s="2127"/>
      <c r="R121" s="2127"/>
      <c r="S121" s="2127"/>
      <c r="T121" s="2127"/>
      <c r="U121" s="2130" t="s">
        <v>546</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9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9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9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9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2363</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95" customHeight="1">
      <c r="A126" s="1190"/>
      <c r="B126" s="2136" t="s">
        <v>1577</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95" customHeight="1">
      <c r="A127" s="1190"/>
      <c r="B127" s="2154"/>
      <c r="C127" s="2155"/>
      <c r="D127" s="2155"/>
      <c r="E127" s="2155"/>
      <c r="F127" s="2155"/>
      <c r="G127" s="2155"/>
      <c r="H127" s="2155"/>
      <c r="I127" s="2013" t="s">
        <v>2362</v>
      </c>
      <c r="J127" s="2013"/>
      <c r="K127" s="2013"/>
      <c r="L127" s="2013"/>
      <c r="M127" s="2013"/>
      <c r="N127" s="2013"/>
      <c r="O127" s="2110" t="s">
        <v>2361</v>
      </c>
      <c r="P127" s="2110"/>
      <c r="Q127" s="2110"/>
      <c r="R127" s="2110"/>
      <c r="S127" s="2110"/>
      <c r="T127" s="2110"/>
      <c r="U127" s="2111"/>
      <c r="V127" s="1190"/>
      <c r="W127" s="1190"/>
      <c r="X127" s="2078" t="s">
        <v>2331</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95" customHeight="1">
      <c r="A128" s="1190"/>
      <c r="B128" s="2112" t="s">
        <v>2345</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95" customHeight="1" thickBot="1">
      <c r="A129" s="1190"/>
      <c r="B129" s="2114" t="s">
        <v>2344</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9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9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9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95" customHeight="1">
      <c r="A133" s="1190"/>
      <c r="B133" s="1914" t="s">
        <v>2359</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95" customHeight="1">
      <c r="A134" s="1190"/>
      <c r="B134" s="2154"/>
      <c r="C134" s="2155"/>
      <c r="D134" s="2155"/>
      <c r="E134" s="2155"/>
      <c r="F134" s="2155"/>
      <c r="G134" s="2155"/>
      <c r="H134" s="2155"/>
      <c r="I134" s="2156" t="s">
        <v>2347</v>
      </c>
      <c r="J134" s="2156"/>
      <c r="K134" s="2156"/>
      <c r="L134" s="2156"/>
      <c r="M134" s="2156"/>
      <c r="N134" s="2156"/>
      <c r="O134" s="2156"/>
      <c r="P134" s="2156" t="s">
        <v>2346</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9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95" customHeight="1">
      <c r="A136" s="1190"/>
      <c r="B136" s="2112" t="s">
        <v>2345</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95" customHeight="1" thickBot="1">
      <c r="A137" s="1190"/>
      <c r="B137" s="2114" t="s">
        <v>2344</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9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95" customHeight="1">
      <c r="A139" s="1190"/>
      <c r="B139" s="2152" t="s">
        <v>2358</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546</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95" customHeight="1" thickBot="1">
      <c r="A140" s="1190"/>
      <c r="B140" s="2139" t="s">
        <v>2357</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95" customHeight="1">
      <c r="A141" s="1190"/>
      <c r="B141" s="2139" t="s">
        <v>2356</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546</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95" customHeight="1">
      <c r="A142" s="1190"/>
      <c r="B142" s="2142" t="s">
        <v>2355</v>
      </c>
      <c r="C142" s="2143"/>
      <c r="D142" s="2143"/>
      <c r="E142" s="2143"/>
      <c r="F142" s="2143"/>
      <c r="G142" s="2143"/>
      <c r="H142" s="2143"/>
      <c r="I142" s="2143"/>
      <c r="J142" s="2143"/>
      <c r="K142" s="2143"/>
      <c r="L142" s="2143"/>
      <c r="M142" s="2143"/>
      <c r="N142" s="2143"/>
      <c r="O142" s="2143"/>
      <c r="P142" s="2143"/>
      <c r="Q142" s="2143"/>
      <c r="R142" s="2144" t="s">
        <v>2354</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250</v>
      </c>
      <c r="BD142" s="1190"/>
      <c r="BE142" s="1194"/>
    </row>
    <row r="143" spans="1:57" ht="15.95" customHeight="1">
      <c r="A143" s="1190"/>
      <c r="B143" s="2146" t="s">
        <v>2353</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9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9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9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9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9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9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9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9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9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9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9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9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95" customHeight="1">
      <c r="A156" s="1190"/>
      <c r="B156" s="2009" t="s">
        <v>2350</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2349</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95" customHeight="1">
      <c r="A157" s="1190"/>
      <c r="B157" s="2154"/>
      <c r="C157" s="2155"/>
      <c r="D157" s="2155"/>
      <c r="E157" s="2155"/>
      <c r="F157" s="2155"/>
      <c r="G157" s="2155"/>
      <c r="H157" s="2155"/>
      <c r="I157" s="2156" t="s">
        <v>2347</v>
      </c>
      <c r="J157" s="2156"/>
      <c r="K157" s="2156"/>
      <c r="L157" s="2156"/>
      <c r="M157" s="2156"/>
      <c r="N157" s="2156"/>
      <c r="O157" s="2156"/>
      <c r="P157" s="2156" t="s">
        <v>2348</v>
      </c>
      <c r="Q157" s="2156"/>
      <c r="R157" s="2156"/>
      <c r="S157" s="2156"/>
      <c r="T157" s="2156"/>
      <c r="U157" s="2157"/>
      <c r="V157" s="1190"/>
      <c r="W157" s="1190"/>
      <c r="X157" s="2154"/>
      <c r="Y157" s="2155"/>
      <c r="Z157" s="2155"/>
      <c r="AA157" s="2155"/>
      <c r="AB157" s="2155"/>
      <c r="AC157" s="2155"/>
      <c r="AD157" s="2155"/>
      <c r="AE157" s="2156" t="s">
        <v>2347</v>
      </c>
      <c r="AF157" s="2156"/>
      <c r="AG157" s="2156"/>
      <c r="AH157" s="2156"/>
      <c r="AI157" s="2156"/>
      <c r="AJ157" s="2156"/>
      <c r="AK157" s="2156"/>
      <c r="AL157" s="2156" t="s">
        <v>2346</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9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95" customHeight="1" thickBot="1">
      <c r="A159" s="1190"/>
      <c r="B159" s="2112" t="s">
        <v>2345</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2345</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95" customHeight="1" thickBot="1">
      <c r="A160" s="1190"/>
      <c r="B160" s="2114" t="s">
        <v>2344</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9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95" customHeight="1">
      <c r="A162" s="1190"/>
      <c r="B162" s="1190"/>
      <c r="C162" s="2009" t="s">
        <v>2343</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95" customHeight="1">
      <c r="A163" s="1190"/>
      <c r="B163" s="1190"/>
      <c r="C163" s="2154" t="s">
        <v>2328</v>
      </c>
      <c r="D163" s="2155"/>
      <c r="E163" s="2155"/>
      <c r="F163" s="2155"/>
      <c r="G163" s="2155"/>
      <c r="H163" s="2155"/>
      <c r="I163" s="2155"/>
      <c r="J163" s="2155"/>
      <c r="K163" s="2155"/>
      <c r="L163" s="2155"/>
      <c r="M163" s="2155"/>
      <c r="N163" s="2155"/>
      <c r="O163" s="2155"/>
      <c r="P163" s="2155"/>
      <c r="Q163" s="2155" t="s">
        <v>2342</v>
      </c>
      <c r="R163" s="2155"/>
      <c r="S163" s="2155"/>
      <c r="T163" s="2100" t="s">
        <v>2341</v>
      </c>
      <c r="U163" s="2100"/>
      <c r="V163" s="2100"/>
      <c r="W163" s="2100"/>
      <c r="X163" s="2100"/>
      <c r="Y163" s="2100"/>
      <c r="Z163" s="2100"/>
      <c r="AA163" s="2100"/>
      <c r="AB163" s="2155" t="s">
        <v>2340</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95" customHeight="1">
      <c r="A164" s="1190"/>
      <c r="B164" s="1190"/>
      <c r="C164" s="2158" t="s">
        <v>2339</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95" customHeight="1">
      <c r="A165" s="1190"/>
      <c r="B165" s="1190"/>
      <c r="C165" s="2158" t="s">
        <v>2338</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95" customHeight="1">
      <c r="A166" s="1190"/>
      <c r="B166" s="1190"/>
      <c r="C166" s="2158" t="s">
        <v>2337</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95" customHeight="1">
      <c r="A167" s="1190"/>
      <c r="B167" s="1190"/>
      <c r="C167" s="2158" t="s">
        <v>2336</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95" customHeight="1">
      <c r="A168" s="1190"/>
      <c r="B168" s="1190"/>
      <c r="C168" s="2158" t="s">
        <v>170</v>
      </c>
      <c r="D168" s="2159"/>
      <c r="E168" s="2159"/>
      <c r="F168" s="2166" t="s">
        <v>2317</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95" customHeight="1">
      <c r="A169" s="1190"/>
      <c r="B169" s="1190"/>
      <c r="C169" s="2158" t="s">
        <v>170</v>
      </c>
      <c r="D169" s="2159"/>
      <c r="E169" s="2159"/>
      <c r="F169" s="2166" t="s">
        <v>2317</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95" customHeight="1" thickBot="1">
      <c r="A170" s="1190"/>
      <c r="B170" s="1190"/>
      <c r="C170" s="2167" t="s">
        <v>170</v>
      </c>
      <c r="D170" s="2168"/>
      <c r="E170" s="2168"/>
      <c r="F170" s="2169" t="s">
        <v>2317</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9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95" customHeight="1">
      <c r="A172" s="1190"/>
      <c r="B172" s="1190"/>
      <c r="C172" s="2058" t="s">
        <v>2335</v>
      </c>
      <c r="D172" s="2059"/>
      <c r="E172" s="2059"/>
      <c r="F172" s="2059"/>
      <c r="G172" s="2059"/>
      <c r="H172" s="2059"/>
      <c r="I172" s="2059"/>
      <c r="J172" s="2059"/>
      <c r="K172" s="2059"/>
      <c r="L172" s="2059"/>
      <c r="M172" s="2059"/>
      <c r="N172" s="2109"/>
      <c r="O172" s="1190"/>
      <c r="P172" s="2174" t="s">
        <v>2334</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95" customHeight="1">
      <c r="A173" s="1190"/>
      <c r="B173" s="1190"/>
      <c r="C173" s="2154" t="s">
        <v>2333</v>
      </c>
      <c r="D173" s="2155"/>
      <c r="E173" s="2155"/>
      <c r="F173" s="2155"/>
      <c r="G173" s="2155"/>
      <c r="H173" s="2155"/>
      <c r="I173" s="2155" t="s">
        <v>2332</v>
      </c>
      <c r="J173" s="2155"/>
      <c r="K173" s="2155"/>
      <c r="L173" s="2155"/>
      <c r="M173" s="2155"/>
      <c r="N173" s="2163"/>
      <c r="O173" s="1190"/>
      <c r="P173" s="2078" t="s">
        <v>2331</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9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9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9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9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9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9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9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9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95" customHeight="1">
      <c r="A182" s="1190"/>
      <c r="B182" s="1190"/>
      <c r="C182" s="2185" t="s">
        <v>2330</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9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95" customHeight="1">
      <c r="A184" s="1190"/>
      <c r="B184" s="1190"/>
      <c r="C184" s="2058" t="s">
        <v>2328</v>
      </c>
      <c r="D184" s="2059"/>
      <c r="E184" s="2059"/>
      <c r="F184" s="2059"/>
      <c r="G184" s="2059"/>
      <c r="H184" s="2059"/>
      <c r="I184" s="2059"/>
      <c r="J184" s="2059"/>
      <c r="K184" s="2059"/>
      <c r="L184" s="2059"/>
      <c r="M184" s="2059"/>
      <c r="N184" s="2059" t="s">
        <v>2329</v>
      </c>
      <c r="O184" s="2059"/>
      <c r="P184" s="2059"/>
      <c r="Q184" s="2059"/>
      <c r="R184" s="2059"/>
      <c r="S184" s="2059"/>
      <c r="T184" s="2059"/>
      <c r="U184" s="2010" t="s">
        <v>2328</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95" customHeight="1">
      <c r="A185" s="1190"/>
      <c r="B185" s="1190"/>
      <c r="C185" s="2182" t="s">
        <v>2327</v>
      </c>
      <c r="D185" s="2183"/>
      <c r="E185" s="2183"/>
      <c r="F185" s="2183"/>
      <c r="G185" s="2183"/>
      <c r="H185" s="2183"/>
      <c r="I185" s="2183"/>
      <c r="J185" s="2183"/>
      <c r="K185" s="2183"/>
      <c r="L185" s="2183"/>
      <c r="M185" s="2183"/>
      <c r="N185" s="2184">
        <f>'Sources and Uses Budget'!B105</f>
        <v>110202946</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95" customHeight="1">
      <c r="A186" s="1190"/>
      <c r="B186" s="1190"/>
      <c r="C186" s="2182" t="s">
        <v>2326</v>
      </c>
      <c r="D186" s="2183"/>
      <c r="E186" s="2183"/>
      <c r="F186" s="2183"/>
      <c r="G186" s="2183"/>
      <c r="H186" s="2183"/>
      <c r="I186" s="2183"/>
      <c r="J186" s="2183"/>
      <c r="K186" s="2183"/>
      <c r="L186" s="2183"/>
      <c r="M186" s="2183"/>
      <c r="N186" s="2184">
        <f>N185/J29</f>
        <v>958286.48695652175</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95" customHeight="1">
      <c r="A187" s="1190"/>
      <c r="B187" s="1190"/>
      <c r="C187" s="2198" t="s">
        <v>2325</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95" customHeight="1" thickBot="1">
      <c r="A188" s="1190"/>
      <c r="B188" s="1190"/>
      <c r="C188" s="2182" t="s">
        <v>2324</v>
      </c>
      <c r="D188" s="2183"/>
      <c r="E188" s="2183"/>
      <c r="F188" s="2183"/>
      <c r="G188" s="2183"/>
      <c r="H188" s="2183"/>
      <c r="I188" s="2183"/>
      <c r="J188" s="2183"/>
      <c r="K188" s="2183"/>
      <c r="L188" s="2183"/>
      <c r="M188" s="2183"/>
      <c r="N188" s="2200">
        <f>SUM('Sources and Uses Budget'!B85:B86)</f>
        <v>1610000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95" customHeight="1" thickBot="1">
      <c r="A189" s="1190"/>
      <c r="B189" s="1190"/>
      <c r="C189" s="2182" t="s">
        <v>2323</v>
      </c>
      <c r="D189" s="2183"/>
      <c r="E189" s="2183"/>
      <c r="F189" s="2183"/>
      <c r="G189" s="2183"/>
      <c r="H189" s="2183"/>
      <c r="I189" s="2183"/>
      <c r="J189" s="2183"/>
      <c r="K189" s="2183"/>
      <c r="L189" s="2183"/>
      <c r="M189" s="2183"/>
      <c r="N189" s="2200">
        <f>'Sources and Uses Budget'!B8</f>
        <v>902980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2321</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95" customHeight="1">
      <c r="A190" s="1190"/>
      <c r="B190" s="1190"/>
      <c r="C190" s="2182" t="s">
        <v>2322</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2321</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95" customHeight="1">
      <c r="A191" s="1190"/>
      <c r="B191" s="1190"/>
      <c r="C191" s="2182" t="s">
        <v>2320</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2319</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95" customHeight="1">
      <c r="A192" s="1190"/>
      <c r="B192" s="1190"/>
      <c r="C192" s="2217" t="s">
        <v>300</v>
      </c>
      <c r="D192" s="2160"/>
      <c r="E192" s="2213" t="s">
        <v>2317</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2318</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95" customHeight="1" thickBot="1">
      <c r="A193" s="1190"/>
      <c r="B193" s="1190"/>
      <c r="C193" s="2084" t="s">
        <v>300</v>
      </c>
      <c r="D193" s="2016"/>
      <c r="E193" s="2213" t="s">
        <v>2317</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95" customHeight="1" thickBot="1">
      <c r="A194" s="1190"/>
      <c r="B194" s="1190"/>
      <c r="C194" s="2238" t="s">
        <v>300</v>
      </c>
      <c r="D194" s="2239"/>
      <c r="E194" s="2240" t="s">
        <v>2317</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2316</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95" customHeight="1">
      <c r="A195" s="1190"/>
      <c r="B195" s="1190"/>
      <c r="C195" s="2221" t="s">
        <v>2315</v>
      </c>
      <c r="D195" s="2222"/>
      <c r="E195" s="2222"/>
      <c r="F195" s="2222"/>
      <c r="G195" s="2222"/>
      <c r="H195" s="2222"/>
      <c r="I195" s="2222"/>
      <c r="J195" s="2222"/>
      <c r="K195" s="2222"/>
      <c r="L195" s="2222"/>
      <c r="M195" s="2222"/>
      <c r="N195" s="2223">
        <f>SUM(N187:T194)</f>
        <v>2512980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2314</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95" customHeight="1" thickBot="1">
      <c r="A196" s="1190"/>
      <c r="B196" s="1190"/>
      <c r="C196" s="2231" t="s">
        <v>2313</v>
      </c>
      <c r="D196" s="2232"/>
      <c r="E196" s="2232"/>
      <c r="F196" s="2232"/>
      <c r="G196" s="2232"/>
      <c r="H196" s="2232"/>
      <c r="I196" s="2232"/>
      <c r="J196" s="2232"/>
      <c r="K196" s="2232"/>
      <c r="L196" s="2232"/>
      <c r="M196" s="2232"/>
      <c r="N196" s="2233">
        <f>(N185-N195)/J29</f>
        <v>936434.48695652175</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9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9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95" customHeight="1" thickBot="1">
      <c r="A199" s="1190"/>
      <c r="B199" s="1190"/>
      <c r="C199" s="2255" t="s">
        <v>2312</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95" customHeight="1">
      <c r="A200" s="1190"/>
      <c r="B200" s="1190"/>
      <c r="C200" s="2258" t="s">
        <v>2311</v>
      </c>
      <c r="D200" s="2258"/>
      <c r="E200" s="2258"/>
      <c r="F200" s="2258"/>
      <c r="G200" s="2258"/>
      <c r="H200" s="2258"/>
      <c r="I200" s="2258"/>
      <c r="J200" s="2258"/>
      <c r="K200" s="2258"/>
      <c r="L200" s="2258"/>
      <c r="M200" s="2258"/>
      <c r="N200" s="2258"/>
      <c r="O200" s="2259" t="s">
        <v>2310</v>
      </c>
      <c r="P200" s="2259"/>
      <c r="Q200" s="2259"/>
      <c r="R200" s="2259"/>
      <c r="S200" s="2259"/>
      <c r="T200" s="2259"/>
      <c r="U200" s="2259"/>
      <c r="V200" s="2259"/>
      <c r="W200" s="2259"/>
      <c r="X200" s="2259" t="s">
        <v>2309</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95" customHeight="1">
      <c r="A201" s="1190"/>
      <c r="B201" s="1190"/>
      <c r="C201" s="2250" t="s">
        <v>2308</v>
      </c>
      <c r="D201" s="2250"/>
      <c r="E201" s="2250"/>
      <c r="F201" s="2250"/>
      <c r="G201" s="2250"/>
      <c r="H201" s="2250"/>
      <c r="I201" s="2250"/>
      <c r="J201" s="2250"/>
      <c r="K201" s="2250"/>
      <c r="L201" s="2250"/>
      <c r="M201" s="2250"/>
      <c r="N201" s="2250"/>
      <c r="O201" s="2251" t="s">
        <v>2307</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95" customHeight="1">
      <c r="A202" s="1190"/>
      <c r="B202" s="1190"/>
      <c r="C202" s="2250" t="s">
        <v>855</v>
      </c>
      <c r="D202" s="2250"/>
      <c r="E202" s="2250"/>
      <c r="F202" s="2250"/>
      <c r="G202" s="2250"/>
      <c r="H202" s="2250"/>
      <c r="I202" s="2250"/>
      <c r="J202" s="2250"/>
      <c r="K202" s="2250"/>
      <c r="L202" s="2250"/>
      <c r="M202" s="2250"/>
      <c r="N202" s="2250"/>
      <c r="O202" s="2251" t="s">
        <v>2307</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95" customHeight="1">
      <c r="A203" s="1190"/>
      <c r="B203" s="1190"/>
      <c r="C203" s="2250" t="s">
        <v>2306</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2305</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95" customHeight="1">
      <c r="A204" s="1190"/>
      <c r="B204" s="1190"/>
      <c r="C204" s="2260" t="s">
        <v>2304</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9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95" customHeight="1" thickBot="1">
      <c r="A206" s="1190"/>
      <c r="B206" s="1190"/>
      <c r="C206" s="2261" t="s">
        <v>2303</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95" customHeight="1">
      <c r="A207" s="1190"/>
      <c r="B207" s="1190"/>
      <c r="C207" s="2264" t="s">
        <v>2302</v>
      </c>
      <c r="D207" s="2265"/>
      <c r="E207" s="2265"/>
      <c r="F207" s="2266"/>
      <c r="G207" s="2270" t="s">
        <v>2301</v>
      </c>
      <c r="H207" s="2265"/>
      <c r="I207" s="2265"/>
      <c r="J207" s="2265"/>
      <c r="K207" s="2265"/>
      <c r="L207" s="2265"/>
      <c r="M207" s="2265"/>
      <c r="N207" s="2265"/>
      <c r="O207" s="2266"/>
      <c r="P207" s="2272" t="s">
        <v>2300</v>
      </c>
      <c r="Q207" s="2273"/>
      <c r="R207" s="2273"/>
      <c r="S207" s="2273"/>
      <c r="T207" s="2274"/>
      <c r="U207" s="2278" t="s">
        <v>2299</v>
      </c>
      <c r="V207" s="2279"/>
      <c r="W207" s="2279"/>
      <c r="X207" s="2280"/>
      <c r="Y207" s="2278" t="s">
        <v>2298</v>
      </c>
      <c r="Z207" s="2279"/>
      <c r="AA207" s="2279"/>
      <c r="AB207" s="2280"/>
      <c r="AC207" s="2278" t="s">
        <v>2297</v>
      </c>
      <c r="AD207" s="2279"/>
      <c r="AE207" s="2279"/>
      <c r="AF207" s="2280"/>
      <c r="AG207" s="2270" t="s">
        <v>2296</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9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95" customHeight="1">
      <c r="A209" s="1190"/>
      <c r="B209" s="1190"/>
      <c r="C209" s="2289">
        <v>1</v>
      </c>
      <c r="D209" s="2290"/>
      <c r="E209" s="2290"/>
      <c r="F209" s="2290"/>
      <c r="G209" s="2291" t="s">
        <v>1885</v>
      </c>
      <c r="H209" s="2291"/>
      <c r="I209" s="2291"/>
      <c r="J209" s="2291"/>
      <c r="K209" s="2291"/>
      <c r="L209" s="2291"/>
      <c r="M209" s="2291"/>
      <c r="N209" s="2291"/>
      <c r="O209" s="2291"/>
      <c r="P209" s="2292"/>
      <c r="Q209" s="2295"/>
      <c r="R209" s="2295"/>
      <c r="S209" s="2295"/>
      <c r="T209" s="2295"/>
      <c r="U209" s="2293" t="s">
        <v>1885</v>
      </c>
      <c r="V209" s="2293"/>
      <c r="W209" s="2293"/>
      <c r="X209" s="2293"/>
      <c r="Y209" s="2293" t="s">
        <v>1885</v>
      </c>
      <c r="Z209" s="2293"/>
      <c r="AA209" s="2293"/>
      <c r="AB209" s="2293"/>
      <c r="AC209" s="2294" t="s">
        <v>1885</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95" customHeight="1">
      <c r="A210" s="1190"/>
      <c r="B210" s="1190"/>
      <c r="C210" s="2289">
        <v>2</v>
      </c>
      <c r="D210" s="2290"/>
      <c r="E210" s="2290"/>
      <c r="F210" s="2290"/>
      <c r="G210" s="2291" t="s">
        <v>1885</v>
      </c>
      <c r="H210" s="2291"/>
      <c r="I210" s="2291"/>
      <c r="J210" s="2291"/>
      <c r="K210" s="2291"/>
      <c r="L210" s="2291"/>
      <c r="M210" s="2291"/>
      <c r="N210" s="2291"/>
      <c r="O210" s="2291"/>
      <c r="P210" s="2292"/>
      <c r="Q210" s="2292"/>
      <c r="R210" s="2292"/>
      <c r="S210" s="2292"/>
      <c r="T210" s="2292"/>
      <c r="U210" s="2293" t="s">
        <v>1885</v>
      </c>
      <c r="V210" s="2293"/>
      <c r="W210" s="2293"/>
      <c r="X210" s="2293"/>
      <c r="Y210" s="2293" t="s">
        <v>1885</v>
      </c>
      <c r="Z210" s="2293"/>
      <c r="AA210" s="2293"/>
      <c r="AB210" s="2293"/>
      <c r="AC210" s="2294" t="s">
        <v>1885</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95" customHeight="1">
      <c r="A211" s="1190"/>
      <c r="B211" s="1190"/>
      <c r="C211" s="2289">
        <v>3</v>
      </c>
      <c r="D211" s="2290"/>
      <c r="E211" s="2290"/>
      <c r="F211" s="2290"/>
      <c r="G211" s="2291" t="s">
        <v>1885</v>
      </c>
      <c r="H211" s="2291"/>
      <c r="I211" s="2291"/>
      <c r="J211" s="2291"/>
      <c r="K211" s="2291"/>
      <c r="L211" s="2291"/>
      <c r="M211" s="2291"/>
      <c r="N211" s="2291"/>
      <c r="O211" s="2291"/>
      <c r="P211" s="2292"/>
      <c r="Q211" s="2292"/>
      <c r="R211" s="2292"/>
      <c r="S211" s="2292"/>
      <c r="T211" s="2292"/>
      <c r="U211" s="2293" t="s">
        <v>1885</v>
      </c>
      <c r="V211" s="2293"/>
      <c r="W211" s="2293"/>
      <c r="X211" s="2293"/>
      <c r="Y211" s="2293" t="s">
        <v>1885</v>
      </c>
      <c r="Z211" s="2293"/>
      <c r="AA211" s="2293"/>
      <c r="AB211" s="2293"/>
      <c r="AC211" s="2294" t="s">
        <v>1885</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95" customHeight="1">
      <c r="A212" s="1190"/>
      <c r="B212" s="1190"/>
      <c r="C212" s="2289">
        <v>4</v>
      </c>
      <c r="D212" s="2290"/>
      <c r="E212" s="2290"/>
      <c r="F212" s="2290"/>
      <c r="G212" s="2291" t="s">
        <v>1885</v>
      </c>
      <c r="H212" s="2291"/>
      <c r="I212" s="2291"/>
      <c r="J212" s="2291"/>
      <c r="K212" s="2291"/>
      <c r="L212" s="2291"/>
      <c r="M212" s="2291"/>
      <c r="N212" s="2291"/>
      <c r="O212" s="2291"/>
      <c r="P212" s="2292"/>
      <c r="Q212" s="2292"/>
      <c r="R212" s="2292"/>
      <c r="S212" s="2292"/>
      <c r="T212" s="2292"/>
      <c r="U212" s="2293" t="s">
        <v>1885</v>
      </c>
      <c r="V212" s="2293"/>
      <c r="W212" s="2293"/>
      <c r="X212" s="2293"/>
      <c r="Y212" s="2293" t="s">
        <v>1885</v>
      </c>
      <c r="Z212" s="2293"/>
      <c r="AA212" s="2293"/>
      <c r="AB212" s="2293"/>
      <c r="AC212" s="2294" t="s">
        <v>1885</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95" customHeight="1">
      <c r="A213" s="1190"/>
      <c r="B213" s="1190"/>
      <c r="C213" s="2289">
        <v>5</v>
      </c>
      <c r="D213" s="2290"/>
      <c r="E213" s="2290"/>
      <c r="F213" s="2290"/>
      <c r="G213" s="2291" t="s">
        <v>1885</v>
      </c>
      <c r="H213" s="2291"/>
      <c r="I213" s="2291"/>
      <c r="J213" s="2291"/>
      <c r="K213" s="2291"/>
      <c r="L213" s="2291"/>
      <c r="M213" s="2291"/>
      <c r="N213" s="2291"/>
      <c r="O213" s="2291"/>
      <c r="P213" s="2292"/>
      <c r="Q213" s="2292"/>
      <c r="R213" s="2292"/>
      <c r="S213" s="2292"/>
      <c r="T213" s="2292"/>
      <c r="U213" s="2293" t="s">
        <v>1885</v>
      </c>
      <c r="V213" s="2293"/>
      <c r="W213" s="2293"/>
      <c r="X213" s="2293"/>
      <c r="Y213" s="2293" t="s">
        <v>1885</v>
      </c>
      <c r="Z213" s="2293"/>
      <c r="AA213" s="2293"/>
      <c r="AB213" s="2293"/>
      <c r="AC213" s="2294" t="s">
        <v>1885</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95" customHeight="1">
      <c r="A214" s="1190"/>
      <c r="B214" s="1190"/>
      <c r="C214" s="2289">
        <v>6</v>
      </c>
      <c r="D214" s="2290"/>
      <c r="E214" s="2290"/>
      <c r="F214" s="2290"/>
      <c r="G214" s="2291" t="s">
        <v>1885</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1885</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9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1885</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95" customHeight="1">
      <c r="A216" s="1190"/>
      <c r="B216" s="1190"/>
      <c r="C216" s="2308" t="s">
        <v>2295</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9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9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9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9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95" customHeight="1">
      <c r="A221" s="1190"/>
      <c r="B221" s="2296" t="s">
        <v>2293</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9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95" customHeight="1">
      <c r="A223" s="1190"/>
      <c r="B223" s="2302" t="s">
        <v>2292</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95" customHeight="1">
      <c r="A224" s="1190"/>
      <c r="B224" s="2302" t="s">
        <v>2291</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9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95" customHeight="1">
      <c r="A226" s="1190"/>
      <c r="B226" s="2305" t="s">
        <v>2290</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9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9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9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95" customHeight="1">
      <c r="A230" s="1190"/>
      <c r="B230" s="1234"/>
      <c r="C230" s="1190"/>
      <c r="D230" s="1190"/>
      <c r="E230" s="1190"/>
      <c r="F230" s="1190"/>
      <c r="G230" s="1190"/>
      <c r="H230" s="2307" t="s">
        <v>2288</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9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95" customHeight="1">
      <c r="A232" s="1190"/>
      <c r="B232" s="1234"/>
      <c r="C232" s="1190"/>
      <c r="D232" s="1190"/>
      <c r="E232" s="1190"/>
      <c r="F232" s="1190"/>
      <c r="G232" s="1190"/>
      <c r="H232" s="2325" t="s">
        <v>2287</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9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9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9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9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95" customHeight="1" thickBot="1">
      <c r="A237" s="1190"/>
      <c r="B237" s="1235"/>
      <c r="C237" s="1236"/>
      <c r="D237" s="1236"/>
      <c r="E237" s="1236"/>
      <c r="F237" s="1236"/>
      <c r="G237" s="1236"/>
      <c r="H237" s="2326" t="s">
        <v>2286</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9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2285</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9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95" customHeight="1" thickBot="1">
      <c r="A241" s="1190"/>
      <c r="B241" s="1238"/>
      <c r="C241" s="1239"/>
      <c r="D241" s="1239"/>
      <c r="E241" s="1239"/>
      <c r="F241" s="1239"/>
      <c r="G241" s="1239"/>
      <c r="H241" s="2316" t="s">
        <v>2284</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9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95" customHeight="1" thickBot="1">
      <c r="A243" s="1190"/>
      <c r="B243" s="1238"/>
      <c r="C243" s="1239"/>
      <c r="D243" s="1239"/>
      <c r="E243" s="1239"/>
      <c r="F243" s="1239"/>
      <c r="G243" s="1239"/>
      <c r="H243" s="2316" t="s">
        <v>442</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9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95" customHeight="1" thickBot="1">
      <c r="A245" s="1190"/>
      <c r="B245" s="1238"/>
      <c r="C245" s="1239"/>
      <c r="D245" s="1239"/>
      <c r="E245" s="1239"/>
      <c r="F245" s="1239"/>
      <c r="G245" s="1239"/>
      <c r="H245" s="2320" t="s">
        <v>2283</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9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95" customHeight="1" thickBot="1">
      <c r="A247" s="1190"/>
      <c r="B247" s="1238"/>
      <c r="C247" s="1239"/>
      <c r="D247" s="1239"/>
      <c r="E247" s="1239"/>
      <c r="F247" s="1239"/>
      <c r="G247" s="1239"/>
      <c r="H247" s="2321" t="s">
        <v>2282</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9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9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95" customHeight="1">
      <c r="D252" s="1188"/>
    </row>
    <row r="253" spans="1:57" ht="15.95" customHeight="1">
      <c r="D253" s="1245"/>
    </row>
    <row r="254" spans="1:57" ht="15.95" customHeight="1">
      <c r="D254" s="1188"/>
    </row>
    <row r="255" spans="1:57" ht="15.95" customHeight="1">
      <c r="D255" s="1188"/>
    </row>
    <row r="256" spans="1:57" ht="15.9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7"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1" t="s">
        <v>1281</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NON-DDA/
NON-QCT Building(s)</v>
      </c>
      <c r="U7" s="2363"/>
      <c r="V7" s="2363"/>
      <c r="W7" s="2363"/>
      <c r="X7" s="2363"/>
      <c r="Y7" s="2363" t="str">
        <f>IF(T25=100%,"",'Sources and Basis Breakdown'!G2)</f>
        <v/>
      </c>
      <c r="Z7" s="2363"/>
      <c r="AA7" s="2363"/>
      <c r="AB7" s="2363"/>
      <c r="AC7" s="2363"/>
      <c r="AD7" s="2363" t="str">
        <f xml:space="preserve"> IF(T25=100%, 'Sources and Basis Breakdown'!J2,'Sources and Basis Breakdown'!I2)</f>
        <v>30% PVC for Acquisition
NON-DDA/
NON-QCT Building(s)</v>
      </c>
      <c r="AE7" s="2363"/>
      <c r="AF7" s="2363"/>
      <c r="AG7" s="2363"/>
      <c r="AH7" s="2363"/>
      <c r="AI7" s="2363" t="str">
        <f>IF(T25=100%,"",'Sources and Basis Breakdown'!J2)</f>
        <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99190720</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498</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499</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500</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501</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806</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502</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14" t="s">
        <v>961</v>
      </c>
      <c r="D18" s="1814"/>
      <c r="E18" s="1814"/>
      <c r="F18" s="1814"/>
      <c r="G18" s="1814"/>
      <c r="H18" s="1814"/>
      <c r="I18" s="1814"/>
      <c r="J18" s="1814"/>
      <c r="K18" s="1814"/>
      <c r="L18" s="1814"/>
      <c r="M18" s="1814"/>
      <c r="N18" s="1814"/>
      <c r="O18" s="1814"/>
      <c r="P18" s="1814"/>
      <c r="Q18" s="1814"/>
      <c r="R18" s="1814"/>
      <c r="S18" s="1815"/>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14" t="s">
        <v>961</v>
      </c>
      <c r="D19" s="1814"/>
      <c r="E19" s="1814"/>
      <c r="F19" s="1814"/>
      <c r="G19" s="1814"/>
      <c r="H19" s="1814"/>
      <c r="I19" s="1814"/>
      <c r="J19" s="1814"/>
      <c r="K19" s="1814"/>
      <c r="L19" s="1814"/>
      <c r="M19" s="1814"/>
      <c r="N19" s="1814"/>
      <c r="O19" s="1814"/>
      <c r="P19" s="1814"/>
      <c r="Q19" s="1814"/>
      <c r="R19" s="1814"/>
      <c r="S19" s="1815"/>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35">
        <f>T11+T22</f>
        <v>99190720</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37">
        <f>Application!AJ1053</f>
        <v>152264305.84</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1265</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35">
        <f>T23*T25</f>
        <v>99190720</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35">
        <f>IF(ISERROR((T26*T27)),0,(T26*T27))</f>
        <v>99190720</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37">
        <f>T28+Y28+AD28+AI28</f>
        <v>99190720</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1267</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1266</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1155</v>
      </c>
      <c r="Z35" s="2363"/>
      <c r="AA35" s="2363"/>
      <c r="AB35" s="2363"/>
      <c r="AC35" s="2363"/>
      <c r="AD35" s="2383" t="s">
        <v>369</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99190720</v>
      </c>
      <c r="Z38" s="2336"/>
      <c r="AA38" s="2336"/>
      <c r="AB38" s="2336"/>
      <c r="AC38" s="2336"/>
      <c r="AD38" s="2336">
        <f>IF(T24&gt;=(T23+Y23+AD23+AI23),AD28+AI28,0)</f>
        <v>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3967629</v>
      </c>
      <c r="Z40" s="2336"/>
      <c r="AA40" s="2336"/>
      <c r="AB40" s="2336"/>
      <c r="AC40" s="2336"/>
      <c r="AD40" s="2335">
        <f>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3967629</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1277</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587</v>
      </c>
      <c r="C46" s="404" t="s">
        <v>282</v>
      </c>
    </row>
    <row r="47" spans="1:76" ht="12.95" customHeight="1">
      <c r="D47" s="404" t="s">
        <v>283</v>
      </c>
      <c r="AB47" s="2352">
        <f>'Sources and Uses Budget'!B105-MAX(IF('Sources and Uses Budget'!B15="",0,'Sources and Uses Budget'!B15),IF(Application!AG394="",0,Application!AG394))</f>
        <v>110202946</v>
      </c>
      <c r="AC47" s="2353"/>
      <c r="AD47" s="2353"/>
      <c r="AE47" s="2353"/>
      <c r="AF47" s="2354"/>
    </row>
    <row r="48" spans="1:76" ht="12.95" customHeight="1">
      <c r="D48" s="404" t="s">
        <v>21</v>
      </c>
      <c r="AB48" s="2352">
        <f>Application!AO639-MAX(IF('Sources and Uses Budget'!B15="",0,'Sources and Uses Budget'!B15),IF(Application!AG394="",0,Application!AG394))</f>
        <v>69031433</v>
      </c>
      <c r="AC48" s="2353"/>
      <c r="AD48" s="2353"/>
      <c r="AE48" s="2353"/>
      <c r="AF48" s="2354"/>
    </row>
    <row r="49" spans="1:76" ht="12.95" customHeight="1">
      <c r="D49" s="404" t="s">
        <v>91</v>
      </c>
      <c r="AB49" s="2352">
        <f>AB47-AB48</f>
        <v>41171513</v>
      </c>
      <c r="AC49" s="2353"/>
      <c r="AD49" s="2353"/>
      <c r="AE49" s="2353"/>
      <c r="AF49" s="2354"/>
    </row>
    <row r="50" spans="1:76" ht="12.95" customHeight="1">
      <c r="D50" s="404" t="s">
        <v>682</v>
      </c>
      <c r="AA50" s="415"/>
      <c r="AB50" s="2379">
        <v>0.83642098734012449</v>
      </c>
      <c r="AC50" s="2380"/>
      <c r="AD50" s="2380"/>
      <c r="AE50" s="2380"/>
      <c r="AF50" s="2381"/>
    </row>
    <row r="51" spans="1:76" s="417" customFormat="1" ht="12.95" customHeight="1">
      <c r="A51" s="402"/>
      <c r="B51" s="402"/>
      <c r="C51" s="402"/>
      <c r="D51" s="402"/>
      <c r="E51" s="2382" t="s">
        <v>2612</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49223434</v>
      </c>
      <c r="AC54" s="2353"/>
      <c r="AD54" s="2353"/>
      <c r="AE54" s="2353"/>
      <c r="AF54" s="2354"/>
    </row>
    <row r="55" spans="1:76" ht="12.95" customHeight="1">
      <c r="D55" s="404" t="s">
        <v>333</v>
      </c>
      <c r="AB55" s="2352">
        <f>(AB54/10)</f>
        <v>4922343.4000000004</v>
      </c>
      <c r="AC55" s="2353"/>
      <c r="AD55" s="2353"/>
      <c r="AE55" s="2353"/>
      <c r="AF55" s="2354"/>
    </row>
    <row r="56" spans="1:76" ht="12.95" customHeight="1">
      <c r="D56" s="404" t="s">
        <v>757</v>
      </c>
      <c r="AB56" s="2352">
        <f>ROUND((IF((Y41&lt;AB55),Y41,AB55)),0)</f>
        <v>3967629</v>
      </c>
      <c r="AC56" s="2353"/>
      <c r="AD56" s="2353"/>
      <c r="AE56" s="2353"/>
      <c r="AF56" s="2354"/>
    </row>
    <row r="57" spans="1:76" ht="12.95" customHeight="1">
      <c r="D57" s="404" t="s">
        <v>756</v>
      </c>
      <c r="AB57" s="2352">
        <f>ROUND((10*AB56*AB50),0)</f>
        <v>33186082</v>
      </c>
      <c r="AC57" s="2353"/>
      <c r="AD57" s="2353"/>
      <c r="AE57" s="2353"/>
      <c r="AF57" s="2354"/>
    </row>
    <row r="58" spans="1:76" ht="12.95" customHeight="1">
      <c r="D58" s="404"/>
      <c r="AB58" s="423"/>
      <c r="AC58" s="423"/>
      <c r="AD58" s="423"/>
      <c r="AE58" s="423"/>
      <c r="AF58" s="423"/>
    </row>
    <row r="59" spans="1:76" ht="12.95" customHeight="1">
      <c r="D59" s="404" t="s">
        <v>755</v>
      </c>
      <c r="AB59" s="2375">
        <f>AB49-AB57</f>
        <v>7985431</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590</v>
      </c>
      <c r="C63" s="205" t="s">
        <v>1249</v>
      </c>
      <c r="Y63" s="2376" t="s">
        <v>985</v>
      </c>
      <c r="Z63" s="2376"/>
      <c r="AA63" s="2376"/>
      <c r="AB63" s="2376"/>
      <c r="AC63" s="2376"/>
      <c r="AD63" s="2376" t="s">
        <v>369</v>
      </c>
      <c r="AE63" s="2376"/>
      <c r="AF63" s="2376"/>
      <c r="AG63" s="2376"/>
      <c r="AH63" s="2376"/>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99190720</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0.3</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4"/>
      <c r="D68" s="205" t="s">
        <v>2225</v>
      </c>
      <c r="Y68" s="2336">
        <f>ROUND(Y64*Y67,0)</f>
        <v>29757216</v>
      </c>
      <c r="Z68" s="2391"/>
      <c r="AA68" s="2391"/>
      <c r="AB68" s="2391"/>
      <c r="AC68" s="2391"/>
      <c r="AD68" s="2336">
        <f>ROUND(AD64*AD67,0)</f>
        <v>0</v>
      </c>
      <c r="AE68" s="2391"/>
      <c r="AF68" s="2391"/>
      <c r="AG68" s="2391"/>
      <c r="AH68" s="2391"/>
    </row>
    <row r="69" spans="1:36" ht="12.95" customHeight="1">
      <c r="C69" s="404"/>
      <c r="D69" s="205" t="s">
        <v>2226</v>
      </c>
      <c r="Y69" s="2336">
        <f>IF(OR(Application!Z205="State Farmworker Credit",Application!Z205="$500M (Farmworker Housing)"),Y68+AD68,MIN(Y68+AD68,200000*(Application!G753+Application!O777)))</f>
        <v>23000000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9">
        <v>0.92</v>
      </c>
      <c r="AC72" s="2380"/>
      <c r="AD72" s="2380"/>
      <c r="AE72" s="2380"/>
      <c r="AF72" s="2381"/>
    </row>
    <row r="73" spans="1:36" ht="12.95" customHeight="1">
      <c r="A73" s="404"/>
      <c r="C73" s="404"/>
      <c r="D73" s="404"/>
      <c r="E73" s="2392" t="s">
        <v>1252</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5">
        <f>ROUND(IF(ISERROR((AB59/AB72)),0,(AB59/AB72)),0)</f>
        <v>8679816</v>
      </c>
      <c r="AC77" s="2385"/>
      <c r="AD77" s="2385"/>
      <c r="AE77" s="2385"/>
      <c r="AF77" s="2385"/>
    </row>
    <row r="78" spans="1:36" ht="12.95" customHeight="1">
      <c r="C78" s="404"/>
      <c r="D78" s="205" t="s">
        <v>1254</v>
      </c>
      <c r="AB78" s="2386">
        <f>ROUNDUP(MIN(Y69,AB77),0)</f>
        <v>8679816</v>
      </c>
      <c r="AC78" s="2387"/>
      <c r="AD78" s="2387"/>
      <c r="AE78" s="2387"/>
      <c r="AF78" s="2388"/>
    </row>
    <row r="79" spans="1:36" ht="12.95" customHeight="1">
      <c r="C79" s="404"/>
      <c r="D79" s="205" t="s">
        <v>1255</v>
      </c>
      <c r="AB79" s="2389">
        <f>AB78*AB72</f>
        <v>7985430.7200000007</v>
      </c>
      <c r="AC79" s="2389"/>
      <c r="AD79" s="2389"/>
      <c r="AE79" s="2389"/>
      <c r="AF79" s="2389"/>
    </row>
    <row r="80" spans="1:36" ht="12.95" customHeight="1">
      <c r="C80" s="404"/>
      <c r="D80" s="404"/>
      <c r="AB80" s="425"/>
      <c r="AC80" s="425"/>
      <c r="AD80" s="425"/>
      <c r="AE80" s="425"/>
      <c r="AF80" s="425"/>
    </row>
    <row r="81" spans="1:78" ht="12.95" customHeight="1">
      <c r="D81" s="404" t="s">
        <v>755</v>
      </c>
      <c r="AB81" s="2375">
        <f>AB49-(AB57+AB79)</f>
        <v>0.2800000011920929</v>
      </c>
      <c r="AC81" s="2375"/>
      <c r="AD81" s="2375"/>
      <c r="AE81" s="2375"/>
      <c r="AF81" s="2375"/>
    </row>
    <row r="82" spans="1:78" ht="12.95" customHeight="1">
      <c r="F82" s="522"/>
      <c r="J82" s="522" t="str">
        <f>IF(AB81&gt;0,"FUNDING GAP MUST NOT EXCEED ZERO","")</f>
        <v>FUNDING GAP MUST NOT EXCEED ZERO</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8" workbookViewId="0">
      <selection activeCell="E74" sqref="E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95" customHeight="1">
      <c r="A1" s="2623" t="s">
        <v>1301</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1306</v>
      </c>
      <c r="AF7" s="2464"/>
      <c r="AG7" s="2464"/>
      <c r="AH7" s="2464"/>
      <c r="AI7" s="2464"/>
      <c r="AJ7" s="2464"/>
      <c r="AK7" s="246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592</v>
      </c>
      <c r="C13" s="2617"/>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592</v>
      </c>
      <c r="C16" s="2617"/>
      <c r="D16" s="547"/>
      <c r="E16" s="2609" t="s">
        <v>1308</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592</v>
      </c>
      <c r="C22" s="2617"/>
      <c r="D22" s="547"/>
      <c r="E22" s="2627" t="s">
        <v>1311</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592</v>
      </c>
      <c r="C25" s="2617"/>
      <c r="D25" s="547"/>
      <c r="E25" s="2544" t="s">
        <v>2034</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592</v>
      </c>
      <c r="C28" s="2617"/>
      <c r="D28" s="547"/>
      <c r="E28" s="2646" t="s">
        <v>2249</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7" t="s">
        <v>592</v>
      </c>
      <c r="C33" s="2617"/>
      <c r="D33" s="547"/>
      <c r="E33" s="2627" t="s">
        <v>2251</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592</v>
      </c>
      <c r="C36" s="2617"/>
      <c r="D36" s="547"/>
      <c r="E36" s="2544" t="s">
        <v>2252</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592</v>
      </c>
      <c r="C40" s="2617"/>
      <c r="D40" s="547"/>
      <c r="E40" s="2544" t="s">
        <v>2250</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592</v>
      </c>
      <c r="C45" s="2617"/>
      <c r="D45" s="1142"/>
      <c r="E45" s="2544" t="s">
        <v>2009</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592</v>
      </c>
      <c r="C52" s="2617"/>
      <c r="D52" s="540"/>
      <c r="E52" s="2544" t="s">
        <v>2014</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592</v>
      </c>
      <c r="C56" s="2617"/>
      <c r="D56" s="540"/>
      <c r="E56" s="2643" t="s">
        <v>2015</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592</v>
      </c>
      <c r="C58" s="2617"/>
      <c r="D58" s="540"/>
      <c r="E58" s="2544" t="s">
        <v>2016</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1315</v>
      </c>
      <c r="AF65" s="2464"/>
      <c r="AG65" s="2464"/>
      <c r="AH65" s="2464"/>
      <c r="AI65" s="2464"/>
      <c r="AJ65" s="2464"/>
      <c r="AK65" s="246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592</v>
      </c>
      <c r="C68" s="2617"/>
      <c r="D68" s="547" t="s">
        <v>1316</v>
      </c>
      <c r="E68" s="2609" t="s">
        <v>2017</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1317</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546</v>
      </c>
      <c r="C74" s="2617"/>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592</v>
      </c>
      <c r="F75" s="2617"/>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546</v>
      </c>
      <c r="F76" s="2638"/>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592</v>
      </c>
      <c r="F77" s="2638"/>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592</v>
      </c>
      <c r="F79" s="2617"/>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592</v>
      </c>
      <c r="C81" s="2617"/>
      <c r="D81" s="547" t="s">
        <v>1321</v>
      </c>
      <c r="E81" s="2544" t="s">
        <v>1741</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1306</v>
      </c>
      <c r="AF87" s="2464"/>
      <c r="AG87" s="2464"/>
      <c r="AH87" s="2464"/>
      <c r="AI87" s="2464"/>
      <c r="AJ87" s="2464"/>
      <c r="AK87" s="246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546</v>
      </c>
      <c r="C90" s="2617"/>
      <c r="D90" s="547" t="s">
        <v>1316</v>
      </c>
      <c r="E90" s="2609" t="s">
        <v>1326</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0.44159292035398229</v>
      </c>
      <c r="F93" s="2606"/>
      <c r="G93" s="2606"/>
      <c r="H93" s="2606"/>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0.14999999999999997</v>
      </c>
      <c r="F94" s="2411"/>
      <c r="G94" s="2411"/>
      <c r="H94" s="241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20</v>
      </c>
      <c r="F95" s="2622"/>
      <c r="G95" s="2622"/>
      <c r="H95" s="26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592</v>
      </c>
      <c r="C98" s="2617"/>
      <c r="D98" s="547" t="s">
        <v>1318</v>
      </c>
      <c r="E98" s="2609" t="s">
        <v>1726</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0.44159292035398229</v>
      </c>
      <c r="F103" s="2606"/>
      <c r="G103" s="2606"/>
      <c r="H103" s="2606"/>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0.25663716814159293</v>
      </c>
      <c r="F104" s="2606"/>
      <c r="G104" s="2606"/>
      <c r="H104" s="2606"/>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0.5752212389380531</v>
      </c>
      <c r="F105" s="2606"/>
      <c r="G105" s="2606"/>
      <c r="H105" s="2606"/>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90">
        <f>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1315</v>
      </c>
      <c r="AF112" s="2464"/>
      <c r="AG112" s="2464"/>
      <c r="AH112" s="2464"/>
      <c r="AI112" s="2464"/>
      <c r="AJ112" s="2464"/>
      <c r="AK112" s="2464"/>
      <c r="AL112" s="540"/>
      <c r="AM112" s="540"/>
      <c r="AN112" s="535"/>
      <c r="AO112" s="536" t="str">
        <f>Application!B718</f>
        <v>SRO/Studio</v>
      </c>
      <c r="AQ112" s="536">
        <f>Application!O718</f>
        <v>952</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1291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1629</v>
      </c>
    </row>
    <row r="115" spans="1:52" s="536" customFormat="1" ht="12.75" customHeight="1">
      <c r="A115" s="540"/>
      <c r="B115" s="2617" t="s">
        <v>546</v>
      </c>
      <c r="C115" s="2617"/>
      <c r="D115" s="547" t="s">
        <v>1316</v>
      </c>
      <c r="E115" s="2609" t="s">
        <v>1858</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1012</v>
      </c>
      <c r="AU115" s="536" t="s">
        <v>1841</v>
      </c>
      <c r="AV115" s="595" t="s">
        <v>1842</v>
      </c>
      <c r="AW115" s="536" t="s">
        <v>1843</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1 Bedroom</v>
      </c>
      <c r="AQ116" s="536">
        <f>Application!O722</f>
        <v>1375</v>
      </c>
      <c r="AU116" s="856" t="str">
        <f>E124</f>
        <v>Studio/SRO</v>
      </c>
      <c r="AV116" s="536">
        <f t="array" ref="AV116">SUM(IF(Application!B718:F752="SRO/Studio",Application!G718:J752))</f>
        <v>30</v>
      </c>
      <c r="AW116" s="1011">
        <f>AV116/AV122</f>
        <v>0.26548672566371684</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1 Bedroom</v>
      </c>
      <c r="AQ117" s="536">
        <f>Application!O723</f>
        <v>1737</v>
      </c>
      <c r="AU117" s="856" t="str">
        <f>J124</f>
        <v>1-bedroom</v>
      </c>
      <c r="AV117" s="536">
        <f t="array" ref="AV117">SUM(IF(Application!B718:F752="1 Bedroom",Application!G718:J752))</f>
        <v>24</v>
      </c>
      <c r="AW117" s="1011">
        <f>AV117/AV122</f>
        <v>0.21238938053097345</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1 Bedroom</v>
      </c>
      <c r="AQ118" s="536">
        <f>Application!O724</f>
        <v>2100</v>
      </c>
      <c r="AU118" s="856" t="str">
        <f>O124</f>
        <v>2-bedroom</v>
      </c>
      <c r="AV118" s="536">
        <f t="array" ref="AV118">SUM(IF(Application!B718:F752="2 Bedrooms",Application!G718:J752))</f>
        <v>29</v>
      </c>
      <c r="AW118" s="1011">
        <f>AV118/AV122</f>
        <v>0.25663716814159293</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1199</v>
      </c>
      <c r="AU119" s="856" t="str">
        <f>T124</f>
        <v>3-bedroom</v>
      </c>
      <c r="AV119" s="536">
        <f t="array" ref="AV119">SUM(IF(Application!B718:F752="3 Bedrooms",Application!G718:J752))</f>
        <v>30</v>
      </c>
      <c r="AW119" s="1011">
        <f>AV119/AV122</f>
        <v>0.26548672566371684</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2 Bedrooms</v>
      </c>
      <c r="AQ120" s="536">
        <f>Application!O726</f>
        <v>1635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2 Bedrooms</v>
      </c>
      <c r="AQ121" s="536">
        <f>Application!O727</f>
        <v>2070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2 Bedrooms</v>
      </c>
      <c r="AQ122" s="536">
        <f>Application!O728</f>
        <v>2505</v>
      </c>
      <c r="AV122" s="536">
        <f>SUM(AV116:AV121)</f>
        <v>113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1371</v>
      </c>
    </row>
    <row r="124" spans="1:52" s="536" customFormat="1" ht="12.75" customHeight="1">
      <c r="A124" s="540"/>
      <c r="B124" s="539"/>
      <c r="C124" s="540"/>
      <c r="D124" s="540"/>
      <c r="E124" s="2605" t="s">
        <v>1589</v>
      </c>
      <c r="F124" s="2606"/>
      <c r="G124" s="2606"/>
      <c r="H124" s="2606"/>
      <c r="I124" s="577"/>
      <c r="J124" s="2606" t="s">
        <v>1632</v>
      </c>
      <c r="K124" s="2606"/>
      <c r="L124" s="2606"/>
      <c r="M124" s="2606"/>
      <c r="N124" s="577"/>
      <c r="O124" s="2606" t="s">
        <v>1633</v>
      </c>
      <c r="P124" s="2606"/>
      <c r="Q124" s="2606"/>
      <c r="R124" s="2606"/>
      <c r="S124" s="577"/>
      <c r="T124" s="2606" t="s">
        <v>1335</v>
      </c>
      <c r="U124" s="2606"/>
      <c r="V124" s="2606"/>
      <c r="W124" s="2606"/>
      <c r="X124" s="577"/>
      <c r="Y124" s="2606" t="s">
        <v>1634</v>
      </c>
      <c r="Z124" s="2606"/>
      <c r="AA124" s="2606"/>
      <c r="AB124" s="2606"/>
      <c r="AC124" s="577"/>
      <c r="AD124" s="2606" t="s">
        <v>1635</v>
      </c>
      <c r="AE124" s="2606"/>
      <c r="AF124" s="2606"/>
      <c r="AG124" s="2606"/>
      <c r="AH124" s="577"/>
      <c r="AI124" s="577"/>
      <c r="AJ124" s="579"/>
      <c r="AK124" s="540"/>
      <c r="AL124" s="540"/>
      <c r="AM124" s="540"/>
      <c r="AN124" s="535"/>
      <c r="AO124" s="536" t="str">
        <f>Application!B730</f>
        <v>3 Bedrooms</v>
      </c>
      <c r="AQ124" s="536">
        <f>Application!O730</f>
        <v>1874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2377</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2880</v>
      </c>
    </row>
    <row r="127" spans="1:52" s="536" customFormat="1" ht="12.75" customHeight="1">
      <c r="A127" s="540"/>
      <c r="B127" s="539"/>
      <c r="C127" s="540"/>
      <c r="D127" s="540"/>
      <c r="E127" s="2607">
        <v>2123</v>
      </c>
      <c r="F127" s="2608"/>
      <c r="G127" s="2608"/>
      <c r="H127" s="2608"/>
      <c r="I127" s="864"/>
      <c r="J127" s="2608">
        <v>3223</v>
      </c>
      <c r="K127" s="2608"/>
      <c r="L127" s="2608"/>
      <c r="M127" s="2608"/>
      <c r="N127" s="864"/>
      <c r="O127" s="2608">
        <v>3879</v>
      </c>
      <c r="P127" s="2608"/>
      <c r="Q127" s="2608"/>
      <c r="R127" s="2608"/>
      <c r="S127" s="864"/>
      <c r="T127" s="2608">
        <v>4346</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1290.6666666666665</v>
      </c>
      <c r="F130" s="2616"/>
      <c r="G130" s="2616"/>
      <c r="H130" s="2616"/>
      <c r="I130" s="864"/>
      <c r="J130" s="2616">
        <f>Application!EC670</f>
        <v>1420</v>
      </c>
      <c r="K130" s="2616"/>
      <c r="L130" s="2616"/>
      <c r="M130" s="2616"/>
      <c r="N130" s="864"/>
      <c r="O130" s="2616">
        <f>Application!EH670</f>
        <v>1904.7931034482758</v>
      </c>
      <c r="P130" s="2616"/>
      <c r="Q130" s="2616"/>
      <c r="R130" s="2616"/>
      <c r="S130" s="868"/>
      <c r="T130" s="2616">
        <f>Application!EM670</f>
        <v>2309.9333333333334</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f>(E127-E130)/E127</f>
        <v>0.39205526770293619</v>
      </c>
      <c r="F133" s="2411"/>
      <c r="G133" s="2411"/>
      <c r="H133" s="2412"/>
      <c r="I133" s="577"/>
      <c r="J133" s="2410">
        <f>(J127-J130)/J127</f>
        <v>0.5594166925224946</v>
      </c>
      <c r="K133" s="2411"/>
      <c r="L133" s="2411"/>
      <c r="M133" s="2412"/>
      <c r="N133" s="577"/>
      <c r="O133" s="2410">
        <f>(O127-O130)/O127</f>
        <v>0.50894738245726323</v>
      </c>
      <c r="P133" s="2411"/>
      <c r="Q133" s="2411"/>
      <c r="R133" s="2412"/>
      <c r="S133" s="577"/>
      <c r="T133" s="2410">
        <f>(T127-T130)/T127</f>
        <v>0.46849210001533975</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f>IF(((E133-0.1)*AW116)&gt;0,((E133-0.1)*AW116),0)</f>
        <v>7.7536796735292804E-2</v>
      </c>
      <c r="F136" s="2619"/>
      <c r="G136" s="2619"/>
      <c r="H136" s="2620"/>
      <c r="I136" s="577"/>
      <c r="J136" s="2618">
        <f>IF(((J133-0.1)*AW117)&gt;0,((J133-0.1)*AW117),0)</f>
        <v>9.7575226730441333E-2</v>
      </c>
      <c r="K136" s="2619"/>
      <c r="L136" s="2619"/>
      <c r="M136" s="2620"/>
      <c r="N136" s="577"/>
      <c r="O136" s="2618">
        <f>IF(((O133-0.1)*AW118)&gt;0,((O133-0.1)*AW118),0)</f>
        <v>0.10495109815274899</v>
      </c>
      <c r="P136" s="2619"/>
      <c r="Q136" s="2619"/>
      <c r="R136" s="2620"/>
      <c r="S136" s="577"/>
      <c r="T136" s="2618">
        <f>IF(((T133-0.1)*AW119)&gt;0,((T133-0.1)*AW119),0)</f>
        <v>9.7829761066019399E-2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0.37</v>
      </c>
      <c r="F138" s="2411"/>
      <c r="G138" s="2411"/>
      <c r="H138" s="241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4" t="s">
        <v>1315</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1339</v>
      </c>
      <c r="AG148" s="2524"/>
      <c r="AH148" s="2524"/>
      <c r="AI148" s="2524"/>
      <c r="AJ148" s="2524"/>
      <c r="AK148" s="2524"/>
      <c r="AL148" s="252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2679</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5" t="s">
        <v>1342</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6" t="s">
        <v>592</v>
      </c>
      <c r="AC155" s="2396"/>
      <c r="AD155" s="591"/>
      <c r="AM155" s="539"/>
      <c r="AN155" s="535"/>
      <c r="AO155" s="476"/>
      <c r="AP155" s="476"/>
    </row>
    <row r="156" spans="1:42" s="536" customFormat="1" ht="9.1999999999999993"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5" t="s">
        <v>1344</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2476</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2477</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592</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1353</v>
      </c>
      <c r="AG168" s="2524"/>
      <c r="AH168" s="2524"/>
      <c r="AI168" s="2524"/>
      <c r="AJ168" s="2524"/>
      <c r="AK168" s="2524"/>
      <c r="AL168" s="2524"/>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1351</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592</v>
      </c>
      <c r="AG172" s="2396"/>
      <c r="AH172" s="536"/>
      <c r="AI172" s="536"/>
      <c r="AJ172" s="536"/>
      <c r="AK172" s="536"/>
      <c r="AL172" s="536"/>
      <c r="AM172" s="603"/>
      <c r="AN172" s="597"/>
      <c r="AO172" s="476" t="s">
        <v>1351</v>
      </c>
      <c r="AP172" s="599">
        <v>3</v>
      </c>
    </row>
    <row r="173" spans="1:42" s="550" customFormat="1" ht="9.1999999999999993"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5" t="s">
        <v>1344</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6" t="str">
        <f>Application!AA335</f>
        <v>Eden Housing Management, Inc.</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1315</v>
      </c>
      <c r="AF186" s="2464"/>
      <c r="AG186" s="2464"/>
      <c r="AH186" s="2464"/>
      <c r="AI186" s="2464"/>
      <c r="AJ186" s="2464"/>
      <c r="AK186" s="246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3" t="s">
        <v>1042</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1364</v>
      </c>
      <c r="AG188" s="2524"/>
      <c r="AH188" s="2524"/>
      <c r="AI188" s="2524"/>
      <c r="AJ188" s="2524"/>
      <c r="AK188" s="2524"/>
      <c r="AL188" s="2524"/>
      <c r="AN188" s="597"/>
      <c r="AP188" s="550" t="s">
        <v>1044</v>
      </c>
      <c r="AQ188" s="550">
        <v>10</v>
      </c>
    </row>
    <row r="189" spans="1:73" s="550" customFormat="1" ht="12.75" customHeight="1">
      <c r="A189" s="536"/>
      <c r="B189" s="2395" t="s">
        <v>1727</v>
      </c>
      <c r="C189" s="2395"/>
      <c r="D189" s="2395"/>
      <c r="E189" s="2395"/>
      <c r="F189" s="2395"/>
      <c r="G189" s="2395"/>
      <c r="H189" s="2395"/>
      <c r="I189" s="2395"/>
      <c r="J189" s="2395"/>
      <c r="K189" s="2395"/>
      <c r="L189" s="2395"/>
      <c r="M189" s="2395"/>
      <c r="N189" s="2395"/>
      <c r="O189" s="2395"/>
      <c r="P189" s="2395"/>
      <c r="Q189" s="2395"/>
      <c r="R189" s="2395"/>
      <c r="S189" s="2395"/>
      <c r="T189" s="2594" t="s">
        <v>592</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1">
        <f>IF(AK84&gt;0,VLOOKUP($B$188,AP185:AQ191,2,FALSE),0)</f>
        <v>10</v>
      </c>
      <c r="AL191" s="2432"/>
      <c r="AM191" s="2433"/>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1373</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tr">
        <f>Application!C629</f>
        <v>County of Marin</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f>Application!AO629</f>
        <v>6021370</v>
      </c>
      <c r="AE199" s="2577"/>
      <c r="AF199" s="2577"/>
      <c r="AG199" s="2577"/>
      <c r="AH199" s="2577"/>
      <c r="AI199" s="2577"/>
      <c r="AJ199" s="2577"/>
      <c r="AK199" s="610"/>
    </row>
    <row r="200" spans="1:40">
      <c r="A200" s="605"/>
      <c r="B200" s="2587" t="str">
        <f>Application!C630</f>
        <v>LGMG</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f>Application!AO630</f>
        <v>1900000</v>
      </c>
      <c r="AE200" s="2577"/>
      <c r="AF200" s="2577"/>
      <c r="AG200" s="2577"/>
      <c r="AH200" s="2577"/>
      <c r="AI200" s="2577"/>
      <c r="AJ200" s="2577"/>
      <c r="AK200" s="610"/>
    </row>
    <row r="201" spans="1:40">
      <c r="A201" s="605"/>
      <c r="B201" s="2587" t="str">
        <f>Application!C631</f>
        <v>Marin Community Foundation</v>
      </c>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f>Application!AO631</f>
        <v>600000</v>
      </c>
      <c r="AE201" s="2577"/>
      <c r="AF201" s="2577"/>
      <c r="AG201" s="2577"/>
      <c r="AH201" s="2577"/>
      <c r="AI201" s="2577"/>
      <c r="AJ201" s="2577"/>
      <c r="AK201" s="610"/>
    </row>
    <row r="202" spans="1:40">
      <c r="A202" s="605"/>
      <c r="B202" s="2587" t="s">
        <v>2726</v>
      </c>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f>Application!AM562</f>
        <v>500000</v>
      </c>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1628</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1591</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1">
        <f>SUM(AD199:AJ209)-AD210</f>
        <v>9021370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1608</v>
      </c>
      <c r="J222" s="2600"/>
      <c r="K222" s="2600"/>
      <c r="L222" s="536"/>
      <c r="M222" s="536"/>
      <c r="N222" s="536"/>
      <c r="O222" s="536"/>
      <c r="P222" s="536"/>
      <c r="Q222" s="536"/>
      <c r="R222" s="536"/>
      <c r="S222" s="536"/>
      <c r="T222" s="2415" t="s">
        <v>1602</v>
      </c>
      <c r="U222" s="2415"/>
      <c r="V222" s="2415"/>
      <c r="W222" s="2415"/>
      <c r="X222" s="2415"/>
      <c r="Y222" s="2415"/>
      <c r="Z222" s="849"/>
      <c r="AA222" s="489"/>
      <c r="AB222" s="2597" t="s">
        <v>1603</v>
      </c>
      <c r="AC222" s="2597"/>
      <c r="AD222" s="2597"/>
      <c r="AE222" s="2597"/>
      <c r="AF222" s="2597"/>
      <c r="AG222" s="2597"/>
      <c r="AH222" s="827"/>
      <c r="AI222" s="827"/>
      <c r="AJ222" s="827"/>
      <c r="AK222" s="610"/>
    </row>
    <row r="223" spans="1:37">
      <c r="A223" s="605"/>
      <c r="B223" s="2598" t="s">
        <v>1588</v>
      </c>
      <c r="C223" s="2598"/>
      <c r="D223" s="2598"/>
      <c r="E223" s="2598"/>
      <c r="F223" s="2598"/>
      <c r="G223" s="2598"/>
      <c r="I223" s="2599" t="s">
        <v>1609</v>
      </c>
      <c r="J223" s="2599"/>
      <c r="K223" s="2599"/>
      <c r="L223" s="1008"/>
      <c r="N223" s="2450" t="s">
        <v>1604</v>
      </c>
      <c r="O223" s="2450"/>
      <c r="P223" s="2450"/>
      <c r="Q223" s="2450"/>
      <c r="R223" s="2450"/>
      <c r="T223" s="2450" t="s">
        <v>1605</v>
      </c>
      <c r="U223" s="2450"/>
      <c r="V223" s="2450"/>
      <c r="W223" s="2450"/>
      <c r="X223" s="2450"/>
      <c r="Y223" s="2450"/>
      <c r="Z223" s="850"/>
      <c r="AA223" s="489"/>
      <c r="AB223" s="2465" t="s">
        <v>1606</v>
      </c>
      <c r="AC223" s="2465"/>
      <c r="AD223" s="2465"/>
      <c r="AE223" s="2465"/>
      <c r="AF223" s="2465"/>
      <c r="AG223" s="2465"/>
      <c r="AH223" s="827"/>
      <c r="AI223" s="827"/>
      <c r="AJ223" s="827"/>
      <c r="AK223" s="610"/>
    </row>
    <row r="224" spans="1:37">
      <c r="A224" s="605"/>
      <c r="B224" s="2466" t="s">
        <v>1185</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1185</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1185</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1185</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1185</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1185</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1185</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1185</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1185</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1185</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9021370</v>
      </c>
      <c r="AH268" s="2428"/>
      <c r="AI268" s="2428"/>
      <c r="AJ268" s="2428"/>
      <c r="AK268" s="242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110202946</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0.16</v>
      </c>
      <c r="AH270" s="2574"/>
      <c r="AI270" s="2574"/>
      <c r="AJ270" s="2574"/>
      <c r="AK270" s="2574"/>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3">
        <f>IFERROR(IF(AG270=0,0,IF((AG270*100)&gt;8,8,(AG270*100))),0)</f>
        <v>8</v>
      </c>
      <c r="AL273" s="2563"/>
      <c r="AM273" s="256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45" t="s">
        <v>546</v>
      </c>
      <c r="D278" s="2445"/>
      <c r="E278" s="547"/>
      <c r="F278" s="2397" t="s">
        <v>2025</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1364</v>
      </c>
      <c r="AH278" s="2572"/>
      <c r="AI278" s="2572"/>
      <c r="AJ278" s="2572"/>
      <c r="AK278" s="550"/>
      <c r="AL278" s="550"/>
      <c r="AM278" s="550"/>
      <c r="AO278" s="550"/>
    </row>
    <row r="279" spans="1:52" ht="13.9"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9"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3">
        <f>IF($C$278="yes",10,0)</f>
        <v>10</v>
      </c>
      <c r="AL285" s="2563"/>
      <c r="AM285" s="256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6" t="s">
        <v>546</v>
      </c>
      <c r="D292" s="2445"/>
      <c r="E292" s="547"/>
      <c r="F292" s="2565" t="s">
        <v>1384</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2018</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2026</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1385</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1386</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5" t="s">
        <v>592</v>
      </c>
      <c r="D302" s="244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7" t="s">
        <v>2020</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5" t="s">
        <v>592</v>
      </c>
      <c r="D310" s="244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3" t="s">
        <v>2027</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1185</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1185</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6" t="s">
        <v>1185</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6" t="s">
        <v>1185</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5" t="s">
        <v>592</v>
      </c>
      <c r="D333" s="2445"/>
      <c r="E333" s="547"/>
      <c r="F333" s="2544" t="s">
        <v>2028</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4" t="s">
        <v>1315</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1455</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2093</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2208</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1456</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8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5</v>
      </c>
      <c r="AS357" s="539" t="s">
        <v>1457</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0</v>
      </c>
      <c r="AS359" s="539" t="s">
        <v>1458</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5</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582</v>
      </c>
      <c r="AP361" s="696">
        <f>IF(C407="Yes",5,0)</f>
        <v>0</v>
      </c>
      <c r="AS361" s="539" t="s">
        <v>1879</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0" t="s">
        <v>1459</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457</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462</v>
      </c>
      <c r="AP370" s="696">
        <f>IF(C449="Yes",5,0)</f>
        <v>0</v>
      </c>
    </row>
    <row r="371" spans="1:81" s="550" customFormat="1" ht="68.099999999999994"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1">
        <f>Application!DU802-U374</f>
        <v>161</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41</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3">
        <f>IF(AP375&gt;0,AP375,0)</f>
        <v>0</v>
      </c>
      <c r="AR375" s="2443"/>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4" t="s">
        <v>1461</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546</v>
      </c>
      <c r="D381" s="244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1463</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4" t="s">
        <v>1464</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592</v>
      </c>
      <c r="D389" s="244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1463</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4" t="s">
        <v>1466</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592</v>
      </c>
      <c r="D397" s="244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1468</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546</v>
      </c>
      <c r="D399" s="244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1463</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4" t="s">
        <v>1472</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592</v>
      </c>
      <c r="D407" s="244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1463</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592</v>
      </c>
      <c r="D409" s="244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1475</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592</v>
      </c>
      <c r="D412" s="2445"/>
      <c r="E412" s="715" t="s">
        <v>1476</v>
      </c>
      <c r="F412" s="2434" t="s">
        <v>1477</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1463</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4" t="s">
        <v>1479</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592</v>
      </c>
      <c r="D421" s="244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1463</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592</v>
      </c>
      <c r="D423" s="244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1475</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4" t="s">
        <v>1483</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592</v>
      </c>
      <c r="D430" s="244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1463</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4" t="s">
        <v>1486</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592</v>
      </c>
      <c r="D442" s="244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1463</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4" t="s">
        <v>1489</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592</v>
      </c>
      <c r="D449" s="244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1463</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592</v>
      </c>
      <c r="D453" s="2561"/>
      <c r="E453" s="715" t="s">
        <v>1498</v>
      </c>
      <c r="F453" s="2434" t="s">
        <v>1499</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1463</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592</v>
      </c>
      <c r="D457" s="2445"/>
      <c r="E457" s="715" t="s">
        <v>1504</v>
      </c>
      <c r="F457" s="2434" t="s">
        <v>1505</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1463</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4" t="s">
        <v>1508</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592</v>
      </c>
      <c r="D466" s="244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1463</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6" t="s">
        <v>1512</v>
      </c>
      <c r="AF472" s="2446"/>
      <c r="AG472" s="2446"/>
      <c r="AH472" s="2446"/>
      <c r="AI472" s="2446"/>
      <c r="AJ472" s="2446"/>
      <c r="AK472" s="244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3" t="s">
        <v>592</v>
      </c>
      <c r="D478" s="2454"/>
      <c r="E478" s="761" t="s">
        <v>508</v>
      </c>
      <c r="F478" s="2531" t="s">
        <v>1518</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9" t="s">
        <v>592</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0" t="s">
        <v>546</v>
      </c>
      <c r="D482" s="2461"/>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9" t="s">
        <v>592</v>
      </c>
      <c r="W485" s="2439"/>
      <c r="X485" s="243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9" t="s">
        <v>592</v>
      </c>
      <c r="W487" s="2439"/>
      <c r="X487" s="243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9" t="s">
        <v>592</v>
      </c>
      <c r="W492" s="2439"/>
      <c r="X492" s="243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8"/>
      <c r="E495" s="2458"/>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9" t="s">
        <v>592</v>
      </c>
      <c r="W496" s="2439"/>
      <c r="X496" s="243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9" t="s">
        <v>592</v>
      </c>
      <c r="W498" s="2439"/>
      <c r="X498" s="243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592</v>
      </c>
      <c r="D501" s="2454"/>
      <c r="E501" s="761" t="s">
        <v>508</v>
      </c>
      <c r="F501" s="2531" t="s">
        <v>1518</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592</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592</v>
      </c>
      <c r="D505" s="2454"/>
      <c r="E505" s="761" t="s">
        <v>758</v>
      </c>
      <c r="F505" s="2455" t="s">
        <v>1540</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592</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592</v>
      </c>
      <c r="D510" s="2454"/>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592</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592</v>
      </c>
      <c r="D515" s="252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592</v>
      </c>
      <c r="D519" s="2526"/>
      <c r="F519" s="795" t="s">
        <v>1548</v>
      </c>
      <c r="G519" s="2435" t="s">
        <v>1549</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592</v>
      </c>
      <c r="D523" s="252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592</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1561</v>
      </c>
      <c r="AF538" s="2464"/>
      <c r="AG538" s="2464"/>
      <c r="AH538" s="2464"/>
      <c r="AI538" s="2464"/>
      <c r="AJ538" s="2464"/>
      <c r="AK538" s="246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592</v>
      </c>
      <c r="D541" s="2445"/>
      <c r="E541" s="551"/>
      <c r="F541" s="2467" t="s">
        <v>1562</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546</v>
      </c>
      <c r="D544" s="244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1564</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1565</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59246812</v>
      </c>
      <c r="AQ550" s="2422"/>
      <c r="AR550" s="2422"/>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99190720</v>
      </c>
      <c r="AG551" s="2428"/>
      <c r="AH551" s="2428"/>
      <c r="AI551" s="2428"/>
      <c r="AJ551" s="242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136267666.59999999</v>
      </c>
      <c r="AG552" s="2429"/>
      <c r="AH552" s="2429"/>
      <c r="AI552" s="2429"/>
      <c r="AJ552" s="2429"/>
      <c r="AK552" s="595"/>
      <c r="AL552" s="595"/>
      <c r="AM552" s="595"/>
      <c r="AN552" s="597"/>
      <c r="AP552" s="2422">
        <f>Application!AJ1045</f>
        <v>33770682.839999996</v>
      </c>
      <c r="AQ552" s="2422"/>
      <c r="AR552" s="24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0.54</v>
      </c>
      <c r="AG553" s="2430"/>
      <c r="AH553" s="2430"/>
      <c r="AI553" s="2430"/>
      <c r="AJ553" s="2430"/>
      <c r="AK553" s="595"/>
      <c r="AL553" s="595"/>
      <c r="AM553" s="595"/>
      <c r="AN553" s="597"/>
      <c r="AP553" s="2418">
        <f>Application!AJ1049</f>
        <v>29623406</v>
      </c>
      <c r="AQ553" s="2418"/>
      <c r="AR553" s="241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0.8</v>
      </c>
      <c r="AQ554" s="2437"/>
      <c r="AR554" s="2437"/>
      <c r="AS554" s="550" t="s">
        <v>2172</v>
      </c>
    </row>
    <row r="555" spans="1:49" s="550" customFormat="1" ht="12.75" customHeight="1">
      <c r="A555" s="624"/>
      <c r="B555" s="2504" t="s">
        <v>2032</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88870217</v>
      </c>
      <c r="AQ556" s="2438"/>
      <c r="AR556" s="2438"/>
      <c r="AS556" s="550" t="s">
        <v>2174</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152264305.84</v>
      </c>
      <c r="AQ557" s="2422"/>
      <c r="AR557" s="24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3">
        <f>IFERROR(IF(AND(C541="N/A",C544="N/A"),0,IF(AF553=0,0,IF((AF553*100)&gt;12,12,(AF553*100)))),0)</f>
        <v>12</v>
      </c>
      <c r="AL559" s="2513"/>
      <c r="AM559" s="2514"/>
      <c r="AN559" s="597"/>
      <c r="AP559" s="2407">
        <f>AP556+(AP550*AP554)</f>
        <v>136267666.59999999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1315</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2023</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1339</v>
      </c>
      <c r="AG578" s="2524"/>
      <c r="AH578" s="2524"/>
      <c r="AI578" s="2524"/>
      <c r="AJ578" s="2524"/>
      <c r="AK578" s="2524"/>
      <c r="AL578" s="2524"/>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1397</v>
      </c>
      <c r="AG585" s="2524"/>
      <c r="AH585" s="2524"/>
      <c r="AI585" s="2524"/>
      <c r="AJ585" s="2524"/>
      <c r="AK585" s="2524"/>
      <c r="AL585" s="2524"/>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1379</v>
      </c>
      <c r="AG591" s="2524"/>
      <c r="AH591" s="2524"/>
      <c r="AI591" s="2524"/>
      <c r="AJ591" s="2524"/>
      <c r="AK591" s="2524"/>
      <c r="AL591" s="2524"/>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1400</v>
      </c>
      <c r="AG597" s="2524"/>
      <c r="AH597" s="2524"/>
      <c r="AI597" s="2524"/>
      <c r="AJ597" s="2524"/>
      <c r="AK597" s="2524"/>
      <c r="AL597" s="2524"/>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0" t="s">
        <v>1185</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1353</v>
      </c>
      <c r="AG603" s="2524"/>
      <c r="AH603" s="2524"/>
      <c r="AI603" s="2524"/>
      <c r="AJ603" s="2524"/>
      <c r="AK603" s="2524"/>
      <c r="AL603" s="2524"/>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8" t="s">
        <v>278</v>
      </c>
      <c r="I606" s="2448"/>
      <c r="J606" s="936"/>
      <c r="K606" s="936"/>
      <c r="L606" s="936"/>
      <c r="N606" s="22"/>
      <c r="O606" s="22"/>
      <c r="P606" s="22"/>
      <c r="Q606" s="1151" t="s">
        <v>2177</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6" t="s">
        <v>592</v>
      </c>
      <c r="C616" s="2396"/>
      <c r="D616" s="642"/>
      <c r="E616" s="2424" t="s">
        <v>1404</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1">
        <f>VLOOKUP($H$606,$AO$586:$AP$591,2,FALSE)+IF(R606=AO594,0,VLOOKUP($I$614,$AO$613:$AP$615,2,FALSE))</f>
        <v>5</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8" t="s">
        <v>1695</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1353</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6" t="s">
        <v>592</v>
      </c>
      <c r="Y634" s="239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1409</v>
      </c>
      <c r="AG636" s="2524"/>
      <c r="AH636" s="2524"/>
      <c r="AI636" s="2524"/>
      <c r="AJ636" s="2524"/>
      <c r="AK636" s="2524"/>
      <c r="AL636" s="252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8" t="s">
        <v>688</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1">
        <f>VLOOKUP($H$638,$AO$605:$AP$607,2,FALSE)</f>
        <v>3</v>
      </c>
      <c r="AK640" s="2433"/>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4" t="s">
        <v>2098</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1353</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1409</v>
      </c>
      <c r="AG647" s="2524"/>
      <c r="AH647" s="2524"/>
      <c r="AI647" s="2524"/>
      <c r="AJ647" s="2524"/>
      <c r="AK647" s="2524"/>
      <c r="AL647" s="2524"/>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8" t="s">
        <v>592</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4" t="s">
        <v>1419</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1379</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4" t="s">
        <v>1420</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1400</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4" t="s">
        <v>1421</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1353</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592</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4" t="s">
        <v>1422</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1400</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4" t="s">
        <v>1423</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1353</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4" t="s">
        <v>1424</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1409</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4" t="s">
        <v>1425</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1426</v>
      </c>
      <c r="AG681" s="2524"/>
      <c r="AH681" s="2524"/>
      <c r="AI681" s="2524"/>
      <c r="AJ681" s="2524"/>
      <c r="AK681" s="2524"/>
      <c r="AL681" s="2524"/>
      <c r="AM681" s="596"/>
      <c r="AN681" s="597"/>
      <c r="AO681" s="611" t="s">
        <v>688</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8" t="s">
        <v>278</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1">
        <f>VLOOKUP($H$685,$AO$633:$AP$640,2,FALSE)</f>
        <v>3</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29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113</v>
      </c>
    </row>
    <row r="691" spans="1:51" s="550" customFormat="1" ht="12.75" customHeight="1">
      <c r="A691" s="679"/>
      <c r="B691" s="536"/>
      <c r="C691" s="948"/>
      <c r="D691" s="663" t="s">
        <v>688</v>
      </c>
      <c r="E691" s="2394" t="s">
        <v>2190</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1353</v>
      </c>
      <c r="AG691" s="2524"/>
      <c r="AH691" s="2524"/>
      <c r="AI691" s="2524"/>
      <c r="AJ691" s="2524"/>
      <c r="AK691" s="2524"/>
      <c r="AL691" s="2524"/>
      <c r="AN691" s="597"/>
      <c r="AW691" s="22" t="s">
        <v>2185</v>
      </c>
      <c r="AX691" s="550">
        <f>Application!DE753</f>
        <v>30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4" t="s">
        <v>2134</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1353</v>
      </c>
      <c r="AG694" s="2524"/>
      <c r="AH694" s="2524"/>
      <c r="AI694" s="2524"/>
      <c r="AJ694" s="2524"/>
      <c r="AK694" s="2524"/>
      <c r="AL694" s="2524"/>
      <c r="AN694" s="597"/>
      <c r="AW694" s="22" t="s">
        <v>2188</v>
      </c>
      <c r="AX694" s="550">
        <f>AX691+AX692+AX693</f>
        <v>30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2189</v>
      </c>
      <c r="AX695" s="550">
        <f>IFERROR(AX694/AX690,0)</f>
        <v>0.26548672566371684</v>
      </c>
      <c r="AY695" s="550">
        <f>IFERROR(AX694/(AX690-AX689),0)</f>
        <v>0.35714285714285715</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4" t="s">
        <v>2135</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1409</v>
      </c>
      <c r="AG699" s="2524"/>
      <c r="AH699" s="2524"/>
      <c r="AI699" s="2524"/>
      <c r="AJ699" s="2524"/>
      <c r="AK699" s="2524"/>
      <c r="AL699" s="2524"/>
      <c r="AN699" s="597"/>
      <c r="AO699" s="611" t="s">
        <v>510</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4" t="s">
        <v>1694</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8" t="s">
        <v>592</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1">
        <f>VLOOKUP($H$709,$AO$703:$AP$706,2,FALSE)</f>
        <v>0</v>
      </c>
      <c r="AK711" s="2433"/>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1353</v>
      </c>
      <c r="AG715" s="2524"/>
      <c r="AH715" s="2524"/>
      <c r="AI715" s="2524"/>
      <c r="AJ715" s="2524"/>
      <c r="AK715" s="2524"/>
      <c r="AL715" s="2524"/>
      <c r="AM715" s="550"/>
      <c r="AN715" s="684"/>
      <c r="AP715" s="570" t="s">
        <v>1433</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1409</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8" t="s">
        <v>592</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4" t="s">
        <v>1697</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1353</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4" t="s">
        <v>1440</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1409</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8" t="s">
        <v>592</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4" t="s">
        <v>1443</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1353</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4" t="s">
        <v>1444</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1409</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8" t="s">
        <v>688</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4" t="s">
        <v>1446</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1409</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4" t="s">
        <v>1447</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1426</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8" t="s">
        <v>510</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688</v>
      </c>
      <c r="E769" s="2424" t="s">
        <v>1693</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1409</v>
      </c>
      <c r="AG769" s="2524"/>
      <c r="AH769" s="2524"/>
      <c r="AI769" s="2524"/>
      <c r="AJ769" s="2524"/>
      <c r="AK769" s="2524"/>
      <c r="AL769" s="2524"/>
      <c r="AM769" s="613"/>
      <c r="AN769" s="684"/>
      <c r="AO769" s="550" t="s">
        <v>592</v>
      </c>
      <c r="AP769" s="673">
        <v>0</v>
      </c>
    </row>
    <row r="770" spans="1:81" s="570" customFormat="1" ht="13.9"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1353</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8" t="s">
        <v>592</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688</v>
      </c>
      <c r="E785" s="2424" t="s">
        <v>2033</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1353</v>
      </c>
      <c r="AG785" s="2524"/>
      <c r="AH785" s="2524"/>
      <c r="AI785" s="2524"/>
      <c r="AJ785" s="2524"/>
      <c r="AK785" s="2524"/>
      <c r="AL785" s="2524"/>
      <c r="AM785" s="613"/>
      <c r="AN785" s="684"/>
      <c r="AO785" s="611" t="s">
        <v>546</v>
      </c>
      <c r="AP785" s="550">
        <v>3</v>
      </c>
      <c r="AT785" s="674"/>
      <c r="AU785" s="674"/>
      <c r="AV785" s="674"/>
      <c r="AW785" s="674"/>
      <c r="AX785" s="674"/>
      <c r="AY785" s="674"/>
      <c r="AZ785" s="674"/>
    </row>
    <row r="786" spans="1:81" s="570" customFormat="1" ht="13.9"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8" t="s">
        <v>546</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1569</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1570</v>
      </c>
      <c r="U802" s="2519"/>
      <c r="V802" s="2519"/>
      <c r="W802" s="2519"/>
      <c r="X802" s="2519"/>
      <c r="Y802" s="2520"/>
      <c r="Z802" s="2518" t="s">
        <v>1571</v>
      </c>
      <c r="AA802" s="2519"/>
      <c r="AB802" s="2519"/>
      <c r="AC802" s="2519"/>
      <c r="AD802" s="2519"/>
      <c r="AE802" s="2520"/>
      <c r="AF802" s="2518" t="s">
        <v>1572</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758</v>
      </c>
      <c r="B804" s="2475" t="s">
        <v>1305</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1542</v>
      </c>
      <c r="B805" s="2475" t="s">
        <v>1314</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1551</v>
      </c>
      <c r="B806" s="2475" t="s">
        <v>1324</v>
      </c>
      <c r="C806" s="2475"/>
      <c r="D806" s="2475"/>
      <c r="E806" s="2475"/>
      <c r="F806" s="2475"/>
      <c r="G806" s="2475"/>
      <c r="H806" s="2475"/>
      <c r="I806" s="2475"/>
      <c r="J806" s="2475"/>
      <c r="K806" s="2475"/>
      <c r="L806" s="2475"/>
      <c r="M806" s="2475"/>
      <c r="N806" s="2475"/>
      <c r="O806" s="2475"/>
      <c r="P806" s="2475"/>
      <c r="Q806" s="2475"/>
      <c r="R806" s="2475"/>
      <c r="S806" s="2476"/>
      <c r="T806" s="2503">
        <f>AK109</f>
        <v>20</v>
      </c>
      <c r="U806" s="2479"/>
      <c r="V806" s="2479"/>
      <c r="W806" s="2479"/>
      <c r="X806" s="2479"/>
      <c r="Y806" s="2480"/>
      <c r="Z806" s="2478">
        <v>20</v>
      </c>
      <c r="AA806" s="2479"/>
      <c r="AB806" s="2479"/>
      <c r="AC806" s="2479"/>
      <c r="AD806" s="2479"/>
      <c r="AE806" s="2480"/>
      <c r="AF806" s="2443">
        <f>IF(T806&gt;Z806,Z806,T806)</f>
        <v>20</v>
      </c>
      <c r="AG806" s="2443"/>
      <c r="AH806" s="2443"/>
      <c r="AI806" s="2443"/>
      <c r="AJ806" s="2443"/>
      <c r="AK806" s="2443"/>
      <c r="AL806" s="818"/>
      <c r="AM806" s="596"/>
      <c r="AO806" s="816"/>
      <c r="AP806" s="816"/>
      <c r="AQ806" s="816"/>
    </row>
    <row r="807" spans="1:81">
      <c r="A807" s="819" t="s">
        <v>1573</v>
      </c>
      <c r="B807" s="2475" t="s">
        <v>1334</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1574</v>
      </c>
      <c r="B808" s="2475" t="s">
        <v>1575</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1576</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1577</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1362</v>
      </c>
      <c r="B811" s="2475" t="s">
        <v>1578</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1371</v>
      </c>
      <c r="B812" s="2475" t="s">
        <v>1372</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590</v>
      </c>
      <c r="B813" s="2475" t="s">
        <v>1579</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5" t="s">
        <v>1580</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5" t="s">
        <v>1382</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5" t="s">
        <v>846</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5" t="s">
        <v>1560</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5" t="s">
        <v>1582</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1583</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1584</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1" t="s">
        <v>1585</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Diana Downton</cp:lastModifiedBy>
  <cp:lastPrinted>2024-12-09T20:28:29Z</cp:lastPrinted>
  <dcterms:created xsi:type="dcterms:W3CDTF">2007-12-27T18:26:28Z</dcterms:created>
  <dcterms:modified xsi:type="dcterms:W3CDTF">2025-09-11T16:32:47Z</dcterms:modified>
</cp:coreProperties>
</file>