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C:\Box\RAP\01 - Transactions\City Towers\TCAC\TCAC Application Sept 2025\40. Excel Workbooks\"/>
    </mc:Choice>
  </mc:AlternateContent>
  <xr:revisionPtr revIDLastSave="0" documentId="13_ncr:1_{8863E0EF-17D5-45B1-A76A-2AA859DD67D0}" xr6:coauthVersionLast="47" xr6:coauthVersionMax="47" xr10:uidLastSave="{00000000-0000-0000-0000-000000000000}"/>
  <bookViews>
    <workbookView xWindow="28680" yWindow="-120" windowWidth="29040" windowHeight="15720" tabRatio="850"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 l="1"/>
  <c r="G9" i="4" s="1"/>
  <c r="G17" i="4"/>
  <c r="AO628" i="3"/>
  <c r="AO627" i="3"/>
  <c r="Q555" i="3"/>
  <c r="G18" i="4" l="1"/>
  <c r="C79" i="4"/>
  <c r="E74" i="4"/>
  <c r="E76" i="4"/>
  <c r="E94" i="4"/>
  <c r="AC887" i="3"/>
  <c r="AC889" i="3"/>
  <c r="W863" i="3"/>
  <c r="W854" i="3"/>
  <c r="W846" i="3"/>
  <c r="T630" i="3" l="1"/>
  <c r="Q629" i="3"/>
  <c r="Q630" i="3"/>
  <c r="M630" i="3"/>
  <c r="M629" i="3"/>
  <c r="C630" i="3"/>
  <c r="C629" i="3"/>
  <c r="AO629" i="3"/>
  <c r="H45" i="4" s="1"/>
  <c r="T229" i="20"/>
  <c r="T228" i="20"/>
  <c r="T227" i="20"/>
  <c r="T226" i="20"/>
  <c r="T225" i="20"/>
  <c r="T224" i="20"/>
  <c r="N229" i="20"/>
  <c r="N228" i="20"/>
  <c r="N227" i="20"/>
  <c r="N226" i="20"/>
  <c r="N225" i="20"/>
  <c r="N224" i="20"/>
  <c r="I229" i="20"/>
  <c r="I228" i="20"/>
  <c r="I227" i="20"/>
  <c r="I226" i="20"/>
  <c r="I225" i="20"/>
  <c r="I224" i="20"/>
  <c r="E25" i="4"/>
  <c r="M960" i="3"/>
  <c r="M975" i="3" s="1"/>
  <c r="AH495" i="3"/>
  <c r="G53" i="7" l="1"/>
  <c r="AI554" i="3" l="1"/>
  <c r="E21" i="4"/>
  <c r="E4" i="4"/>
  <c r="E93" i="4"/>
  <c r="E92" i="4"/>
  <c r="E91" i="4"/>
  <c r="E90" i="4"/>
  <c r="E89" i="4"/>
  <c r="E88" i="4"/>
  <c r="E87" i="4"/>
  <c r="E86" i="4"/>
  <c r="E85" i="4"/>
  <c r="E84" i="4"/>
  <c r="E83" i="4"/>
  <c r="E80" i="4"/>
  <c r="E79" i="4"/>
  <c r="E69" i="4"/>
  <c r="E68" i="4"/>
  <c r="E67" i="4"/>
  <c r="E66" i="4"/>
  <c r="E65" i="4"/>
  <c r="E53" i="4"/>
  <c r="E52" i="4"/>
  <c r="E51" i="4"/>
  <c r="E50" i="4"/>
  <c r="E49" i="4"/>
  <c r="E48" i="4"/>
  <c r="E47" i="4"/>
  <c r="E46" i="4"/>
  <c r="E43" i="4"/>
  <c r="E41" i="4"/>
  <c r="E40" i="4"/>
  <c r="E27" i="4"/>
  <c r="E24" i="4"/>
  <c r="E23" i="4"/>
  <c r="E22" i="4"/>
  <c r="E20" i="4"/>
  <c r="E19" i="4"/>
  <c r="AA918" i="3" l="1"/>
  <c r="E18" i="4"/>
  <c r="AI555" i="3"/>
  <c r="E9" i="4"/>
  <c r="Z813" i="3" l="1"/>
  <c r="AC631" i="3"/>
  <c r="AC630" i="3"/>
  <c r="AC629" i="3"/>
  <c r="AF628" i="3"/>
  <c r="E41" i="7" s="1"/>
  <c r="AC628" i="3"/>
  <c r="AF627" i="3"/>
  <c r="AC627" i="3"/>
  <c r="T631" i="3"/>
  <c r="W629" i="3"/>
  <c r="T629" i="3"/>
  <c r="Q628" i="3"/>
  <c r="Q627" i="3"/>
  <c r="M628" i="3"/>
  <c r="M627" i="3"/>
  <c r="C628" i="3"/>
  <c r="A41" i="7" s="1"/>
  <c r="C627" i="3"/>
  <c r="M961"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8" i="13"/>
  <c r="F68" i="13" s="1"/>
  <c r="B66" i="13"/>
  <c r="C66" i="13" s="1"/>
  <c r="B67" i="13"/>
  <c r="C67" i="13" s="1"/>
  <c r="B68" i="13"/>
  <c r="C68" i="13" s="1"/>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F84" i="13" s="1"/>
  <c r="B59" i="4"/>
  <c r="C80" i="11"/>
  <c r="C81" i="11"/>
  <c r="B80" i="11"/>
  <c r="B81" i="11"/>
  <c r="J96" i="13"/>
  <c r="J81" i="13"/>
  <c r="I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F91" i="13" s="1"/>
  <c r="E50" i="13"/>
  <c r="F50" i="13" s="1"/>
  <c r="E47" i="13"/>
  <c r="F47" i="13" s="1"/>
  <c r="E46" i="13"/>
  <c r="F46" i="13" s="1"/>
  <c r="E37" i="13"/>
  <c r="E35" i="13"/>
  <c r="E34" i="13"/>
  <c r="E33" i="13"/>
  <c r="E32" i="13"/>
  <c r="E31" i="13"/>
  <c r="E30" i="13"/>
  <c r="E29"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4" i="13"/>
  <c r="C74" i="13" s="1"/>
  <c r="B73" i="13"/>
  <c r="C73" i="13" s="1"/>
  <c r="B72" i="13"/>
  <c r="C72" i="13" s="1"/>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F27" i="13" s="1"/>
  <c r="B25" i="13"/>
  <c r="C25" i="13" s="1"/>
  <c r="B23" i="13"/>
  <c r="C23" i="13" s="1"/>
  <c r="B22" i="13"/>
  <c r="C22" i="13" s="1"/>
  <c r="B21" i="13"/>
  <c r="C21" i="13" s="1"/>
  <c r="B20" i="13"/>
  <c r="C20" i="13" s="1"/>
  <c r="B19" i="13"/>
  <c r="C19" i="13" s="1"/>
  <c r="B18" i="13"/>
  <c r="C18" i="13" s="1"/>
  <c r="B17" i="13"/>
  <c r="C17" i="13" s="1"/>
  <c r="B5" i="13"/>
  <c r="B6" i="13"/>
  <c r="B7" i="13"/>
  <c r="C8" i="4"/>
  <c r="B8" i="13" s="1"/>
  <c r="B9" i="13"/>
  <c r="B10" i="13"/>
  <c r="B13" i="13"/>
  <c r="B14" i="13"/>
  <c r="B15" i="13"/>
  <c r="B4" i="13"/>
  <c r="C4" i="13" s="1"/>
  <c r="J70" i="13"/>
  <c r="I70" i="13"/>
  <c r="D62" i="13"/>
  <c r="C62" i="13"/>
  <c r="J42" i="13"/>
  <c r="I42" i="13"/>
  <c r="F38" i="13"/>
  <c r="J38" i="13"/>
  <c r="I38" i="13"/>
  <c r="G38" i="13"/>
  <c r="D38" i="13"/>
  <c r="C38" i="13"/>
  <c r="J26" i="13"/>
  <c r="I26" i="13"/>
  <c r="R103" i="4"/>
  <c r="R102" i="4"/>
  <c r="R101" i="4"/>
  <c r="R95" i="4"/>
  <c r="S95" i="4" s="1"/>
  <c r="E95" i="13" s="1"/>
  <c r="F95" i="13" s="1"/>
  <c r="R94" i="4"/>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2" i="4"/>
  <c r="R73" i="4"/>
  <c r="R74" i="4"/>
  <c r="R69" i="4"/>
  <c r="S69" i="4" s="1"/>
  <c r="E69" i="13" s="1"/>
  <c r="F69" i="13" s="1"/>
  <c r="R65" i="4"/>
  <c r="S65" i="4" s="1"/>
  <c r="E65" i="13" s="1"/>
  <c r="F65" i="13" s="1"/>
  <c r="R61" i="4"/>
  <c r="R60" i="4"/>
  <c r="R59" i="4"/>
  <c r="R58" i="4"/>
  <c r="R57" i="4"/>
  <c r="R56" i="4"/>
  <c r="R53" i="4"/>
  <c r="S53" i="4" s="1"/>
  <c r="E53" i="13" s="1"/>
  <c r="F53" i="13" s="1"/>
  <c r="R52" i="4"/>
  <c r="S52" i="4" s="1"/>
  <c r="R51" i="4"/>
  <c r="S51" i="4" s="1"/>
  <c r="E51" i="13" s="1"/>
  <c r="F51" i="13" s="1"/>
  <c r="R50" i="4"/>
  <c r="T50" i="4" s="1"/>
  <c r="T54" i="4" s="1"/>
  <c r="H54" i="13" s="1"/>
  <c r="R49" i="4"/>
  <c r="S49" i="4" s="1"/>
  <c r="E49" i="13" s="1"/>
  <c r="F49" i="13" s="1"/>
  <c r="R48" i="4"/>
  <c r="S48" i="4" s="1"/>
  <c r="E48" i="13" s="1"/>
  <c r="F48" i="13" s="1"/>
  <c r="R47" i="4"/>
  <c r="R46" i="4"/>
  <c r="R43" i="4"/>
  <c r="S43" i="4" s="1"/>
  <c r="E43" i="13" s="1"/>
  <c r="F43" i="13" s="1"/>
  <c r="R41" i="4"/>
  <c r="S41" i="4" s="1"/>
  <c r="E41" i="13" s="1"/>
  <c r="F41" i="13" s="1"/>
  <c r="R40" i="4"/>
  <c r="S40" i="4" s="1"/>
  <c r="E40" i="13" s="1"/>
  <c r="F40" i="13" s="1"/>
  <c r="R37" i="4"/>
  <c r="R35" i="4"/>
  <c r="R34" i="4"/>
  <c r="R33" i="4"/>
  <c r="R32" i="4"/>
  <c r="R31" i="4"/>
  <c r="R30" i="4"/>
  <c r="R29" i="4"/>
  <c r="R27" i="4"/>
  <c r="S27" i="4" s="1"/>
  <c r="E27" i="13" s="1"/>
  <c r="R25" i="4"/>
  <c r="E25" i="13" s="1"/>
  <c r="F25" i="13" s="1"/>
  <c r="R23" i="4"/>
  <c r="S23" i="4" s="1"/>
  <c r="E23" i="13" s="1"/>
  <c r="F23" i="13" s="1"/>
  <c r="R22" i="4"/>
  <c r="S22" i="4" s="1"/>
  <c r="E22" i="13" s="1"/>
  <c r="F22" i="13" s="1"/>
  <c r="R21" i="4"/>
  <c r="S21" i="4" s="1"/>
  <c r="E21" i="13" s="1"/>
  <c r="F21" i="13" s="1"/>
  <c r="R20" i="4"/>
  <c r="S20" i="4" s="1"/>
  <c r="E20" i="13" s="1"/>
  <c r="F20" i="13" s="1"/>
  <c r="R19" i="4"/>
  <c r="S19" i="4" s="1"/>
  <c r="R18" i="4"/>
  <c r="S18" i="4" s="1"/>
  <c r="E18" i="13" s="1"/>
  <c r="F18"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C11" i="4"/>
  <c r="B11" i="13" s="1"/>
  <c r="C38" i="4"/>
  <c r="B38" i="13" s="1"/>
  <c r="C54" i="4"/>
  <c r="C62" i="4"/>
  <c r="B62"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F108" i="4"/>
  <c r="G108" i="4"/>
  <c r="H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94" i="13" l="1"/>
  <c r="F94" i="13" s="1"/>
  <c r="T94" i="4"/>
  <c r="I9" i="13"/>
  <c r="C9" i="13"/>
  <c r="C11" i="13" s="1"/>
  <c r="J5" i="8"/>
  <c r="J11" i="8"/>
  <c r="S42" i="4"/>
  <c r="E42" i="13" s="1"/>
  <c r="H50" i="13"/>
  <c r="I50" i="13" s="1"/>
  <c r="I54" i="13" s="1"/>
  <c r="S70" i="4"/>
  <c r="E70" i="13" s="1"/>
  <c r="J10" i="8"/>
  <c r="S81" i="4"/>
  <c r="E81" i="13" s="1"/>
  <c r="S96" i="4"/>
  <c r="E96" i="13" s="1"/>
  <c r="E52" i="13"/>
  <c r="F52" i="13" s="1"/>
  <c r="G70" i="13"/>
  <c r="F70" i="13"/>
  <c r="J54" i="13"/>
  <c r="B26" i="4"/>
  <c r="E19" i="13"/>
  <c r="F19" i="13" s="1"/>
  <c r="D11" i="13"/>
  <c r="H9" i="13"/>
  <c r="C8" i="13"/>
  <c r="D8" i="13"/>
  <c r="J8" i="8"/>
  <c r="J4" i="8"/>
  <c r="J6" i="8"/>
  <c r="J9" i="8"/>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2" i="4"/>
  <c r="B12" i="13" s="1"/>
  <c r="D75" i="11"/>
  <c r="D62" i="11"/>
  <c r="D58" i="11"/>
  <c r="D47" i="11"/>
  <c r="L12" i="4"/>
  <c r="D38" i="11"/>
  <c r="B42" i="4"/>
  <c r="H12" i="4"/>
  <c r="D51" i="11"/>
  <c r="D49" i="11"/>
  <c r="D48" i="11"/>
  <c r="D20" i="11"/>
  <c r="D15" i="11"/>
  <c r="D8" i="11"/>
  <c r="D41" i="11"/>
  <c r="D74" i="11"/>
  <c r="D77" i="11"/>
  <c r="D73" i="11"/>
  <c r="D53" i="11"/>
  <c r="D50" i="11"/>
  <c r="D21" i="11"/>
  <c r="D16" i="11"/>
  <c r="B12" i="11"/>
  <c r="D5" i="11"/>
  <c r="D66" i="11"/>
  <c r="D59" i="11"/>
  <c r="D42" i="11"/>
  <c r="D28" i="11"/>
  <c r="N63" i="4"/>
  <c r="N97" i="4" s="1"/>
  <c r="N105" i="4" s="1"/>
  <c r="E12" i="4"/>
  <c r="D12" i="4"/>
  <c r="C43" i="11"/>
  <c r="F12" i="4"/>
  <c r="D11" i="11"/>
  <c r="C63" i="11"/>
  <c r="B55" i="11"/>
  <c r="D24" i="11"/>
  <c r="B39" i="11"/>
  <c r="B71"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C71" i="11"/>
  <c r="R38" i="4"/>
  <c r="R70" i="4"/>
  <c r="B81" i="4"/>
  <c r="R11" i="4"/>
  <c r="G58" i="7"/>
  <c r="L63" i="4"/>
  <c r="L97" i="4" s="1"/>
  <c r="L105" i="4" s="1"/>
  <c r="D52" i="11"/>
  <c r="D44" i="11"/>
  <c r="D18" i="11"/>
  <c r="C12" i="11"/>
  <c r="J63" i="4"/>
  <c r="J97" i="4" s="1"/>
  <c r="Q63" i="4"/>
  <c r="Q97" i="4" s="1"/>
  <c r="Q105" i="4" s="1"/>
  <c r="B11" i="4"/>
  <c r="C39" i="11"/>
  <c r="C97" i="11"/>
  <c r="D81" i="11"/>
  <c r="D60" i="11"/>
  <c r="M12" i="4"/>
  <c r="D63" i="4"/>
  <c r="D97" i="4" s="1"/>
  <c r="D105" i="4" s="1"/>
  <c r="BE68" i="3" s="1"/>
  <c r="R42" i="4"/>
  <c r="R62" i="4"/>
  <c r="B97" i="11"/>
  <c r="C55" i="11"/>
  <c r="D23" i="11"/>
  <c r="D19" i="11"/>
  <c r="D14" i="11"/>
  <c r="D7" i="11"/>
  <c r="R8" i="4"/>
  <c r="R96" i="4"/>
  <c r="R81" i="4"/>
  <c r="M53" i="7"/>
  <c r="K58" i="7"/>
  <c r="N188" i="23"/>
  <c r="C27" i="11"/>
  <c r="D46" i="11"/>
  <c r="B82" i="11"/>
  <c r="H63" i="4"/>
  <c r="H97" i="4" s="1"/>
  <c r="H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C886" i="3" l="1"/>
  <c r="AM559" i="3" s="1"/>
  <c r="H94" i="13"/>
  <c r="I94" i="13" s="1"/>
  <c r="I96" i="13" s="1"/>
  <c r="T96" i="4"/>
  <c r="H96" i="13" s="1"/>
  <c r="D81" i="13"/>
  <c r="C81" i="13"/>
  <c r="J40" i="8"/>
  <c r="Z809" i="3" s="1"/>
  <c r="E6" i="7" s="1"/>
  <c r="AJ621" i="20"/>
  <c r="AK794" i="20" s="1"/>
  <c r="T819" i="20" s="1"/>
  <c r="AF819" i="20" s="1"/>
  <c r="BE82" i="3" s="1"/>
  <c r="G94" i="21"/>
  <c r="G42" i="13"/>
  <c r="C42" i="13"/>
  <c r="C12" i="13"/>
  <c r="D42" i="13"/>
  <c r="F81" i="13"/>
  <c r="G81" i="13"/>
  <c r="F42" i="13"/>
  <c r="C54" i="13"/>
  <c r="D54" i="13"/>
  <c r="D77" i="13"/>
  <c r="C26" i="13"/>
  <c r="D70" i="13"/>
  <c r="C96" i="13"/>
  <c r="D96" i="13"/>
  <c r="G96" i="13"/>
  <c r="F96" i="13"/>
  <c r="D26" i="13"/>
  <c r="C70" i="13"/>
  <c r="D12" i="13"/>
  <c r="I11" i="13"/>
  <c r="I63" i="13" s="1"/>
  <c r="J11" i="13"/>
  <c r="J63" i="13" s="1"/>
  <c r="J97" i="13" s="1"/>
  <c r="D43" i="11"/>
  <c r="D71" i="11"/>
  <c r="B12" i="4"/>
  <c r="N195" i="23"/>
  <c r="D55" i="11"/>
  <c r="D82" i="11"/>
  <c r="D39" i="11"/>
  <c r="R12" i="4"/>
  <c r="D12" i="11"/>
  <c r="D63" i="11"/>
  <c r="B13" i="11"/>
  <c r="C64" i="11"/>
  <c r="B64" i="11"/>
  <c r="B63" i="4"/>
  <c r="D27" i="11"/>
  <c r="D97" i="11"/>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I97" i="13" l="1"/>
  <c r="T97" i="4"/>
  <c r="T99" i="4" s="1"/>
  <c r="H99" i="13" s="1"/>
  <c r="I99" i="13" s="1"/>
  <c r="C75" i="4"/>
  <c r="D63" i="13"/>
  <c r="D97" i="13" s="1"/>
  <c r="C63" i="13"/>
  <c r="T104" i="4"/>
  <c r="T105" i="4" s="1"/>
  <c r="AZ1048" i="3"/>
  <c r="O27" i="21"/>
  <c r="P27" i="21" s="1" a="1"/>
  <c r="P27" i="21" s="1"/>
  <c r="S27" i="21" s="1"/>
  <c r="O26" i="2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AK84" i="20"/>
  <c r="AK191" i="20" s="1"/>
  <c r="T811" i="20" s="1"/>
  <c r="AF811" i="20" s="1"/>
  <c r="BE76" i="3" s="1"/>
  <c r="D13" i="11"/>
  <c r="O58" i="7"/>
  <c r="Q53" i="7"/>
  <c r="H97" i="13"/>
  <c r="P29" i="21" a="1"/>
  <c r="P29" i="21" s="1"/>
  <c r="S29" i="21" s="1"/>
  <c r="P31" i="21" a="1"/>
  <c r="P31" i="21" s="1"/>
  <c r="S31" i="21" s="1"/>
  <c r="P30" i="21" a="1"/>
  <c r="P30" i="21" s="1"/>
  <c r="S30" i="21" s="1"/>
  <c r="P28" i="21" a="1"/>
  <c r="P28" i="21" s="1"/>
  <c r="S28"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75" i="4" l="1"/>
  <c r="B75" i="4"/>
  <c r="C76" i="11"/>
  <c r="B75" i="13"/>
  <c r="C75" i="13" s="1"/>
  <c r="C77" i="13" s="1"/>
  <c r="C97" i="13" s="1"/>
  <c r="B76" i="11"/>
  <c r="B78" i="11" s="1"/>
  <c r="B98" i="11" s="1"/>
  <c r="C77" i="4"/>
  <c r="J104" i="13"/>
  <c r="J105" i="13" s="1"/>
  <c r="J107" i="13" s="1"/>
  <c r="I104" i="13"/>
  <c r="I105" i="13" s="1"/>
  <c r="I107" i="13" s="1"/>
  <c r="H104" i="13"/>
  <c r="T805" i="20"/>
  <c r="AF805" i="20" s="1"/>
  <c r="BE72" i="3" s="1"/>
  <c r="H105" i="13"/>
  <c r="T107" i="4"/>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D76" i="11" l="1"/>
  <c r="C78" i="11"/>
  <c r="C97" i="4"/>
  <c r="B77" i="13"/>
  <c r="B77" i="4"/>
  <c r="E77" i="4"/>
  <c r="R75" i="4"/>
  <c r="R77" i="4" s="1"/>
  <c r="H107" i="13"/>
  <c r="AI11" i="15" s="1"/>
  <c r="AI23" i="15" s="1"/>
  <c r="AI26" i="15" s="1"/>
  <c r="AI28" i="15" s="1"/>
  <c r="AD11" i="15"/>
  <c r="AD23" i="15" s="1"/>
  <c r="AD26" i="15" s="1"/>
  <c r="AD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B97" i="13" l="1"/>
  <c r="B97" i="4"/>
  <c r="D78" i="11"/>
  <c r="C98" i="11"/>
  <c r="D98" i="11"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H3" i="21"/>
  <c r="BE73" i="3" l="1"/>
  <c r="Y64" i="15" l="1"/>
  <c r="Y68" i="15" s="1"/>
  <c r="Y69" i="15" s="1"/>
  <c r="J108" i="4"/>
  <c r="J104" i="4"/>
  <c r="J105" i="4" s="1"/>
  <c r="I54" i="4"/>
  <c r="I63" i="4" s="1"/>
  <c r="I97" i="4" s="1"/>
  <c r="E45" i="4"/>
  <c r="E54" i="4" s="1"/>
  <c r="R45" i="4" l="1"/>
  <c r="R54" i="4" l="1"/>
  <c r="S45" i="4"/>
  <c r="E45" i="13" l="1"/>
  <c r="F45" i="13" s="1"/>
  <c r="S54" i="4"/>
  <c r="E54" i="13" l="1"/>
  <c r="F54" i="13"/>
  <c r="G54" i="13"/>
  <c r="F26" i="4"/>
  <c r="F63" i="4" s="1"/>
  <c r="F97" i="4" s="1"/>
  <c r="F105" i="4" s="1"/>
  <c r="G26" i="13" l="1"/>
  <c r="G63" i="13" s="1"/>
  <c r="G97" i="13" s="1"/>
  <c r="G104" i="13" l="1"/>
  <c r="G105" i="13" s="1"/>
  <c r="G107" i="13" s="1"/>
  <c r="D104" i="13" l="1"/>
  <c r="D105" i="13" s="1"/>
  <c r="E17" i="4" l="1"/>
  <c r="R17" i="4" s="1"/>
  <c r="G26" i="4"/>
  <c r="G63" i="4" s="1"/>
  <c r="G97" i="4" s="1"/>
  <c r="G105" i="4" s="1"/>
  <c r="E26" i="4" l="1"/>
  <c r="E63" i="4" s="1"/>
  <c r="E97" i="4" s="1"/>
  <c r="R26" i="4"/>
  <c r="R63" i="4" s="1"/>
  <c r="R97" i="4" s="1"/>
  <c r="S17" i="4"/>
  <c r="E17" i="13" l="1"/>
  <c r="F17" i="13" s="1"/>
  <c r="F26" i="13" s="1"/>
  <c r="F63" i="13" s="1"/>
  <c r="F97" i="13" s="1"/>
  <c r="S26" i="4"/>
  <c r="E26" i="13" l="1"/>
  <c r="S63" i="4"/>
  <c r="S97" i="4" l="1"/>
  <c r="E63" i="13"/>
  <c r="E97" i="13" l="1"/>
  <c r="AZ1046" i="3"/>
  <c r="S99" i="4"/>
  <c r="S104" i="4" l="1"/>
  <c r="C99" i="4"/>
  <c r="E99" i="13"/>
  <c r="F99" i="13" s="1"/>
  <c r="F104" i="13" s="1"/>
  <c r="F105" i="13" s="1"/>
  <c r="F107" i="13" s="1"/>
  <c r="BA1056" i="3"/>
  <c r="AZ1051" i="3"/>
  <c r="BA1055" i="3" s="1"/>
  <c r="T11" i="15" l="1"/>
  <c r="T23" i="15" s="1"/>
  <c r="C100" i="11"/>
  <c r="C104" i="4"/>
  <c r="B100" i="11"/>
  <c r="B105" i="11" s="1"/>
  <c r="B106" i="11" s="1"/>
  <c r="B99" i="4"/>
  <c r="B99" i="13"/>
  <c r="C99" i="13" s="1"/>
  <c r="C104" i="13" s="1"/>
  <c r="C105" i="13" s="1"/>
  <c r="E104" i="13"/>
  <c r="BA1058" i="3"/>
  <c r="BA1059" i="3" s="1"/>
  <c r="S105" i="4"/>
  <c r="E105" i="13" l="1"/>
  <c r="S107" i="4"/>
  <c r="AE699" i="3" s="1"/>
  <c r="B104" i="4"/>
  <c r="C105" i="4"/>
  <c r="B104" i="13"/>
  <c r="D100" i="11"/>
  <c r="C105" i="11"/>
  <c r="T26" i="15"/>
  <c r="T28" i="15" s="1"/>
  <c r="AO640" i="3" l="1"/>
  <c r="C106" i="11"/>
  <c r="D106" i="11" s="1"/>
  <c r="D105" i="11"/>
  <c r="AG269" i="20"/>
  <c r="B105" i="13"/>
  <c r="BE101" i="3"/>
  <c r="B105" i="4"/>
  <c r="AC455" i="3"/>
  <c r="AA1056" i="3"/>
  <c r="AA1057" i="3" s="1"/>
  <c r="G1058" i="3" s="1"/>
  <c r="AC456" i="3"/>
  <c r="AF551" i="20"/>
  <c r="AF553" i="20" s="1"/>
  <c r="AK559" i="20" s="1"/>
  <c r="T818" i="20" s="1"/>
  <c r="AF818" i="20" s="1"/>
  <c r="BE81" i="3" s="1"/>
  <c r="E107" i="13"/>
  <c r="Y11" i="15" s="1"/>
  <c r="Y23" i="15" s="1"/>
  <c r="Y26" i="15" l="1"/>
  <c r="Y28" i="15" s="1"/>
  <c r="T29" i="15" s="1"/>
  <c r="AD38" i="15"/>
  <c r="AD40" i="15" s="1"/>
  <c r="AM556" i="3"/>
  <c r="E108" i="4"/>
  <c r="AB266" i="20"/>
  <c r="AG268" i="20" s="1"/>
  <c r="AG270" i="20" s="1"/>
  <c r="AK273" i="20" s="1"/>
  <c r="T812" i="20" s="1"/>
  <c r="AF812" i="20" s="1"/>
  <c r="N185" i="23"/>
  <c r="AB47" i="15"/>
  <c r="AC454" i="3"/>
  <c r="AO630" i="3"/>
  <c r="BE22" i="3"/>
  <c r="AM558" i="3"/>
  <c r="Y38" i="15" l="1"/>
  <c r="Y40" i="15" s="1"/>
  <c r="Y41" i="15" s="1"/>
  <c r="N196" i="23"/>
  <c r="N186" i="23"/>
  <c r="I99" i="4"/>
  <c r="I108" i="4"/>
  <c r="AO639" i="3"/>
  <c r="BE44" i="3"/>
  <c r="F457" i="3"/>
  <c r="AF821" i="20"/>
  <c r="BE70" i="3" s="1"/>
  <c r="BE77" i="3"/>
  <c r="AM566" i="3"/>
  <c r="AO641" i="3" l="1"/>
  <c r="AB48" i="15"/>
  <c r="AB49" i="15" s="1"/>
  <c r="I104" i="4"/>
  <c r="I105" i="4" s="1"/>
  <c r="E99" i="4"/>
  <c r="E104" i="4" l="1"/>
  <c r="E105" i="4" s="1"/>
  <c r="R99" i="4"/>
  <c r="R104" i="4" s="1"/>
  <c r="R105" i="4" s="1"/>
  <c r="AB54" i="15"/>
  <c r="AB55" i="15" s="1"/>
  <c r="AB56" i="15" s="1"/>
  <c r="M26" i="3" l="1"/>
  <c r="AB57" i="15"/>
  <c r="AB59" i="15" l="1"/>
  <c r="AB77" i="15" s="1"/>
  <c r="AB78" i="15" s="1"/>
  <c r="BE19" i="3"/>
  <c r="P204" i="3"/>
  <c r="AB79" i="15" l="1"/>
  <c r="AB81" i="15" s="1"/>
  <c r="J82" i="15" s="1"/>
  <c r="M27" i="3"/>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<sst xmlns="http://schemas.openxmlformats.org/spreadsheetml/2006/main" count="5021" uniqueCount="2752">
  <si>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</si>
  <si>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</si>
  <si>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</si>
  <si>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</si>
  <si>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</si>
  <si>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</si>
  <si>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</si>
  <si>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</si>
  <si>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</si>
  <si>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</si>
  <si>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</si>
  <si>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</si>
  <si>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</si>
  <si>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</si>
  <si>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</si>
  <si>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</si>
  <si>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</si>
  <si>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</si>
  <si>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</si>
  <si>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</si>
  <si>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</si>
  <si>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</si>
  <si>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</si>
  <si>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</si>
  <si>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</si>
  <si>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</si>
  <si>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</si>
  <si>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</si>
  <si>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</si>
  <si>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</si>
  <si>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</si>
  <si>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</si>
  <si>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</si>
  <si>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</si>
  <si>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</si>
  <si>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</si>
  <si>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</si>
  <si>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</si>
  <si>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</si>
  <si>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</si>
  <si>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</si>
  <si>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</si>
  <si>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</si>
  <si>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</si>
  <si>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</si>
  <si>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</si>
  <si>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</si>
  <si>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</si>
  <si>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</si>
  <si>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</si>
  <si>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</si>
  <si>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</si>
  <si>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</si>
  <si>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</si>
  <si>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</si>
  <si>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</si>
  <si>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</si>
  <si>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</si>
  <si>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</si>
  <si>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</si>
  <si>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</si>
  <si>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</si>
  <si>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</si>
  <si>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</si>
  <si>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</si>
  <si>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</si>
  <si>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</si>
  <si>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</si>
  <si>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</si>
  <si>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</si>
  <si>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</si>
  <si>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</si>
  <si>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</si>
  <si>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</si>
  <si>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</si>
  <si>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</si>
  <si>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</si>
  <si>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</si>
  <si>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</si>
  <si>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</si>
  <si>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</si>
  <si>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</si>
  <si>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</si>
  <si>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</si>
  <si>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</si>
  <si>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</si>
  <si>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</si>
  <si>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</si>
  <si>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</si>
  <si>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</si>
  <si>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</si>
  <si>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</si>
  <si>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</si>
  <si>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</si>
  <si>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</si>
  <si>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</si>
  <si>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</si>
  <si>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</si>
  <si>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</si>
  <si>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</si>
  <si>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</si>
  <si>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</si>
  <si>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</si>
  <si>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</si>
  <si>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</si>
  <si>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</si>
  <si>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</si>
  <si>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</si>
  <si>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</si>
  <si>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</si>
  <si>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</si>
  <si>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</si>
  <si>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</si>
  <si>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</si>
  <si>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</si>
  <si>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</si>
  <si>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</si>
  <si>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</si>
  <si>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</si>
  <si>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</si>
  <si>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</si>
  <si>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</si>
  <si>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</si>
  <si>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</si>
  <si>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</si>
  <si>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</si>
  <si>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</si>
  <si>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</si>
  <si>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</si>
  <si>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</si>
  <si>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</si>
  <si>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</si>
  <si>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</si>
  <si>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</si>
  <si>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</si>
  <si>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</si>
  <si>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</si>
  <si>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</si>
  <si>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</si>
  <si>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</si>
  <si>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</si>
  <si>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</si>
  <si>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</si>
  <si>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</si>
  <si>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</si>
  <si>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</si>
  <si>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</si>
  <si>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</si>
  <si>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</si>
  <si>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</si>
  <si>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</si>
  <si>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</si>
  <si>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</si>
  <si>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</si>
  <si>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</si>
  <si>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</si>
  <si>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</si>
  <si>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</si>
  <si>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</si>
  <si>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</si>
  <si>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</si>
  <si>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</si>
  <si>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</si>
  <si>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</si>
  <si>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</si>
  <si>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</si>
  <si>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</si>
  <si>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</si>
  <si>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</si>
  <si>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</si>
  <si>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</si>
  <si>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</si>
  <si>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</si>
  <si>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</si>
  <si>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</si>
  <si>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</si>
  <si>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</si>
  <si>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</si>
  <si>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</si>
  <si>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</si>
  <si>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</si>
  <si>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</si>
  <si>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</si>
  <si>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</si>
  <si>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</si>
  <si>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</si>
  <si>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</si>
  <si>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</si>
  <si>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</si>
  <si>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</si>
  <si>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</si>
  <si>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</si>
  <si>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</si>
  <si>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</si>
  <si>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</si>
  <si>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</si>
  <si>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</si>
  <si>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</si>
  <si>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</si>
  <si>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</si>
  <si>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</si>
  <si>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</si>
  <si>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</si>
  <si>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</si>
  <si>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</si>
  <si>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</si>
  <si>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</si>
  <si>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</si>
  <si>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</si>
  <si>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</si>
  <si>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</si>
  <si>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</si>
  <si>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</si>
  <si>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</si>
  <si>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</si>
  <si>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</si>
  <si>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</si>
  <si>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</si>
  <si>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</si>
  <si>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</si>
  <si>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</si>
  <si>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</si>
  <si>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</si>
  <si>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</si>
  <si>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</si>
  <si>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</si>
  <si>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</si>
  <si>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</si>
  <si>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</si>
  <si>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</si>
  <si>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</si>
  <si>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</si>
  <si>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</si>
  <si>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</si>
  <si>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</si>
  <si>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</si>
  <si>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</si>
  <si>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</si>
  <si>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</si>
  <si>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</si>
  <si>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</si>
  <si>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</si>
  <si>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</si>
  <si>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</si>
  <si>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</si>
  <si>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</si>
  <si>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</si>
  <si>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</si>
  <si>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</si>
  <si>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</si>
  <si>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</si>
  <si>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</si>
  <si>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</si>
  <si>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</si>
  <si>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</si>
  <si>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</si>
  <si>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</si>
  <si>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</si>
  <si>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</si>
  <si>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</si>
  <si>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</si>
  <si>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</si>
  <si>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</si>
  <si>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</si>
  <si>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</si>
  <si>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</si>
  <si>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</si>
  <si>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</si>
  <si>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</si>
  <si>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</si>
  <si>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</si>
  <si>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</si>
  <si>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</si>
  <si>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</si>
  <si>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</si>
  <si>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</si>
  <si>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</si>
  <si>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</si>
  <si>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</si>
  <si>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</si>
  <si>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</si>
  <si>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</si>
  <si>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</si>
  <si>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</si>
  <si>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</si>
  <si>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</si>
  <si>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</si>
  <si>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</si>
  <si>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</si>
  <si>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</si>
  <si>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</si>
  <si>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</si>
  <si>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</si>
  <si>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</si>
  <si>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</si>
  <si>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</si>
  <si>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</si>
  <si>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</si>
  <si>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</si>
  <si>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</si>
  <si>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</si>
  <si>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</si>
  <si>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</si>
  <si>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</si>
  <si>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</si>
  <si>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</si>
  <si>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</si>
  <si>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</si>
  <si>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</si>
  <si>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</si>
  <si>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</si>
  <si>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</si>
  <si>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</si>
  <si>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</si>
  <si>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</si>
  <si>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</si>
  <si>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</si>
  <si>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</si>
  <si>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</si>
  <si>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</si>
  <si>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</si>
  <si>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</si>
  <si>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</si>
  <si>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</si>
  <si>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</si>
  <si>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</si>
  <si>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</si>
  <si>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</si>
  <si>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</si>
  <si>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</si>
  <si>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</si>
  <si>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</si>
  <si>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</si>
  <si>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</si>
  <si>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</si>
  <si>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</si>
  <si>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</si>
  <si>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</si>
  <si>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</si>
  <si>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</si>
  <si>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</si>
  <si>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</si>
  <si>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</si>
  <si>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</si>
  <si>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</si>
  <si>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</si>
  <si>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</si>
  <si>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</si>
  <si>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</si>
  <si>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</si>
  <si>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</si>
  <si>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</si>
  <si>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</si>
  <si>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</si>
  <si>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</si>
  <si>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</si>
  <si>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</si>
  <si>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</si>
  <si>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</si>
  <si>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</si>
  <si>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</si>
  <si>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</si>
  <si>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</si>
  <si>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</si>
  <si>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</si>
  <si>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</si>
  <si>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</si>
  <si>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</si>
  <si>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</si>
  <si>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</si>
  <si>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</si>
  <si>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</si>
  <si>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</si>
  <si>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</si>
  <si>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</si>
  <si>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</si>
  <si>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</si>
  <si>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</si>
  <si>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</si>
  <si>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</si>
  <si>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</si>
  <si>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</si>
  <si>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</si>
  <si>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</si>
  <si>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</si>
  <si>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</si>
  <si>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</si>
  <si>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</si>
  <si>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</si>
  <si>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</si>
  <si>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</si>
  <si>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</si>
  <si>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</si>
  <si>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</si>
  <si>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</si>
  <si>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</si>
  <si>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</si>
  <si>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</si>
  <si>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</si>
  <si>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</si>
  <si>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</si>
  <si>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</si>
  <si>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</si>
  <si>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</si>
  <si>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</si>
  <si>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</si>
  <si>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</si>
  <si>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</si>
  <si>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</si>
  <si>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</si>
  <si>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</si>
  <si>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</si>
  <si>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</si>
  <si>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</si>
  <si>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</si>
  <si>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</si>
  <si>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</si>
  <si>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</si>
  <si>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</si>
  <si>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</si>
  <si>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</si>
  <si>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</si>
  <si>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</si>
  <si>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</si>
  <si>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</si>
  <si>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</si>
  <si>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</si>
  <si>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</si>
  <si>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</si>
  <si>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</si>
  <si>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</si>
  <si>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</si>
  <si>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</si>
  <si>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</si>
  <si>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</si>
  <si>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</si>
  <si>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</si>
  <si>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</si>
  <si>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</si>
  <si>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</si>
  <si>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</si>
  <si>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</si>
  <si>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</si>
  <si>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</si>
  <si>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</si>
  <si>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</si>
  <si>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</si>
  <si>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</si>
  <si>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</si>
  <si>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</si>
  <si>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</si>
  <si>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</si>
  <si>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</si>
  <si>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</si>
  <si>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</si>
  <si>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</si>
  <si>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</si>
  <si>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</si>
  <si>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</si>
  <si>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</si>
  <si>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</si>
  <si>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</si>
  <si>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</si>
  <si>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</si>
  <si>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</si>
  <si>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</si>
  <si>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</si>
  <si>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</si>
  <si>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</si>
  <si>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</si>
  <si>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</si>
  <si>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</si>
  <si>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</si>
  <si>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</si>
  <si>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</si>
  <si>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</si>
  <si>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</si>
  <si>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</si>
  <si>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</si>
  <si>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</si>
  <si>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</si>
  <si>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</si>
  <si>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</si>
  <si>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</si>
  <si>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</si>
  <si>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</si>
  <si>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</si>
  <si>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</si>
  <si>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</si>
  <si>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</si>
  <si>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</si>
  <si>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</si>
  <si>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</si>
  <si>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</si>
  <si>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</si>
  <si>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</si>
  <si>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</si>
  <si>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</si>
  <si>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</si>
  <si>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</si>
  <si>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</si>
  <si>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</si>
  <si>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</si>
  <si>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</si>
  <si>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</si>
  <si>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</si>
  <si>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</si>
  <si>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</si>
  <si>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</si>
  <si>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</si>
  <si>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</si>
  <si>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</si>
  <si>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</si>
  <si>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</si>
  <si>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</si>
  <si>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</si>
  <si>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</si>
  <si>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</si>
  <si>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</si>
  <si>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</si>
  <si>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</si>
  <si>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</si>
  <si>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</si>
  <si>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</si>
  <si>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</si>
  <si>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</si>
  <si>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</si>
  <si>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</si>
  <si>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</si>
  <si>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</si>
  <si>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</si>
  <si>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</si>
  <si>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</si>
  <si>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</si>
  <si>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</si>
  <si>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</si>
  <si>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</si>
  <si>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</si>
  <si>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</si>
  <si>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</si>
  <si>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</si>
  <si>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</si>
  <si>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</si>
  <si>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</si>
  <si>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</si>
  <si>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</si>
  <si>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</si>
  <si>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</si>
  <si>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</si>
  <si>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</si>
  <si>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</si>
  <si>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</si>
  <si>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</si>
  <si>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</si>
  <si>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</si>
  <si>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</si>
  <si>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</si>
  <si>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</si>
  <si>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</si>
  <si>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</si>
  <si>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</si>
  <si>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</si>
  <si>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</si>
  <si>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</si>
  <si>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</si>
  <si>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</si>
  <si>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</si>
  <si>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</si>
  <si>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</si>
  <si>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</si>
  <si>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</si>
  <si>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</si>
  <si>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</si>
  <si>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</si>
  <si>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</si>
  <si>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</si>
  <si>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</si>
  <si>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</si>
  <si>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</si>
  <si>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</si>
  <si>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</si>
  <si>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</si>
  <si>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</si>
  <si>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</si>
  <si>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</si>
  <si>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</si>
  <si>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</si>
  <si>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</si>
  <si>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</si>
  <si>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</si>
  <si>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</si>
  <si>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</si>
  <si>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</si>
  <si>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</si>
  <si>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</si>
  <si>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</si>
  <si>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</si>
  <si>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</si>
  <si>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</si>
  <si>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</si>
  <si>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</si>
  <si>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</si>
  <si>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</si>
  <si>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</si>
  <si>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</si>
  <si>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</si>
  <si>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</si>
  <si>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</si>
  <si>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</si>
  <si>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</si>
  <si>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</si>
  <si>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</si>
  <si>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</si>
  <si>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</si>
  <si>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</si>
  <si>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</si>
  <si>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</si>
  <si>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</si>
  <si>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</si>
  <si>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</si>
  <si>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</si>
  <si>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</si>
  <si>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</si>
  <si>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</si>
  <si>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</si>
  <si>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</si>
  <si>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</si>
  <si>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</si>
  <si>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</si>
  <si>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</si>
  <si>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</si>
  <si>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</si>
  <si>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</si>
  <si>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</si>
  <si>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</si>
  <si>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</si>
  <si>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</si>
  <si>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</si>
  <si>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</si>
  <si>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</si>
  <si>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</si>
  <si>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</si>
  <si>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</si>
  <si>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</si>
  <si>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</si>
  <si>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</si>
  <si>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</si>
  <si>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</si>
  <si>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</si>
  <si>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</si>
  <si>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</si>
  <si>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</si>
  <si>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</si>
  <si>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</si>
  <si>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</si>
  <si>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</si>
  <si>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</si>
  <si>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</si>
  <si>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</si>
  <si>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</si>
  <si>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</si>
  <si>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</si>
  <si>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</si>
  <si>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</si>
  <si>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</si>
  <si>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</si>
  <si>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</si>
  <si>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</si>
  <si>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</si>
  <si>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</si>
  <si>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</si>
  <si>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</si>
  <si>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</si>
  <si>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</si>
  <si>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</si>
  <si>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</si>
  <si>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</si>
  <si>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</si>
  <si>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</si>
  <si>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</si>
  <si>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</si>
  <si>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</si>
  <si>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</si>
  <si>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</si>
  <si>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</si>
  <si>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</si>
  <si>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</si>
  <si>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</si>
  <si>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</si>
  <si>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</si>
  <si>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</si>
  <si>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</si>
  <si>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</si>
  <si>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</si>
  <si>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</si>
  <si>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</si>
  <si>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</si>
  <si>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</si>
  <si>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</si>
  <si>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</si>
  <si>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</si>
  <si>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</si>
  <si>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</si>
  <si>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</si>
  <si>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</si>
  <si>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</si>
  <si>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</si>
  <si>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</si>
  <si>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</si>
  <si>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</si>
  <si>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</si>
  <si>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</si>
  <si>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</si>
  <si>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</si>
  <si>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</si>
  <si>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</si>
  <si>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</si>
  <si>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</si>
  <si>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</si>
  <si>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</si>
  <si>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</si>
  <si>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</si>
  <si>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</si>
  <si>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</si>
  <si>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</si>
  <si>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</si>
  <si>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</si>
  <si>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</si>
  <si>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</si>
  <si>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</si>
  <si>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</si>
  <si>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</si>
  <si>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</si>
  <si>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</si>
  <si>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</si>
  <si>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</si>
  <si>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</si>
  <si>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</si>
  <si>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</si>
  <si>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</si>
  <si>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</si>
  <si>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</si>
  <si>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</si>
  <si>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</si>
  <si>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</si>
  <si>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</si>
  <si>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</si>
  <si>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</si>
  <si>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</si>
  <si>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</si>
  <si>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</si>
  <si>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</si>
  <si>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</si>
  <si>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</si>
  <si>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</si>
  <si>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</si>
  <si>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</si>
  <si>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</si>
  <si>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</si>
  <si>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</si>
  <si>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</si>
  <si>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</si>
  <si>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</si>
  <si>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</si>
  <si>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</si>
  <si>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</si>
  <si>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</si>
  <si>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</si>
  <si>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</si>
  <si>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</si>
  <si>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</si>
  <si>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</si>
  <si>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</si>
  <si>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</si>
  <si>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</si>
  <si>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</si>
  <si>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</si>
  <si>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</si>
  <si>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</si>
  <si>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</si>
  <si>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</si>
  <si>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</si>
  <si>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</si>
  <si>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</si>
  <si>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</si>
  <si>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</si>
  <si>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</si>
  <si>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</si>
  <si>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</si>
  <si>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</si>
  <si>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</si>
  <si>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</si>
  <si>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</si>
  <si>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</si>
  <si>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</si>
  <si>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</si>
  <si>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</si>
  <si>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</si>
  <si>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</si>
  <si>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</si>
  <si>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</si>
  <si>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</si>
  <si>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</si>
  <si>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</si>
  <si>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</si>
  <si>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</si>
  <si>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</si>
  <si>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</si>
  <si>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</si>
  <si>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</si>
  <si>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</si>
  <si>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</si>
  <si>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</si>
  <si>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</si>
  <si>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</si>
  <si>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</si>
  <si>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</si>
  <si>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</si>
  <si>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</si>
  <si>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</si>
  <si>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</si>
  <si>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</si>
  <si>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</si>
  <si>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</si>
  <si>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</si>
  <si>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</si>
  <si>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</si>
  <si>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</si>
  <si>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</si>
  <si>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</si>
  <si>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</si>
  <si>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</si>
  <si>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</si>
  <si>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</si>
  <si>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</si>
  <si>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</si>
  <si>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</si>
  <si>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</si>
  <si>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</si>
  <si>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</si>
  <si>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</si>
  <si>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</si>
  <si>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</si>
  <si>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</si>
  <si>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</si>
  <si>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</si>
  <si>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</si>
  <si>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</si>
  <si>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</si>
  <si>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</si>
  <si>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</si>
  <si>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</si>
  <si>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</si>
  <si>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</si>
  <si>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</si>
  <si>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</si>
  <si>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</si>
  <si>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</si>
  <si>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</si>
  <si>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</si>
  <si>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</si>
  <si>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</si>
  <si>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</si>
  <si>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</si>
  <si>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</si>
  <si>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</si>
  <si>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</si>
  <si>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</si>
  <si>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</si>
  <si>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</si>
  <si>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</si>
  <si>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</si>
  <si>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</si>
  <si>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</si>
  <si>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</si>
  <si>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</si>
  <si>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</si>
  <si>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</si>
  <si>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</si>
  <si>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</si>
  <si>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</si>
  <si>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</si>
  <si>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</si>
  <si>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</si>
  <si>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</si>
  <si>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</si>
  <si>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</si>
  <si>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</si>
  <si>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</si>
  <si>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</si>
  <si>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</si>
  <si>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</si>
  <si>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</si>
  <si>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</si>
  <si>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</si>
  <si>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</si>
  <si>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</si>
  <si>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</si>
  <si>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</si>
  <si>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</si>
  <si>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</si>
  <si>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</si>
  <si>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</si>
  <si>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</si>
  <si>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</si>
  <si>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</si>
  <si>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</si>
  <si>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</si>
  <si>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</si>
  <si>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</si>
  <si>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</si>
  <si>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</si>
  <si>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</si>
  <si>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</si>
  <si>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</si>
  <si>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</si>
  <si>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</si>
  <si>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</si>
  <si>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</si>
  <si>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</si>
  <si>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</si>
  <si>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</si>
  <si>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</si>
  <si>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</si>
  <si>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</si>
  <si>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</si>
  <si>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</si>
  <si>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</si>
  <si>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</si>
  <si>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</si>
  <si>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</si>
  <si>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</si>
  <si>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</si>
  <si>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</si>
  <si>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</si>
  <si>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</si>
  <si>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</si>
  <si>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</si>
  <si>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</si>
  <si>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</si>
  <si>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</si>
  <si>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</si>
  <si>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</si>
  <si>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</si>
  <si>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</si>
  <si>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</si>
  <si>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</si>
  <si>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</si>
  <si>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</si>
  <si>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</si>
  <si>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</si>
  <si>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</si>
  <si>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</si>
  <si>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</si>
  <si>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</si>
  <si>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</si>
  <si>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</si>
  <si>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</si>
  <si>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</si>
  <si>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</si>
  <si>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</si>
  <si>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</si>
  <si>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</si>
  <si>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</si>
  <si>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</si>
  <si>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</si>
  <si>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</si>
  <si>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</si>
  <si>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</si>
  <si>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</si>
  <si>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</si>
  <si>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</si>
  <si>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</si>
  <si>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</si>
  <si>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</si>
  <si>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</si>
  <si>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</si>
  <si>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</si>
  <si>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</si>
  <si>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</si>
  <si>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</si>
  <si>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</si>
  <si>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</si>
  <si>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</si>
  <si>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</si>
  <si>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</si>
  <si>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</si>
  <si>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</si>
  <si>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</si>
  <si>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</si>
  <si>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</si>
  <si>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</si>
  <si>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</si>
  <si>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</si>
  <si>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</si>
  <si>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</si>
  <si>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</si>
  <si>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</si>
  <si>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</si>
  <si>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</si>
  <si>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</si>
  <si>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</si>
  <si>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</si>
  <si>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</si>
  <si>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</si>
  <si>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</si>
  <si>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</si>
  <si>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</si>
  <si>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</si>
  <si>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</si>
  <si>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</si>
  <si>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</si>
  <si>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</si>
  <si>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</si>
  <si>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</si>
  <si>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</si>
  <si>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</si>
  <si>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</si>
  <si>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</si>
  <si>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</si>
  <si>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</si>
  <si>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</si>
  <si>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</si>
  <si>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</si>
  <si>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</si>
  <si>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</si>
  <si>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</si>
  <si>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</si>
  <si>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</si>
  <si>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</si>
  <si>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</si>
  <si>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</si>
  <si>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</si>
  <si>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</si>
  <si>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</si>
  <si>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</si>
  <si>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</si>
  <si>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</si>
  <si>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</si>
  <si>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</si>
  <si>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</si>
  <si>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</si>
  <si>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</si>
  <si>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</si>
  <si>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</si>
  <si>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</si>
  <si>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</si>
  <si>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</si>
  <si>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</si>
  <si>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</si>
  <si>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</si>
  <si>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</si>
  <si>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</si>
  <si>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</si>
  <si>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</si>
  <si>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</si>
  <si>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</si>
  <si>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</si>
  <si>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</si>
  <si>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</si>
  <si>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</si>
  <si>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</si>
  <si>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</si>
  <si>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</si>
  <si>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</si>
  <si>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</si>
  <si>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</si>
  <si>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</si>
  <si>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</si>
  <si>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</si>
  <si>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</si>
  <si>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</si>
  <si>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</si>
  <si>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</si>
  <si>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</si>
  <si>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</si>
  <si>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</si>
  <si>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</si>
  <si>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</si>
  <si>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</si>
  <si>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</si>
  <si>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</si>
  <si>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</si>
  <si>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</si>
  <si>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</si>
  <si>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</si>
  <si>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</si>
  <si>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</si>
  <si>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</si>
  <si>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</si>
  <si>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</si>
  <si>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</si>
  <si>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</si>
  <si>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</si>
  <si>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</si>
  <si>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</si>
  <si>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</si>
  <si>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</si>
  <si>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</si>
  <si>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</si>
  <si>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</si>
  <si>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</si>
  <si>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</si>
  <si>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</si>
  <si>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</si>
  <si>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</si>
  <si>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</si>
  <si>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</si>
  <si>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</si>
  <si>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</si>
  <si>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</si>
  <si>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</si>
  <si>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</si>
  <si>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</si>
  <si>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</si>
  <si>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</si>
  <si>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</si>
  <si>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</si>
  <si>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</si>
  <si>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</si>
  <si>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</si>
  <si>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</si>
  <si>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</si>
  <si>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</si>
  <si>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</si>
  <si>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</si>
  <si>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</si>
  <si>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</si>
  <si>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</si>
  <si>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</si>
  <si>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</si>
  <si>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</si>
  <si>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</si>
  <si>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</si>
  <si>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</si>
  <si>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</si>
  <si>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</si>
  <si>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</si>
  <si>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</si>
  <si>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</si>
  <si>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</si>
  <si>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</si>
  <si>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</si>
  <si>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</si>
  <si>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</si>
  <si>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</si>
  <si>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</si>
  <si>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</si>
  <si>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</si>
  <si>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</si>
  <si>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</si>
  <si>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</si>
  <si>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</si>
  <si>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</si>
  <si>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</si>
  <si>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</si>
  <si>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</si>
  <si>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</si>
  <si>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</si>
  <si>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</si>
  <si>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</si>
  <si>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</si>
  <si>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</si>
  <si>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</si>
  <si>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</si>
  <si>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</si>
  <si>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</si>
  <si>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</si>
  <si>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</si>
  <si>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</si>
  <si>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</si>
  <si>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</si>
  <si>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</si>
  <si>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</si>
  <si>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</si>
  <si>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</si>
  <si>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</si>
  <si>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</si>
  <si>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</si>
  <si>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</si>
  <si>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</si>
  <si>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</si>
  <si>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</si>
  <si>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</si>
  <si>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</si>
  <si>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</si>
  <si>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</si>
  <si>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</si>
  <si>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</si>
  <si>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</si>
  <si>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</si>
  <si>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</si>
  <si>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</si>
  <si>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</si>
  <si>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</si>
  <si>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</si>
  <si>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</si>
  <si>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</si>
  <si>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</si>
  <si>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</si>
  <si>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</si>
  <si>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</si>
  <si>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</si>
  <si>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</si>
  <si>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</si>
  <si>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</si>
  <si>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</si>
  <si>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</si>
  <si>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</si>
  <si>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</si>
  <si>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</si>
  <si>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</si>
  <si>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</si>
  <si>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</si>
  <si>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</si>
  <si>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</si>
  <si>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</si>
  <si>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</si>
  <si>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</si>
  <si>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</si>
  <si>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</si>
  <si>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</si>
  <si>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</si>
  <si>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</si>
  <si>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</si>
  <si>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</si>
  <si>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</si>
  <si>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</si>
  <si>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</si>
  <si>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</si>
  <si>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</si>
  <si>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</si>
  <si>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</si>
  <si>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</si>
  <si>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</si>
  <si>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</si>
  <si>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</si>
  <si>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</si>
  <si>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</si>
  <si>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</si>
  <si>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</si>
  <si>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</si>
  <si>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</si>
  <si>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</si>
  <si>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</si>
  <si>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</si>
  <si>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</si>
  <si>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</si>
  <si>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</si>
  <si>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</si>
  <si>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</si>
  <si>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</si>
  <si>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</si>
  <si>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</si>
  <si>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</si>
  <si>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</si>
  <si>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</si>
  <si>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</si>
  <si>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</si>
  <si>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</si>
  <si>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</si>
  <si>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</si>
  <si>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</si>
  <si>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</si>
  <si>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</si>
  <si>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</si>
  <si>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</si>
  <si>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</si>
  <si>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</si>
  <si>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</si>
  <si>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</si>
  <si>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</si>
  <si>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</si>
  <si>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</si>
  <si>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</si>
  <si>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</si>
  <si>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</si>
  <si>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</si>
  <si>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</si>
  <si>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</si>
  <si>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</si>
  <si>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</si>
  <si>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</si>
  <si>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</si>
  <si>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</si>
  <si>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</si>
  <si>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</si>
  <si>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</si>
  <si>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</si>
  <si>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</si>
  <si>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</si>
  <si>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</si>
  <si>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</si>
  <si>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</si>
  <si>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</si>
  <si>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</si>
  <si>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</si>
  <si>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</si>
  <si>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</si>
  <si>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</si>
  <si>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</si>
  <si>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</si>
  <si>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</si>
  <si>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</si>
  <si>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</si>
  <si>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</si>
  <si>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</si>
  <si>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</si>
  <si>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</si>
  <si>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</si>
  <si>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</si>
  <si>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</si>
  <si>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</si>
  <si>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</si>
  <si>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</si>
  <si>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</si>
  <si>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</si>
  <si>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</si>
  <si>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</si>
  <si>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</si>
  <si>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</si>
  <si>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</si>
  <si>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</si>
  <si>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</si>
  <si>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</si>
  <si>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</si>
  <si>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</si>
  <si>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</si>
  <si>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</si>
  <si>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</si>
  <si>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</si>
  <si>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</si>
  <si>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</si>
  <si>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</si>
  <si>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</si>
  <si>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</si>
  <si>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</si>
  <si>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</si>
  <si>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</si>
  <si>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</si>
  <si>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</si>
  <si>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</si>
  <si>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</si>
  <si>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</si>
  <si>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</si>
  <si>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</si>
  <si>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</si>
  <si>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</si>
  <si>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</si>
  <si>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</si>
  <si>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</si>
  <si>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</si>
  <si>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</si>
  <si>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</si>
  <si>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</si>
  <si>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</si>
  <si>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</si>
  <si>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</si>
  <si>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</si>
  <si>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</si>
  <si>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</si>
  <si>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</si>
  <si>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</si>
  <si>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</si>
  <si>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</si>
  <si>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</si>
  <si>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</si>
  <si>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</si>
  <si>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</si>
  <si>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</si>
  <si>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</si>
  <si>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</si>
  <si>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</si>
  <si>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</si>
  <si>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</si>
  <si>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</si>
  <si>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</si>
  <si>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</si>
  <si>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</si>
  <si>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</si>
  <si>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</si>
  <si>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</si>
  <si>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</si>
  <si>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</si>
  <si>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</si>
  <si>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</si>
  <si>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</si>
  <si>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</si>
  <si>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</si>
  <si>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</si>
  <si>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</si>
  <si>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</si>
  <si>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</si>
  <si>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</si>
  <si>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</si>
  <si>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</si>
  <si>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</si>
  <si>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</si>
  <si>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</si>
  <si>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</si>
  <si>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</si>
  <si>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</si>
  <si>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</si>
  <si>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</si>
  <si>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</si>
  <si>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</si>
  <si>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</si>
  <si>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</si>
  <si>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</si>
  <si>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</si>
  <si>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</si>
  <si>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</si>
  <si>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</si>
  <si>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</si>
  <si>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</si>
  <si>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</si>
  <si>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</si>
  <si>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</si>
  <si>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</si>
  <si>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</si>
  <si>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</si>
  <si>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</si>
  <si>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</si>
  <si>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</si>
  <si>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</si>
  <si>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</si>
  <si>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</si>
  <si>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</si>
  <si>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</si>
  <si>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</si>
  <si>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</si>
  <si>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</si>
  <si>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</si>
  <si>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</si>
  <si>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</si>
  <si>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</si>
  <si>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</si>
  <si>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</si>
  <si>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</si>
  <si>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</si>
  <si>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</si>
  <si>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</si>
  <si>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</si>
  <si>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</si>
  <si>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</si>
  <si>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</si>
  <si>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</si>
  <si>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</si>
  <si>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</si>
  <si>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</si>
  <si>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</si>
  <si>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</si>
  <si>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</si>
  <si>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</si>
  <si>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</si>
  <si>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</si>
  <si>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</si>
  <si>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</si>
  <si>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</si>
  <si>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</si>
  <si>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</si>
  <si>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</si>
  <si>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</si>
  <si>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</si>
  <si>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</si>
  <si>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</si>
  <si>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</si>
  <si>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</si>
  <si>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</si>
  <si>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</si>
  <si>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</si>
  <si>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</si>
  <si>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</si>
  <si>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</si>
  <si>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</si>
  <si>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</si>
  <si>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</si>
  <si>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</si>
  <si>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</si>
  <si>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</si>
  <si>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</si>
  <si>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</si>
  <si>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</si>
  <si>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</si>
  <si>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</si>
  <si>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</si>
  <si>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</si>
  <si>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</si>
  <si>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</si>
  <si>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</si>
  <si>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</si>
  <si>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</si>
  <si>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</si>
  <si>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</si>
  <si>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</si>
  <si>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</si>
  <si>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</si>
  <si>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</si>
  <si>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</si>
  <si>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</si>
  <si>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</si>
  <si>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</si>
  <si>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</si>
  <si>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</si>
  <si>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</si>
  <si>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</si>
  <si>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</si>
  <si>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</si>
  <si>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</si>
  <si>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</si>
  <si>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</si>
  <si>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</si>
  <si>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</si>
  <si>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</si>
  <si>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</si>
  <si>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</si>
  <si>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</si>
  <si>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</si>
  <si>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</si>
  <si>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</si>
  <si>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</si>
  <si>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</si>
  <si>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</si>
  <si>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</si>
  <si>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</si>
  <si>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</si>
  <si>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</si>
  <si>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</si>
  <si>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</si>
  <si>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</si>
  <si>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</si>
  <si>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</si>
  <si>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</si>
  <si>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</si>
  <si>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</si>
  <si>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</si>
  <si>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</si>
  <si>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</si>
  <si>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</si>
  <si>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</si>
  <si>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</si>
  <si>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</si>
  <si>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</si>
  <si>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</si>
  <si>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</si>
  <si>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</si>
  <si>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</si>
  <si>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</si>
  <si>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</si>
  <si>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</si>
  <si>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</si>
  <si>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</si>
  <si>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</si>
  <si>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</si>
  <si>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</si>
  <si>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</si>
  <si>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</si>
  <si>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</si>
  <si>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</si>
  <si>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</si>
  <si>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</si>
  <si>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</si>
  <si>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</si>
  <si>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</si>
  <si>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</si>
  <si>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</si>
  <si>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</si>
  <si>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</si>
  <si>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</si>
  <si>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</si>
  <si>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</si>
  <si>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</si>
  <si>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</si>
  <si>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</si>
  <si>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</si>
  <si>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</si>
  <si>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</si>
  <si>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</si>
  <si>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</si>
  <si>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</si>
  <si>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</si>
  <si>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</si>
  <si>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</si>
  <si>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</si>
  <si>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</si>
  <si>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</si>
  <si>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</si>
  <si>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</si>
  <si>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</si>
  <si>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</si>
  <si>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</si>
  <si>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</si>
  <si>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</si>
  <si>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</si>
  <si>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</si>
  <si>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</si>
  <si>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</si>
  <si>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</si>
  <si>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</si>
  <si>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</si>
  <si>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</si>
  <si>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</si>
  <si>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</si>
  <si>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</si>
  <si>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</si>
  <si>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</si>
  <si>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</si>
  <si>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</si>
  <si>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</si>
  <si>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</si>
  <si>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</si>
  <si>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</si>
  <si>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</si>
  <si>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</si>
  <si>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</si>
  <si>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</si>
  <si>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</si>
  <si>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</si>
  <si>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</si>
  <si>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</si>
  <si>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</si>
  <si>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</si>
  <si>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</si>
  <si>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</si>
  <si>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</si>
  <si>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</si>
  <si>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</si>
  <si>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</si>
  <si>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</si>
  <si>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</si>
  <si>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</si>
  <si>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</si>
  <si>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</si>
  <si>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</si>
  <si>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</si>
  <si>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</si>
  <si>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</si>
  <si>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</si>
  <si>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</si>
  <si>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</si>
  <si>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</si>
  <si>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</si>
  <si>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</si>
  <si>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</si>
  <si>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</si>
  <si>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</si>
  <si>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</si>
  <si>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</si>
  <si>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</si>
  <si>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</si>
  <si>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</si>
  <si>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</si>
  <si>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</si>
  <si>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</si>
  <si>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</si>
  <si>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</si>
  <si>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</si>
  <si>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</si>
  <si>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</si>
  <si>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</si>
  <si>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</si>
  <si>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</si>
  <si>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</si>
  <si>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</si>
  <si>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</si>
  <si>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</si>
  <si>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</si>
  <si>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</si>
  <si>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</si>
  <si>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</si>
  <si>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</si>
  <si>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</si>
  <si>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</si>
  <si>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</si>
  <si>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</si>
  <si>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</si>
  <si>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</si>
  <si>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</si>
  <si>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</si>
  <si>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</si>
  <si>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</si>
  <si>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</si>
  <si>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</si>
  <si>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</si>
  <si>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</si>
  <si>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</si>
  <si>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</si>
  <si>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</si>
  <si>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</si>
  <si>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</si>
  <si>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</si>
  <si>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</si>
  <si>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</si>
  <si>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</si>
  <si>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</si>
  <si>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</si>
  <si>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</si>
  <si>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</si>
  <si>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</si>
  <si>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</si>
  <si>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</si>
  <si>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</si>
  <si>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</si>
  <si>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</si>
  <si>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</si>
  <si>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</si>
  <si>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</si>
  <si>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</si>
  <si>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</si>
  <si>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</si>
  <si>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</si>
  <si>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</si>
  <si>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</si>
  <si>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</si>
  <si>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</si>
  <si>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</si>
  <si>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</si>
  <si>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</si>
  <si>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</si>
  <si>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</si>
  <si>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</si>
  <si>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</si>
  <si>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</si>
  <si>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</si>
  <si>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</si>
  <si>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</si>
  <si>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</si>
  <si>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</si>
  <si>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</si>
  <si>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</si>
  <si>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</si>
  <si>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</si>
  <si>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</si>
  <si>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</si>
  <si>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</si>
  <si>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</si>
  <si>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</si>
  <si>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</si>
  <si>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</si>
  <si>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</si>
  <si>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</si>
  <si>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</si>
  <si>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</si>
  <si>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</si>
  <si>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</si>
  <si>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</si>
  <si>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</si>
  <si>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</si>
  <si>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</si>
  <si>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</si>
  <si>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</si>
  <si>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</si>
  <si>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</si>
  <si>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</si>
  <si>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</si>
  <si>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</si>
  <si>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</si>
  <si>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</si>
  <si>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</si>
  <si>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</si>
  <si>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</si>
  <si>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</si>
  <si>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</si>
  <si>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</si>
  <si>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</si>
  <si>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</si>
  <si>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</si>
  <si>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</si>
  <si>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</si>
  <si>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</si>
  <si>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</si>
  <si>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</si>
  <si>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</si>
  <si>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</si>
  <si>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</si>
  <si>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</si>
  <si>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</si>
  <si>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</si>
  <si>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</si>
  <si>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</si>
  <si>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</si>
  <si>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</si>
  <si>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</si>
  <si>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</si>
  <si>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</si>
  <si>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</si>
  <si>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</si>
  <si>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</si>
  <si>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</si>
  <si>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</si>
  <si>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</si>
  <si>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</si>
  <si>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</si>
  <si>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</si>
  <si>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</si>
  <si>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</si>
  <si>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</si>
  <si>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</si>
  <si>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</si>
  <si>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</si>
  <si>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</si>
  <si>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</si>
  <si>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</si>
  <si>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</si>
  <si>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</si>
  <si>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</si>
  <si>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</si>
  <si>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</si>
  <si>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</si>
  <si>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</si>
  <si>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</si>
  <si>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</si>
  <si>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</si>
  <si>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</si>
  <si>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</si>
  <si>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</si>
  <si>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</si>
  <si>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</si>
  <si>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</si>
  <si>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</si>
  <si>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</si>
  <si>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</si>
  <si>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</si>
  <si>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</si>
  <si>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</si>
  <si>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</si>
  <si>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</si>
  <si>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</si>
  <si>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</si>
  <si>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</si>
  <si>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</si>
  <si>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</si>
  <si>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</si>
  <si>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</si>
  <si>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</si>
  <si>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</si>
  <si>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</si>
  <si>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</si>
  <si>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</si>
  <si>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</si>
  <si>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</si>
  <si>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</si>
  <si>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</si>
  <si>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</si>
  <si>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</si>
  <si>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</si>
  <si>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</si>
  <si>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</si>
  <si>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</si>
  <si>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</si>
  <si>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</si>
  <si>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</si>
  <si>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</si>
  <si>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</si>
  <si>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</si>
  <si>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</si>
  <si>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</si>
  <si>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</si>
  <si>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</si>
  <si>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</si>
  <si>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</si>
  <si>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</si>
  <si>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</si>
  <si>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</si>
  <si>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</si>
  <si>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</si>
  <si>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</si>
  <si>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</si>
  <si>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</si>
  <si>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</si>
  <si>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</si>
  <si>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</si>
  <si>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</si>
  <si>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</si>
  <si>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</si>
  <si>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</si>
  <si>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</si>
  <si>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</si>
  <si>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</si>
  <si>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</si>
  <si>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</si>
  <si>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</si>
  <si>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</si>
  <si>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</si>
  <si>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</si>
  <si>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</si>
  <si>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</si>
  <si>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</si>
  <si>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</si>
  <si>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</si>
  <si>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</si>
  <si>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</si>
  <si>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</si>
  <si>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</si>
  <si>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</si>
  <si>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</si>
  <si>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</si>
  <si>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</si>
  <si>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</si>
  <si>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</si>
  <si>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</si>
  <si>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</si>
  <si>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</si>
  <si>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</si>
  <si>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</si>
  <si>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</si>
  <si>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</si>
  <si>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</si>
  <si>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</si>
  <si>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</si>
  <si>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</si>
  <si>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</si>
  <si>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</si>
  <si>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</si>
  <si>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</si>
  <si>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</si>
  <si>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</si>
  <si>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</si>
  <si>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</si>
  <si>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</si>
  <si>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</si>
  <si>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</si>
  <si>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</si>
  <si>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</si>
  <si>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</si>
  <si>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</si>
  <si>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</si>
  <si>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</si>
  <si>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</si>
  <si>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</si>
  <si>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</si>
  <si>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</si>
  <si>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</si>
  <si>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</si>
  <si>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</si>
  <si>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</si>
  <si>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</si>
  <si>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</si>
  <si>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</si>
  <si>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</si>
  <si>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</si>
  <si>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</si>
  <si>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</si>
  <si>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</si>
  <si>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</si>
  <si>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</si>
  <si>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</si>
  <si>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</si>
  <si>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</si>
  <si>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</si>
  <si>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</si>
  <si>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</si>
  <si>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</si>
  <si>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</si>
  <si>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</si>
  <si>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</si>
  <si>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</si>
  <si>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</si>
  <si>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</si>
  <si>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</si>
  <si>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</si>
  <si>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</si>
  <si>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</si>
  <si>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</si>
  <si>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</si>
  <si>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</si>
  <si>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</si>
  <si>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</si>
  <si>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</si>
  <si>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</si>
  <si>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</si>
  <si>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</si>
  <si>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</si>
  <si>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</si>
  <si>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</si>
  <si>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</si>
  <si>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</si>
  <si>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</si>
  <si>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</si>
  <si>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</si>
  <si>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</si>
  <si>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</si>
  <si>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</si>
  <si>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</si>
  <si>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</si>
  <si>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</si>
  <si>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</si>
  <si>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</si>
  <si>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</si>
  <si>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</si>
  <si>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</si>
  <si>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</si>
  <si>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</si>
  <si>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</si>
  <si>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</si>
  <si>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</si>
  <si>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</si>
  <si>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</si>
  <si>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</si>
  <si>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</si>
  <si>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</si>
  <si>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</si>
  <si>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</si>
  <si>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</si>
  <si>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</si>
  <si>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</si>
  <si>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</si>
  <si>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</si>
  <si>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</si>
  <si>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</si>
  <si>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</si>
  <si>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</si>
  <si>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</si>
  <si>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</si>
  <si>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</si>
  <si>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</si>
  <si>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</si>
  <si>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</si>
  <si>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</si>
  <si>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</si>
  <si>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</si>
  <si>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</si>
  <si>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</si>
  <si>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</si>
  <si>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</si>
  <si>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</si>
  <si>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</si>
  <si>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</si>
  <si>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</si>
  <si>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</si>
  <si>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</si>
  <si>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</si>
  <si>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</si>
  <si>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</si>
  <si>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</si>
  <si>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</si>
  <si>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</si>
  <si>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</si>
  <si>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</si>
  <si>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</si>
  <si>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</si>
  <si>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</si>
  <si>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</si>
  <si>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</si>
  <si>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</si>
  <si>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</si>
  <si>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</si>
  <si>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</si>
  <si>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</si>
  <si>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</si>
  <si>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</si>
  <si>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</si>
  <si>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</si>
  <si>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</si>
  <si>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</si>
  <si>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</si>
  <si>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</si>
  <si>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</si>
  <si>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</si>
  <si>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</si>
  <si>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</si>
  <si>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</si>
  <si>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</si>
  <si>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</si>
  <si>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</si>
  <si>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</si>
  <si>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</si>
  <si>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</si>
  <si>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</si>
  <si>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</si>
  <si>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</si>
  <si>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</si>
  <si>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</si>
  <si>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</si>
  <si>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</si>
  <si>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</si>
  <si>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</si>
  <si>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</si>
  <si>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</si>
  <si>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</si>
  <si>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</si>
  <si>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</si>
  <si>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</si>
  <si>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</si>
  <si>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</si>
  <si>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</si>
  <si>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</si>
  <si>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</si>
  <si>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</si>
  <si>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</si>
  <si>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</si>
  <si>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</si>
  <si>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</si>
  <si>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</si>
  <si>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</si>
  <si>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</si>
  <si>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</si>
  <si>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</si>
  <si>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</si>
  <si>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</si>
  <si>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</si>
  <si>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</si>
  <si>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</si>
  <si>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</si>
  <si>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</si>
  <si>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</si>
  <si>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</si>
  <si>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</si>
  <si>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</si>
  <si>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</si>
  <si>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</si>
  <si>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</si>
  <si>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</si>
  <si>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</si>
  <si>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</si>
  <si>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</si>
  <si>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</si>
  <si>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</si>
  <si>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</si>
  <si>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</si>
  <si>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</si>
  <si>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</si>
  <si>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</si>
  <si>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</si>
  <si>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</si>
  <si>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</si>
  <si>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</si>
  <si>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</si>
  <si>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</si>
  <si>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</si>
  <si>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</si>
  <si>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</si>
  <si>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</si>
  <si>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</si>
  <si>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</si>
  <si>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</si>
  <si>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</si>
  <si>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</si>
  <si>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</si>
  <si>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</si>
  <si>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</si>
  <si>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</si>
  <si>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</si>
  <si>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</si>
  <si>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</si>
  <si>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</si>
  <si>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</si>
  <si>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</si>
  <si>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</si>
  <si>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</si>
  <si>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</si>
  <si>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</si>
  <si>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</si>
  <si>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</si>
  <si>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</si>
  <si>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</si>
  <si>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</si>
  <si>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</si>
  <si>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</si>
  <si>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</si>
  <si>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</si>
  <si>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</si>
  <si>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</si>
  <si>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</si>
  <si>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</si>
  <si>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</si>
  <si>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</si>
  <si>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</si>
  <si>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</si>
  <si>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</si>
  <si>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</si>
  <si>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</si>
  <si>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</si>
  <si>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</si>
  <si>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</si>
  <si>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</si>
  <si>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</si>
  <si>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</si>
  <si>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</si>
  <si>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</si>
  <si>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</si>
  <si>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</si>
  <si>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</si>
  <si>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</si>
  <si>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</si>
  <si>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</si>
  <si>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</si>
  <si>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</si>
  <si>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</si>
  <si>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</si>
  <si>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</si>
  <si>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</si>
  <si>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</si>
  <si>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</si>
  <si>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</si>
  <si>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</si>
  <si>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</si>
  <si>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</si>
  <si>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</si>
  <si>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</si>
  <si>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</si>
  <si>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</si>
  <si>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</si>
  <si>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</si>
  <si>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</si>
  <si>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</si>
  <si>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</si>
  <si>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</si>
  <si>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</si>
  <si>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</si>
  <si>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</si>
  <si>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</si>
  <si>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</si>
  <si>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</si>
  <si>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</si>
  <si>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</si>
  <si>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</si>
  <si>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</si>
  <si>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</si>
  <si>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</si>
  <si>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</si>
  <si>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</si>
  <si>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</si>
  <si>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</si>
  <si>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</si>
  <si>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</si>
  <si>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</si>
  <si>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</si>
  <si>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</si>
  <si>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</si>
  <si>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</si>
  <si>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</si>
  <si>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</si>
  <si>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</si>
  <si>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</si>
  <si>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</si>
  <si>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</si>
  <si>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</si>
  <si>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</si>
  <si>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</si>
  <si>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</si>
  <si>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</si>
  <si>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</si>
  <si>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</si>
  <si>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</si>
  <si>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</si>
  <si>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</si>
  <si>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</si>
  <si>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</si>
  <si>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</si>
  <si>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</si>
  <si>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</si>
  <si>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</si>
  <si>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</si>
  <si>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</si>
  <si>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</si>
  <si>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</si>
  <si>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</si>
  <si>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</si>
  <si>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</si>
  <si>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</si>
  <si>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</si>
  <si>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</si>
  <si>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</si>
  <si>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</si>
  <si>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</si>
  <si>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</si>
  <si>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</si>
  <si>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</si>
  <si>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</si>
  <si>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</si>
  <si>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</si>
  <si>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</si>
  <si>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</si>
  <si>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</si>
  <si>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</si>
  <si>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</si>
  <si>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</si>
  <si>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</si>
  <si>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</si>
  <si>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</si>
  <si>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</si>
  <si>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</si>
  <si>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</si>
  <si>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</si>
  <si>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</si>
  <si>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</si>
  <si>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</si>
  <si>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</si>
  <si>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</si>
  <si>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</si>
  <si>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</si>
  <si>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</si>
  <si>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</si>
  <si>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</si>
  <si>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</si>
  <si>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</si>
  <si>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</si>
  <si>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</si>
  <si>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</si>
  <si>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</si>
  <si>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</si>
  <si>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</si>
  <si>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</si>
  <si>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</si>
  <si>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</si>
  <si>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</si>
  <si>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</si>
  <si>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</si>
  <si>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</si>
  <si>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</si>
  <si>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</si>
  <si>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</si>
  <si>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</si>
  <si>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</si>
  <si>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</si>
  <si>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</si>
  <si>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</si>
  <si>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</si>
  <si>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</si>
  <si>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</si>
  <si>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</si>
  <si>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</si>
  <si>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</si>
  <si>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</si>
  <si>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</si>
  <si>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</si>
  <si>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</si>
  <si>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</si>
  <si>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</si>
  <si>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</si>
  <si>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</si>
  <si>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</si>
  <si>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</si>
  <si>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</si>
  <si>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</si>
  <si>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</si>
  <si>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</si>
  <si>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</si>
  <si>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</si>
  <si>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</si>
  <si>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</si>
  <si>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</si>
  <si>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</si>
  <si>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</si>
  <si>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</si>
  <si>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</si>
  <si>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</si>
  <si>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</si>
  <si>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</si>
  <si>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</si>
  <si>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</si>
  <si>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</si>
  <si>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</si>
  <si>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</si>
  <si>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</si>
  <si>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</si>
  <si>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</si>
  <si>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</si>
  <si>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</si>
  <si>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</si>
  <si>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</si>
  <si>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</si>
  <si>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</si>
  <si>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</si>
  <si>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</si>
  <si>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</si>
  <si>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</si>
  <si>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</si>
  <si>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</si>
  <si>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</si>
  <si>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</si>
  <si>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</si>
  <si>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</si>
  <si>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</si>
  <si>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</si>
  <si>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</si>
  <si>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</si>
  <si>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</si>
  <si>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</si>
  <si>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</si>
  <si>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</si>
  <si>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</si>
  <si>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</si>
  <si>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</si>
  <si>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</si>
  <si>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</si>
  <si>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</si>
  <si>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</si>
  <si>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</si>
  <si>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</si>
  <si>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</si>
  <si>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</si>
  <si>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</si>
  <si>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</si>
  <si>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</si>
  <si>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</si>
  <si>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</si>
  <si>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</si>
  <si>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</si>
  <si>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</si>
  <si>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</si>
  <si>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</si>
  <si>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</si>
  <si>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</si>
  <si>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</si>
  <si>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</si>
  <si>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</si>
  <si>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</si>
  <si>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</si>
  <si>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</si>
  <si>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</si>
  <si>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</si>
  <si>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</si>
  <si>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</si>
  <si>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</si>
  <si>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</si>
  <si>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</si>
  <si>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</si>
  <si>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</si>
  <si>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</si>
  <si>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</si>
  <si>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</si>
  <si>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</si>
  <si>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</si>
  <si>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</si>
  <si>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</si>
  <si>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</si>
  <si>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</si>
  <si>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</si>
  <si>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</si>
  <si>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</si>
  <si>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</si>
  <si>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</si>
  <si>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</si>
  <si>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</si>
  <si>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</si>
  <si>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</si>
  <si>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</si>
  <si>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</si>
  <si>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</si>
  <si>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</si>
  <si>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</si>
  <si>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</si>
  <si>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</si>
  <si>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</si>
  <si>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</si>
  <si>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</si>
  <si>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</si>
  <si>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</si>
  <si>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</si>
  <si>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</si>
  <si>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</si>
  <si>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</si>
  <si>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</si>
  <si>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</si>
  <si>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</si>
  <si>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</si>
  <si>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</si>
  <si>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</si>
  <si>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</si>
  <si>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</si>
  <si>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</si>
  <si>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</si>
  <si>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</si>
  <si>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</si>
  <si>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</si>
  <si>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</si>
  <si>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</si>
  <si>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</si>
  <si>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</si>
  <si>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</si>
  <si>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</si>
  <si>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</si>
  <si>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</si>
  <si>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</si>
  <si>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</si>
  <si>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</si>
  <si>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</si>
  <si>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</si>
  <si>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</si>
  <si>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</si>
  <si>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</si>
  <si>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</si>
  <si>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</si>
  <si>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</si>
  <si>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</si>
  <si>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</si>
  <si>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</si>
  <si>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</si>
  <si>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</si>
  <si>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</si>
  <si>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</si>
  <si>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</si>
  <si>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</si>
  <si>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</si>
  <si>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</si>
  <si>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</si>
  <si>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</si>
  <si>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</si>
  <si>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</si>
  <si>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</si>
  <si>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</si>
  <si>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</si>
  <si>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</si>
  <si>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</si>
  <si>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</si>
  <si>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</si>
  <si>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</si>
  <si>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</si>
  <si>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</si>
  <si>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</si>
  <si>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</si>
  <si>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</si>
  <si>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</si>
  <si>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</si>
  <si>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</si>
  <si>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</si>
  <si>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</si>
  <si>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</si>
  <si>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</si>
  <si>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</si>
  <si>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</si>
  <si>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</si>
  <si>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</si>
  <si>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</si>
  <si>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</si>
  <si>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</si>
  <si>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</si>
  <si>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</si>
  <si>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</si>
  <si>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</si>
  <si>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</si>
  <si>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</si>
  <si>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</si>
  <si>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</si>
  <si>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</si>
  <si>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</si>
  <si>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</si>
  <si>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</si>
  <si>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</si>
  <si>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</si>
  <si>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</si>
  <si>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</si>
  <si>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</si>
  <si>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</si>
  <si>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</si>
  <si>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</si>
  <si>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</si>
  <si>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</si>
  <si>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</si>
  <si>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</si>
  <si>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</si>
  <si>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</si>
  <si>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</si>
  <si>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</si>
  <si>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</si>
  <si>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</si>
  <si>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</si>
  <si>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</si>
  <si>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</si>
  <si>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</si>
  <si>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</si>
  <si>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</si>
  <si>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</si>
  <si>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</si>
  <si>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</si>
  <si>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</si>
  <si>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</si>
  <si>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</si>
  <si>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</si>
  <si>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</si>
  <si>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</si>
  <si>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</si>
  <si>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</si>
  <si>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</si>
  <si>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</si>
  <si>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</si>
  <si>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</si>
  <si>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</si>
  <si>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</si>
  <si>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</si>
  <si>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</si>
  <si>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</si>
  <si>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</si>
  <si>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</si>
  <si>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</si>
  <si>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</si>
  <si>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</si>
  <si>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</si>
  <si>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</si>
  <si>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</si>
  <si>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</si>
  <si>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</si>
  <si>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</si>
  <si>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</si>
  <si>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</si>
  <si>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</si>
  <si>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</si>
  <si>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</si>
  <si>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</si>
  <si>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</si>
  <si>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</si>
  <si>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</si>
  <si>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</si>
  <si>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</si>
  <si>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</si>
  <si>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</si>
  <si>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</si>
  <si>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</si>
  <si>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</si>
  <si>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</si>
  <si>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</si>
  <si>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40%/60%</t>
  </si>
  <si>
    <t>30 Hudson Yards</t>
  </si>
  <si>
    <t>New York</t>
  </si>
  <si>
    <t>NY</t>
  </si>
  <si>
    <t>Wes Larmore</t>
  </si>
  <si>
    <t>310-359-0050</t>
  </si>
  <si>
    <t>wlarmore@related.com</t>
  </si>
  <si>
    <t>Rainbow Housing Assistance Corporation</t>
  </si>
  <si>
    <t>18001 N 79th Ave Ste 72E</t>
  </si>
  <si>
    <t>Managing GP</t>
  </si>
  <si>
    <t>Glendale</t>
  </si>
  <si>
    <t>AZ</t>
  </si>
  <si>
    <t>Flynann Janisse</t>
  </si>
  <si>
    <t>480-467-3171</t>
  </si>
  <si>
    <t>fjanisse@rainbowhousing.org</t>
  </si>
  <si>
    <t>Related Affordable</t>
  </si>
  <si>
    <t>Project Developer</t>
  </si>
  <si>
    <t>New York, NY 10001</t>
  </si>
  <si>
    <t>Baker Hostetler</t>
  </si>
  <si>
    <t>111 Congress Avenue Suite 810</t>
  </si>
  <si>
    <t>Austin, TX 78701</t>
  </si>
  <si>
    <t>Sam Hagerty</t>
  </si>
  <si>
    <t>512-215-3214</t>
  </si>
  <si>
    <t>shagerty@bakerlaw.com</t>
  </si>
  <si>
    <t>Dauby, O'Connor &amp; Zaleski, LLC</t>
  </si>
  <si>
    <t>501 Congressional Boulevard</t>
  </si>
  <si>
    <t>Carmel, Indiana 46032</t>
  </si>
  <si>
    <t>Greg A. Wasiak</t>
  </si>
  <si>
    <t>gwasiak@doz.net</t>
  </si>
  <si>
    <t>Peralta Energy</t>
  </si>
  <si>
    <t>4180 Emerald St.</t>
  </si>
  <si>
    <t>Oakland, CA 94609</t>
  </si>
  <si>
    <t>Ben Thompson</t>
  </si>
  <si>
    <t>ben@peraltaenergy.com</t>
  </si>
  <si>
    <t>Hudson Housing</t>
  </si>
  <si>
    <t>630 Fifth Avenue – Suite 2850</t>
  </si>
  <si>
    <t>New York, NY 1011</t>
  </si>
  <si>
    <t>212-218-4497</t>
  </si>
  <si>
    <t>Michael Siroka</t>
  </si>
  <si>
    <t xml:space="preserve">michael.siroka@hudsonhousing.com </t>
  </si>
  <si>
    <t>Partner Engineering and Science Inc.</t>
  </si>
  <si>
    <t>2154 Torrance Blvd</t>
  </si>
  <si>
    <t>Torrance, CA 90501</t>
  </si>
  <si>
    <t>Scott Chiu</t>
  </si>
  <si>
    <t>SChiu@partneresi.com</t>
  </si>
  <si>
    <t>California Municipal Finance Authority</t>
  </si>
  <si>
    <t>2111 Palomar Airport Rd</t>
  </si>
  <si>
    <t>Carlsbad, CA 92011</t>
  </si>
  <si>
    <t>Anthony Stubbs</t>
  </si>
  <si>
    <t>(760) 930-1333</t>
  </si>
  <si>
    <t>astubbs@cmfa-ca.com</t>
  </si>
  <si>
    <t>Appraisal</t>
  </si>
  <si>
    <t>Multifamily Residential</t>
  </si>
  <si>
    <t>Same</t>
  </si>
  <si>
    <t>Recycled Bonds</t>
  </si>
  <si>
    <t>Fannie Mae / Capital One</t>
  </si>
  <si>
    <t>Capital One</t>
  </si>
  <si>
    <t>299 Park Ave, 29th Floor</t>
  </si>
  <si>
    <t>New York, NY</t>
  </si>
  <si>
    <t>Justin Shackleford</t>
  </si>
  <si>
    <t>332-253-8058</t>
  </si>
  <si>
    <t>Construction / Perm Loan</t>
  </si>
  <si>
    <t>630 Fifth Ave - Suite 2850</t>
  </si>
  <si>
    <t>LIHTC Equity</t>
  </si>
  <si>
    <t>Income during construction</t>
  </si>
  <si>
    <t>Deferred Costs (Operating Reserve)</t>
  </si>
  <si>
    <t>Fannie Mae</t>
  </si>
  <si>
    <t xml:space="preserve">Fannie Mae Guaranty </t>
  </si>
  <si>
    <t>HUD Utility Allowance</t>
  </si>
  <si>
    <t>Department of Housing and Urban Development</t>
  </si>
  <si>
    <t>Telecom &amp; Computer</t>
  </si>
  <si>
    <t>Benefits, Payroll Taxes</t>
  </si>
  <si>
    <t>Resident Services</t>
  </si>
  <si>
    <t>HUD</t>
  </si>
  <si>
    <t>Project-based vouchers (PBVs)</t>
  </si>
  <si>
    <t>Other: Lender Application / DD / Inspection</t>
  </si>
  <si>
    <t>Other: Borrower Legal</t>
  </si>
  <si>
    <t>Other: P&amp;P Bond</t>
  </si>
  <si>
    <t>Fixed</t>
  </si>
  <si>
    <t>Rainbow Houisng Assitance Corporation</t>
  </si>
  <si>
    <t>1 bedroom</t>
  </si>
  <si>
    <t>2 bedroom</t>
  </si>
  <si>
    <t>TBD</t>
  </si>
  <si>
    <t>President</t>
  </si>
  <si>
    <t>Secured by Fee Interest</t>
  </si>
  <si>
    <t>CT Housing Preservation, LP</t>
  </si>
  <si>
    <t>City Towers</t>
  </si>
  <si>
    <t>City of Oakland</t>
  </si>
  <si>
    <t>Jestin D. Johnson</t>
  </si>
  <si>
    <t>1 Frank H. Ogawa Plaza</t>
  </si>
  <si>
    <t>Oakland, CA</t>
  </si>
  <si>
    <t>cityadministratorsoffice@oaklandca.gov</t>
  </si>
  <si>
    <t>864</t>
  </si>
  <si>
    <t>1065 8th Street, 1050 7th Street, and 725 Market Street</t>
  </si>
  <si>
    <t>Oakland</t>
  </si>
  <si>
    <t>004-0019-001-09; 004-0005-001-10</t>
  </si>
  <si>
    <t>Administrative GP</t>
  </si>
  <si>
    <t>TBF Related Affordable LLC</t>
  </si>
  <si>
    <t>CA</t>
  </si>
  <si>
    <t>Rainbow Housing</t>
  </si>
  <si>
    <t>TBF Related Affordable SPE</t>
  </si>
  <si>
    <t>KDF City Towers, L.P.</t>
  </si>
  <si>
    <t>2801 West Coast Hwy Suite 250</t>
  </si>
  <si>
    <t>Newport Beach, CA 92663</t>
  </si>
  <si>
    <t>Inner City Infill Site</t>
  </si>
  <si>
    <t>Urban Residential</t>
  </si>
  <si>
    <t>RU-3 / 317 unit max density</t>
  </si>
  <si>
    <t>120 feet</t>
  </si>
  <si>
    <t>Separate garage</t>
  </si>
  <si>
    <t>Other: Affiliated CM</t>
  </si>
  <si>
    <t xml:space="preserve">Turnover </t>
  </si>
  <si>
    <t>Other: Transfer Tax</t>
  </si>
  <si>
    <t>Other: Tax and Insurance Escrow</t>
  </si>
  <si>
    <t>Basis Architecture &amp; Consulting</t>
  </si>
  <si>
    <t>2175 Francisco Blvd East</t>
  </si>
  <si>
    <t>San Rafael, CA 94901</t>
  </si>
  <si>
    <t>Charlie Pick</t>
  </si>
  <si>
    <t>415-233-3778</t>
  </si>
  <si>
    <t>cpick@basisarch.com</t>
  </si>
  <si>
    <t>Gill Group</t>
  </si>
  <si>
    <t>2100 Gill Plaza Drive</t>
  </si>
  <si>
    <t>Dexter, MO, 63841</t>
  </si>
  <si>
    <t>Chlsea Brown</t>
  </si>
  <si>
    <t>800-428-3320</t>
  </si>
  <si>
    <t>chelsea.brown@gillgroup.com</t>
  </si>
  <si>
    <t>Belfry Valuation</t>
  </si>
  <si>
    <t>PO BOX 8140,</t>
  </si>
  <si>
    <t>Bartlett, IL 60103</t>
  </si>
  <si>
    <t>Anna Chapman</t>
  </si>
  <si>
    <t>708-500-2380</t>
  </si>
  <si>
    <t>achapman@belfryvaluation.com</t>
  </si>
  <si>
    <t>RA Management, LLC</t>
  </si>
  <si>
    <t>18201 Von Karman Avenue, Suite 900</t>
  </si>
  <si>
    <t>Irvine, CA 94612</t>
  </si>
  <si>
    <t>Daniel Gutierrez</t>
  </si>
  <si>
    <t>(213) 689-4868</t>
  </si>
  <si>
    <t>jkross@related.com</t>
  </si>
  <si>
    <t>Marquis Hyatt</t>
  </si>
  <si>
    <t>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</si>
</sst>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8" fontId="16"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16" fillId="5" borderId="6" xfId="0" applyNumberFormat="1" applyFont="1" applyFill="1" applyBorder="1" applyAlignment="1" applyProtection="1">
      <alignment horizontal="center"/>
      <protection locked="0"/>
    </xf>
    <xf numFmtId="0" fontId="0" fillId="0" borderId="0" xfId="0" applyAlignment="1">
      <alignment vertical="top" wrapText="1"/>
    </xf>
    <xf numFmtId="0" fontId="16" fillId="0" borderId="0" xfId="271" applyFont="1" applyAlignment="1">
      <alignment horizontal="left" vertical="top" wrapText="1"/>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6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I28" sqref="I2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4" t="s">
        <v>1586</v>
      </c>
      <c r="B1" s="2674"/>
      <c r="C1" s="2674"/>
      <c r="D1" s="2674"/>
      <c r="E1" s="2674"/>
      <c r="F1" s="2674"/>
      <c r="G1" s="2674"/>
      <c r="H1" s="2674"/>
      <c r="I1" s="2674"/>
      <c r="J1" s="267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94579724</v>
      </c>
      <c r="I3" s="1105"/>
    </row>
    <row r="4" spans="1:13" s="1051" customFormat="1" ht="20.100000000000001" customHeight="1">
      <c r="B4" s="1094"/>
      <c r="D4" s="1108"/>
      <c r="F4" s="1092" t="s">
        <v>1992</v>
      </c>
      <c r="G4" s="1091" t="s">
        <v>1991</v>
      </c>
      <c r="H4" s="1093">
        <f>I18</f>
        <v>24672794.117647059</v>
      </c>
      <c r="I4" s="1095"/>
      <c r="K4" s="1055"/>
    </row>
    <row r="5" spans="1:13" s="1051" customFormat="1" ht="20.100000000000001" customHeight="1" thickBot="1">
      <c r="B5" s="1096"/>
      <c r="C5" s="1097"/>
      <c r="D5" s="1109"/>
      <c r="E5" s="1098"/>
      <c r="F5" s="1109" t="s">
        <v>1942</v>
      </c>
      <c r="G5" s="1110"/>
      <c r="H5" s="1106">
        <f>IFERROR(H3/H4,0)</f>
        <v>3.8333608892862463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7" t="s">
        <v>1940</v>
      </c>
      <c r="C8" s="2678"/>
      <c r="D8" s="2678"/>
      <c r="E8" s="2679"/>
      <c r="G8" s="2654" t="s">
        <v>1941</v>
      </c>
      <c r="H8" s="2655"/>
      <c r="I8" s="2656"/>
      <c r="K8" s="1057"/>
    </row>
    <row r="9" spans="1:13" ht="15" customHeight="1">
      <c r="A9" s="1046"/>
      <c r="B9" s="2675" t="s">
        <v>1974</v>
      </c>
      <c r="C9" s="2675"/>
      <c r="D9" s="2675"/>
      <c r="E9" s="1059">
        <f>G33</f>
        <v>12910000</v>
      </c>
      <c r="G9" s="2667" t="s">
        <v>1972</v>
      </c>
      <c r="H9" s="2667"/>
      <c r="I9" s="1060">
        <f>SUMIF(Application!M554:M565,"Loan, Tax-Exempt",Application!AM554:AM565)</f>
        <v>27000000</v>
      </c>
      <c r="K9" s="1061"/>
      <c r="M9" s="1062"/>
    </row>
    <row r="10" spans="1:13" ht="15" customHeight="1" thickBot="1">
      <c r="A10" s="1046"/>
      <c r="B10" s="2675" t="s">
        <v>1975</v>
      </c>
      <c r="C10" s="2675"/>
      <c r="D10" s="2675"/>
      <c r="E10" s="1060">
        <f>G47</f>
        <v>59508324.000000007</v>
      </c>
      <c r="G10" s="2681" t="s">
        <v>1943</v>
      </c>
      <c r="H10" s="2681"/>
      <c r="I10" s="1140">
        <f>'Basis &amp; Credits'!AB78</f>
        <v>0</v>
      </c>
      <c r="M10" s="1062"/>
    </row>
    <row r="11" spans="1:13" ht="15" customHeight="1">
      <c r="A11" s="1046"/>
      <c r="B11" s="2668" t="s">
        <v>2263</v>
      </c>
      <c r="C11" s="2669"/>
      <c r="D11" s="2670"/>
      <c r="E11" s="1060">
        <f>SUM(E12,E13)</f>
        <v>2280000</v>
      </c>
      <c r="G11" s="2666" t="s">
        <v>1983</v>
      </c>
      <c r="H11" s="2666"/>
      <c r="I11" s="1139">
        <f>I9+I10</f>
        <v>27000000</v>
      </c>
      <c r="M11" s="1062"/>
    </row>
    <row r="12" spans="1:13" ht="15" customHeight="1">
      <c r="A12" s="1063"/>
      <c r="B12" s="2676" t="s">
        <v>2265</v>
      </c>
      <c r="C12" s="2676"/>
      <c r="D12" s="2676"/>
      <c r="E12" s="1165">
        <f>G56</f>
        <v>0</v>
      </c>
      <c r="M12" s="1062"/>
    </row>
    <row r="13" spans="1:13" ht="15" customHeight="1">
      <c r="A13" s="1049"/>
      <c r="B13" s="2676" t="s">
        <v>2266</v>
      </c>
      <c r="C13" s="2676"/>
      <c r="D13" s="2676"/>
      <c r="E13" s="1165">
        <f>G65</f>
        <v>2280000</v>
      </c>
      <c r="G13" s="2654" t="s">
        <v>2006</v>
      </c>
      <c r="H13" s="2655"/>
      <c r="I13" s="2656"/>
      <c r="M13" s="1062"/>
    </row>
    <row r="14" spans="1:13" ht="15" customHeight="1">
      <c r="A14" s="1049"/>
      <c r="B14" s="2668" t="s">
        <v>2264</v>
      </c>
      <c r="C14" s="2669"/>
      <c r="D14" s="2670"/>
      <c r="E14" s="1167">
        <f>MAX(E15,E16)+E17</f>
        <v>19881400</v>
      </c>
      <c r="G14" s="2667" t="s">
        <v>139</v>
      </c>
      <c r="H14" s="2667"/>
      <c r="I14" s="1064">
        <f>15%*(AND(G120="Yes",G122&lt;&gt;""))</f>
        <v>0</v>
      </c>
      <c r="M14" s="1062"/>
    </row>
    <row r="15" spans="1:13" ht="15" customHeight="1">
      <c r="A15" s="1049"/>
      <c r="B15" s="2651" t="s">
        <v>2270</v>
      </c>
      <c r="C15" s="2652"/>
      <c r="D15" s="2653"/>
      <c r="E15" s="1165">
        <f>G80</f>
        <v>0</v>
      </c>
      <c r="G15" s="1137" t="s">
        <v>1984</v>
      </c>
      <c r="H15" s="1137"/>
      <c r="I15" s="1064">
        <f>IF(Application!AJ1032&gt;0,10%,IF(Application!AJ1036&gt;0,5%,0))</f>
        <v>0</v>
      </c>
      <c r="M15" s="1062"/>
    </row>
    <row r="16" spans="1:13" ht="15" customHeight="1">
      <c r="A16" s="1049"/>
      <c r="B16" s="2651" t="s">
        <v>2269</v>
      </c>
      <c r="C16" s="2652"/>
      <c r="D16" s="2653"/>
      <c r="E16" s="1165">
        <f>G90</f>
        <v>5164000</v>
      </c>
      <c r="G16" s="2667" t="s">
        <v>1985</v>
      </c>
      <c r="H16" s="2667"/>
      <c r="I16" s="1064">
        <f>G132</f>
        <v>8.6192810457516339E-2</v>
      </c>
    </row>
    <row r="17" spans="1:21" ht="15" customHeight="1" thickBot="1">
      <c r="A17" s="1049"/>
      <c r="B17" s="2651" t="s">
        <v>2268</v>
      </c>
      <c r="C17" s="2652"/>
      <c r="D17" s="2653"/>
      <c r="E17" s="1165">
        <f>G115</f>
        <v>14717400</v>
      </c>
      <c r="G17" s="2667" t="s">
        <v>2278</v>
      </c>
      <c r="H17" s="2667"/>
      <c r="I17" s="1064">
        <f>IF(AND(G139="Yes",OR(G136,G137)),IF(G143&gt;15%,15%,G143),0)</f>
        <v>0</v>
      </c>
    </row>
    <row r="18" spans="1:21" ht="15" customHeight="1">
      <c r="A18" s="1046"/>
      <c r="B18" s="2680" t="s">
        <v>1939</v>
      </c>
      <c r="C18" s="2680"/>
      <c r="D18" s="2680"/>
      <c r="E18" s="1111">
        <f>SUM(E9:E11,E14)</f>
        <v>94579724</v>
      </c>
      <c r="G18" s="1138" t="s">
        <v>1973</v>
      </c>
      <c r="H18" s="1138"/>
      <c r="I18" s="1112">
        <f>I11-((I11*I14)+(I11*I15)+(I11*I16)+(I11*I17))</f>
        <v>24672794.117647059</v>
      </c>
      <c r="M18" s="1065">
        <f>SUM(Cdlac[Quantity])</f>
        <v>229</v>
      </c>
      <c r="O18" s="1084" t="s">
        <v>583</v>
      </c>
      <c r="P18" s="1044">
        <f>MATCH(Application!T189,Application!CB160:CB217,0)</f>
        <v>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17</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16</v>
      </c>
      <c r="N21" s="1071">
        <f>Application!AC719</f>
        <v>0.6</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8" t="s">
        <v>1987</v>
      </c>
      <c r="D22" s="2658" t="s">
        <v>1988</v>
      </c>
      <c r="E22" s="2658" t="s">
        <v>1989</v>
      </c>
      <c r="F22" s="2658" t="s">
        <v>2609</v>
      </c>
      <c r="G22" s="2658" t="s">
        <v>1986</v>
      </c>
      <c r="H22" s="1070"/>
      <c r="I22" s="1069"/>
      <c r="L22" s="1044">
        <f>IFERROR(MIN(4,MATCH(Application!B720,UnitSizes,0)-1),"")</f>
        <v>1</v>
      </c>
      <c r="M22" s="1065">
        <f>Application!G720</f>
        <v>33</v>
      </c>
      <c r="N22" s="1071">
        <f>Application!AC720</f>
        <v>0.3</v>
      </c>
      <c r="O22" s="1071">
        <f>IF(Cdlac[[#This Row],[Quantity]]&gt;0,IF(Cdlac[[#This Row],[Federal]],30%,IF(AND(OR(NOT($G$38),$G$38=""),$G$43),40%,Cdlac[[#This Row],[iAMI]])),"")</f>
        <v>0.3</v>
      </c>
      <c r="P22" s="1065" cm="1">
        <f t="array" ref="P22">IF(Cdlac[[#This Row],[Quantity]]&gt;0,INDEX(TcacRents,$P$18,Cdlac[[#This Row],[Bedrooms]]+1)*Cdlac[[#This Row],[AMI]],"")</f>
        <v>898.8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1302.2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9"/>
      <c r="D23" s="2659"/>
      <c r="E23" s="2659"/>
      <c r="F23" s="2659"/>
      <c r="G23" s="2659"/>
      <c r="H23" s="1070"/>
      <c r="I23" s="1069"/>
      <c r="L23" s="1044">
        <f>IFERROR(MIN(4,MATCH(Application!B721,UnitSizes,0)-1),"")</f>
        <v>1</v>
      </c>
      <c r="M23" s="1065">
        <f>Application!G721</f>
        <v>33</v>
      </c>
      <c r="N23" s="1071">
        <f>Application!AC721</f>
        <v>0.6</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33</v>
      </c>
      <c r="F24" s="1072">
        <f>E24</f>
        <v>33</v>
      </c>
      <c r="G24" s="1072">
        <f>D24*F24</f>
        <v>29.7</v>
      </c>
      <c r="L24" s="1044">
        <f>IFERROR(MIN(4,MATCH(Application!B722,UnitSizes,0)-1),"")</f>
        <v>2</v>
      </c>
      <c r="M24" s="1065">
        <f>Application!G722</f>
        <v>65</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66</v>
      </c>
      <c r="F25" s="1072">
        <f>E25</f>
        <v>66</v>
      </c>
      <c r="G25" s="1072">
        <f>D25*F25</f>
        <v>66</v>
      </c>
      <c r="L25" s="1044">
        <f>IFERROR(MIN(4,MATCH(Application!B723,UnitSizes,0)-1),"")</f>
        <v>2</v>
      </c>
      <c r="M25" s="1065">
        <f>Application!G723</f>
        <v>65</v>
      </c>
      <c r="N25" s="1071">
        <f>Application!AC723</f>
        <v>0.6</v>
      </c>
      <c r="O25" s="1071">
        <f>IF(Cdlac[[#This Row],[Quantity]]&gt;0,IF(Cdlac[[#This Row],[Federal]],30%,IF(AND(OR(NOT($G$38),$G$38=""),$G$43),40%,Cdlac[[#This Row],[iAMI]])),"")</f>
        <v>0.3</v>
      </c>
      <c r="P25" s="1065" cm="1">
        <f t="array" ref="P25">IF(Cdlac[[#This Row],[Quantity]]&gt;0,INDEX(TcacRents,$P$18,Cdlac[[#This Row],[Bedrooms]]+1)*Cdlac[[#This Row],[AMI]],"")</f>
        <v>1078.8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130</v>
      </c>
      <c r="F26" s="1075">
        <f>SUM(E26:E28)-SUM(F27:F28)</f>
        <v>130</v>
      </c>
      <c r="G26" s="1072">
        <f>D26*F26</f>
        <v>162.5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0" t="s">
        <v>1587</v>
      </c>
      <c r="D29" s="2661"/>
      <c r="E29" s="1089">
        <f>SUM(E24:E28)</f>
        <v>229</v>
      </c>
      <c r="F29" s="1089">
        <f>SUM(F24:F28)</f>
        <v>229</v>
      </c>
      <c r="G29" s="1090">
        <f>SUMPRODUCT(D24:D28,F24:F28)</f>
        <v>258.2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258.2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12910000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330601.80000000005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59508324.000000007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114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115</v>
      </c>
    </row>
    <row r="61" spans="2:21" ht="15" customHeight="1">
      <c r="E61" s="1117" t="s">
        <v>1995</v>
      </c>
      <c r="G61" s="1079">
        <f>ROUNDDOWN(E29*50%,0)</f>
        <v>114</v>
      </c>
    </row>
    <row r="62" spans="2:21" ht="15" customHeight="1">
      <c r="E62" s="1117"/>
      <c r="G62" s="1079"/>
    </row>
    <row r="63" spans="2:21" ht="15" customHeight="1">
      <c r="E63" s="1117" t="s">
        <v>1955</v>
      </c>
      <c r="G63" s="1114">
        <f>MIN(G60:G61)</f>
        <v>114</v>
      </c>
    </row>
    <row r="64" spans="2:21" ht="15" customHeight="1">
      <c r="E64" s="1117" t="s">
        <v>1945</v>
      </c>
      <c r="F64" s="1113" t="s">
        <v>1993</v>
      </c>
      <c r="G64" s="1124">
        <v>20000</v>
      </c>
    </row>
    <row r="65" spans="2:14" ht="15" customHeight="1">
      <c r="E65" s="1118" t="s">
        <v>1977</v>
      </c>
      <c r="F65" s="1046"/>
      <c r="G65" s="1123">
        <f>G63*G64</f>
        <v>2280000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Low Resource</v>
      </c>
      <c r="L72" s="2671" t="s">
        <v>1970</v>
      </c>
      <c r="M72" s="2672"/>
      <c r="N72" s="1131">
        <v>30000</v>
      </c>
    </row>
    <row r="73" spans="2:14" ht="15" customHeight="1">
      <c r="C73" s="2673" t="s">
        <v>2262</v>
      </c>
      <c r="D73" s="2673"/>
      <c r="E73" s="2673"/>
      <c r="F73" s="2673"/>
      <c r="G73" s="1043"/>
      <c r="L73" s="2682" t="s">
        <v>1938</v>
      </c>
      <c r="M73" s="2683"/>
      <c r="N73" s="1132">
        <v>20000</v>
      </c>
    </row>
    <row r="74" spans="2:14" ht="15" customHeight="1" thickBot="1">
      <c r="C74" s="2673"/>
      <c r="D74" s="2673"/>
      <c r="E74" s="2673"/>
      <c r="F74" s="2673"/>
      <c r="L74" s="2684" t="s">
        <v>1971</v>
      </c>
      <c r="M74" s="2685"/>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258.2</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258.2</v>
      </c>
    </row>
    <row r="89" spans="2:9" ht="15" customHeight="1">
      <c r="E89" s="1084" t="s">
        <v>1945</v>
      </c>
      <c r="F89" s="1113" t="s">
        <v>1993</v>
      </c>
      <c r="G89" s="1050">
        <v>20000</v>
      </c>
    </row>
    <row r="90" spans="2:9" ht="15" customHeight="1">
      <c r="E90" s="1118" t="s">
        <v>2271</v>
      </c>
      <c r="F90" s="1046"/>
      <c r="G90" s="1123">
        <f>G86*G89*G88</f>
        <v>5164000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258.2</v>
      </c>
    </row>
    <row r="97" spans="2:14" ht="15" customHeight="1">
      <c r="E97" s="1118" t="s">
        <v>1962</v>
      </c>
      <c r="F97" s="1046"/>
      <c r="G97" s="1123">
        <f>G94*G95*G96</f>
        <v>7229600</v>
      </c>
      <c r="L97" s="1127" t="str">
        <f>'Points System'!H638</f>
        <v>(i)</v>
      </c>
      <c r="M97" s="2690" t="s">
        <v>1406</v>
      </c>
      <c r="N97" s="2691"/>
    </row>
    <row r="98" spans="2:14" ht="15" customHeight="1">
      <c r="C98" s="1077"/>
      <c r="G98" s="1114"/>
      <c r="L98" s="1128" t="str">
        <f>'Points System'!H650</f>
        <v>N/A</v>
      </c>
      <c r="M98" s="2686" t="s">
        <v>1957</v>
      </c>
      <c r="N98" s="2687"/>
    </row>
    <row r="99" spans="2:14" ht="15" customHeight="1">
      <c r="E99" s="1084" t="s">
        <v>1998</v>
      </c>
      <c r="G99" s="1126">
        <f>COUNTIFS(L97:L104,"(i)")</f>
        <v>1</v>
      </c>
      <c r="L99" s="1128" t="str">
        <f>'Points System'!H685</f>
        <v>N/A</v>
      </c>
      <c r="M99" s="2686" t="s">
        <v>1958</v>
      </c>
      <c r="N99" s="2687"/>
    </row>
    <row r="100" spans="2:14" ht="15" customHeight="1">
      <c r="E100" s="1084" t="s">
        <v>1945</v>
      </c>
      <c r="F100" s="1113" t="s">
        <v>1993</v>
      </c>
      <c r="G100" s="1124">
        <v>4000</v>
      </c>
      <c r="L100" s="1128" t="str">
        <f>IF(OR('Points System'!H709="(ii)",'Points System'!H709="(i)"),"(i)","N/A")</f>
        <v>N/A</v>
      </c>
      <c r="M100" s="2686" t="s">
        <v>1959</v>
      </c>
      <c r="N100" s="2687"/>
    </row>
    <row r="101" spans="2:14" ht="15" customHeight="1">
      <c r="E101" s="1118" t="s">
        <v>1963</v>
      </c>
      <c r="F101" s="1046"/>
      <c r="G101" s="1123">
        <f>G96*G99*G100</f>
        <v>1032800</v>
      </c>
      <c r="L101" s="1129" t="str">
        <f>'Points System'!H723</f>
        <v>N/A</v>
      </c>
      <c r="M101" s="2686" t="s">
        <v>1432</v>
      </c>
      <c r="N101" s="2687"/>
    </row>
    <row r="102" spans="2:14" ht="15" customHeight="1">
      <c r="L102" s="1128" t="str">
        <f>'Points System'!H735</f>
        <v>N/A</v>
      </c>
      <c r="M102" s="2686" t="s">
        <v>1960</v>
      </c>
      <c r="N102" s="2687"/>
    </row>
    <row r="103" spans="2:14" ht="15" customHeight="1">
      <c r="C103" s="1080" t="s">
        <v>1965</v>
      </c>
      <c r="L103" s="1128" t="str">
        <f>'Points System'!H751</f>
        <v>N/A</v>
      </c>
      <c r="M103" s="2686" t="s">
        <v>1961</v>
      </c>
      <c r="N103" s="2687"/>
    </row>
    <row r="104" spans="2:14" ht="15" customHeight="1" thickBot="1">
      <c r="C104" s="1077" t="s">
        <v>1966</v>
      </c>
      <c r="G104" s="1043"/>
      <c r="L104" s="1130" t="str">
        <f>'Points System'!H763</f>
        <v>N/A</v>
      </c>
      <c r="M104" s="2688" t="s">
        <v>1435</v>
      </c>
      <c r="N104" s="2689"/>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258.2</v>
      </c>
    </row>
    <row r="112" spans="2:14" ht="15" customHeight="1">
      <c r="E112" s="1084" t="s">
        <v>1945</v>
      </c>
      <c r="F112" s="1113" t="s">
        <v>1993</v>
      </c>
      <c r="G112" s="1124">
        <v>25000</v>
      </c>
    </row>
    <row r="113" spans="2:9" ht="15" customHeight="1">
      <c r="E113" s="1118" t="s">
        <v>1964</v>
      </c>
      <c r="F113" s="1046"/>
      <c r="G113" s="1123">
        <f>G109*G112*G96</f>
        <v>6455000</v>
      </c>
    </row>
    <row r="114" spans="2:9" ht="15" customHeight="1">
      <c r="C114" s="1077"/>
      <c r="E114" s="1077"/>
    </row>
    <row r="115" spans="2:9" ht="15" customHeight="1">
      <c r="E115" s="1118" t="s">
        <v>2272</v>
      </c>
      <c r="G115" s="1123">
        <f>G113+G101+G97</f>
        <v>14717400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2" t="s">
        <v>2227</v>
      </c>
      <c r="D119" s="2662"/>
      <c r="E119" s="2662"/>
      <c r="F119" s="2662"/>
    </row>
    <row r="120" spans="2:9" ht="15" customHeight="1">
      <c r="C120" s="2662"/>
      <c r="D120" s="2662"/>
      <c r="E120" s="2662"/>
      <c r="F120" s="2662"/>
      <c r="G120" s="1043"/>
    </row>
    <row r="121" spans="2:9" ht="15" customHeight="1"/>
    <row r="122" spans="2:9" ht="15" customHeight="1">
      <c r="C122" s="1044" t="s">
        <v>2229</v>
      </c>
      <c r="G122" s="2664"/>
      <c r="H122" s="2664"/>
    </row>
    <row r="123" spans="2:9" ht="15" customHeight="1">
      <c r="G123" s="2664"/>
      <c r="H123" s="2664"/>
    </row>
    <row r="124" spans="2:9" ht="15" customHeight="1">
      <c r="G124" s="2665"/>
      <c r="H124" s="266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7" t="s">
        <v>2275</v>
      </c>
      <c r="D138" s="2657"/>
      <c r="E138" s="2657"/>
      <c r="F138" s="2657"/>
    </row>
    <row r="139" spans="2:9">
      <c r="B139" s="1045"/>
      <c r="C139" s="2657"/>
      <c r="D139" s="2657"/>
      <c r="E139" s="2657"/>
      <c r="F139" s="2657"/>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4050000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2" t="s">
        <v>910</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17</v>
      </c>
      <c r="C4" s="1162" t="s">
        <v>385</v>
      </c>
      <c r="D4" s="428">
        <f>Application!O718</f>
        <v>839</v>
      </c>
      <c r="E4" s="429"/>
      <c r="F4" s="1083">
        <v>2550</v>
      </c>
      <c r="G4" s="428">
        <f>F4*B4</f>
        <v>43350</v>
      </c>
      <c r="H4" s="429"/>
      <c r="I4" s="428">
        <f t="shared" ref="I4:I27" si="0">IF(F4=0,"",(F4-D4))</f>
        <v>1711</v>
      </c>
      <c r="J4" s="428">
        <f t="shared" ref="J4:J27" si="1">IF(F4=0,"",(I4*B4))</f>
        <v>29087</v>
      </c>
      <c r="K4" s="204"/>
      <c r="L4" s="305"/>
    </row>
    <row r="5" spans="1:12">
      <c r="A5" s="428" t="str">
        <f>Application!B719</f>
        <v>SRO/Studio</v>
      </c>
      <c r="B5" s="1082">
        <f>Application!G719</f>
        <v>16</v>
      </c>
      <c r="C5" s="1162" t="s">
        <v>385</v>
      </c>
      <c r="D5" s="428">
        <f>Application!O719</f>
        <v>1678</v>
      </c>
      <c r="E5" s="429"/>
      <c r="F5" s="1083">
        <v>2550</v>
      </c>
      <c r="G5" s="428">
        <f t="shared" ref="G5:G38" si="2">F5*B5</f>
        <v>40800</v>
      </c>
      <c r="H5" s="429"/>
      <c r="I5" s="428">
        <f t="shared" si="0"/>
        <v>872</v>
      </c>
      <c r="J5" s="428">
        <f t="shared" si="1"/>
        <v>13952</v>
      </c>
      <c r="K5" s="204"/>
      <c r="L5" s="305"/>
    </row>
    <row r="6" spans="1:12">
      <c r="A6" s="428" t="str">
        <f>Application!B720</f>
        <v>1 Bedroom</v>
      </c>
      <c r="B6" s="1082">
        <f>Application!G720</f>
        <v>33</v>
      </c>
      <c r="C6" s="1162" t="s">
        <v>385</v>
      </c>
      <c r="D6" s="428">
        <f>Application!O720</f>
        <v>898</v>
      </c>
      <c r="E6" s="429"/>
      <c r="F6" s="1083">
        <v>3125</v>
      </c>
      <c r="G6" s="428">
        <f t="shared" si="2"/>
        <v>103125</v>
      </c>
      <c r="H6" s="429"/>
      <c r="I6" s="428">
        <f t="shared" si="0"/>
        <v>2227</v>
      </c>
      <c r="J6" s="428">
        <f t="shared" si="1"/>
        <v>73491</v>
      </c>
      <c r="K6" s="204"/>
      <c r="L6" s="305"/>
    </row>
    <row r="7" spans="1:12">
      <c r="A7" s="428" t="str">
        <f>Application!B721</f>
        <v>1 Bedroom</v>
      </c>
      <c r="B7" s="1082">
        <f>Application!G721</f>
        <v>33</v>
      </c>
      <c r="C7" s="1162" t="s">
        <v>385</v>
      </c>
      <c r="D7" s="428">
        <f>Application!O721</f>
        <v>1797</v>
      </c>
      <c r="E7" s="429"/>
      <c r="F7" s="1083">
        <v>3125</v>
      </c>
      <c r="G7" s="428">
        <f t="shared" si="2"/>
        <v>103125</v>
      </c>
      <c r="H7" s="429"/>
      <c r="I7" s="428">
        <f t="shared" si="0"/>
        <v>1328</v>
      </c>
      <c r="J7" s="428">
        <f t="shared" si="1"/>
        <v>43824</v>
      </c>
      <c r="K7" s="204"/>
      <c r="L7" s="305"/>
    </row>
    <row r="8" spans="1:12">
      <c r="A8" s="428" t="str">
        <f>Application!B722</f>
        <v>2 Bedrooms</v>
      </c>
      <c r="B8" s="1082">
        <f>Application!G722</f>
        <v>65</v>
      </c>
      <c r="C8" s="1162" t="s">
        <v>385</v>
      </c>
      <c r="D8" s="428">
        <f>Application!O722</f>
        <v>1078</v>
      </c>
      <c r="E8" s="429"/>
      <c r="F8" s="1083">
        <v>3825</v>
      </c>
      <c r="G8" s="428">
        <f t="shared" si="2"/>
        <v>248625</v>
      </c>
      <c r="H8" s="429"/>
      <c r="I8" s="428">
        <f t="shared" si="0"/>
        <v>2747</v>
      </c>
      <c r="J8" s="428">
        <f t="shared" si="1"/>
        <v>178555</v>
      </c>
      <c r="K8" s="204"/>
      <c r="L8" s="305"/>
    </row>
    <row r="9" spans="1:12">
      <c r="A9" s="428" t="str">
        <f>Application!B723</f>
        <v>2 Bedrooms</v>
      </c>
      <c r="B9" s="1082">
        <f>Application!G723</f>
        <v>65</v>
      </c>
      <c r="C9" s="1162" t="s">
        <v>385</v>
      </c>
      <c r="D9" s="428">
        <f>Application!O723</f>
        <v>2157</v>
      </c>
      <c r="E9" s="429"/>
      <c r="F9" s="1083">
        <v>3825</v>
      </c>
      <c r="G9" s="428">
        <f t="shared" si="2"/>
        <v>248625</v>
      </c>
      <c r="H9" s="429"/>
      <c r="I9" s="428">
        <f t="shared" si="0"/>
        <v>1668</v>
      </c>
      <c r="J9" s="428">
        <f t="shared" si="1"/>
        <v>108420</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340321</v>
      </c>
      <c r="E40" s="429"/>
      <c r="F40" s="429"/>
      <c r="G40" s="432">
        <f>SUM(G4:G38)*12</f>
        <v>9451800</v>
      </c>
      <c r="H40" s="433"/>
      <c r="I40" s="431"/>
      <c r="J40" s="432">
        <f>SUM(J4:J38)*12</f>
        <v>5367948</v>
      </c>
      <c r="K40" s="204"/>
      <c r="L40" s="306"/>
    </row>
    <row r="41" spans="1:12" ht="15">
      <c r="A41" s="430"/>
      <c r="B41" s="431"/>
      <c r="C41" s="431"/>
      <c r="D41" s="433"/>
      <c r="E41" s="429"/>
      <c r="F41" s="429"/>
      <c r="G41" s="433"/>
      <c r="H41" s="433"/>
      <c r="I41" s="431"/>
      <c r="J41" s="433"/>
      <c r="K41" s="204"/>
      <c r="L41" s="306"/>
    </row>
    <row r="42" spans="1:12">
      <c r="A42" s="304" t="s">
        <v>2257</v>
      </c>
    </row>
    <row r="43" spans="1:12">
      <c r="A43" s="2693" t="s">
        <v>2496</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2258</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4083852</v>
      </c>
      <c r="G4" s="219">
        <f>E4*$C$4</f>
        <v>4185948.3</v>
      </c>
      <c r="I4" s="219">
        <f>G4*$C$4</f>
        <v>4290597.0074999994</v>
      </c>
      <c r="K4" s="219">
        <f>I4*$C$4</f>
        <v>4397861.9326874986</v>
      </c>
      <c r="M4" s="219">
        <f>K4*$C$4</f>
        <v>4507808.4810046861</v>
      </c>
      <c r="O4" s="219">
        <f>M4*$C$4</f>
        <v>4620503.6930298032</v>
      </c>
      <c r="Q4" s="219">
        <f>O4*$C$4</f>
        <v>4736016.2853555474</v>
      </c>
      <c r="S4" s="219">
        <f>Q4*$C$4</f>
        <v>4854416.6924894359</v>
      </c>
      <c r="U4" s="219">
        <f>S4*$C$4</f>
        <v>4975777.1098016715</v>
      </c>
      <c r="W4" s="219">
        <f>U4*$C$4</f>
        <v>5100171.5375467129</v>
      </c>
      <c r="Y4" s="219">
        <f>W4*$C$4</f>
        <v>5227675.8259853804</v>
      </c>
      <c r="AA4" s="219">
        <f>Y4*$C$4</f>
        <v>5358367.7216350148</v>
      </c>
      <c r="AC4" s="219">
        <f>AA4*$C$4</f>
        <v>5492326.9146758895</v>
      </c>
      <c r="AE4" s="219">
        <f>AC4*$C$4</f>
        <v>5629635.0875427863</v>
      </c>
      <c r="AG4" s="219">
        <f>AE4*$C$4</f>
        <v>5770375.9647313552</v>
      </c>
    </row>
    <row r="5" spans="1:34" s="210" customFormat="1" ht="14.25">
      <c r="B5" s="210" t="s">
        <v>839</v>
      </c>
      <c r="C5" s="238">
        <f>IF(Application!$D$211="Special Needs",(((0.1*Application!$T$212)+(0.05*(1-Application!$T$212)))),0.05)</f>
        <v>0.05</v>
      </c>
      <c r="E5" s="221">
        <f>-E4*$C$5</f>
        <v>-204192.6</v>
      </c>
      <c r="F5" s="221"/>
      <c r="G5" s="221">
        <f>-G4*$C$5</f>
        <v>-209297.41500000001</v>
      </c>
      <c r="H5" s="221"/>
      <c r="I5" s="221">
        <f>-I4*$C$5</f>
        <v>-214529.85037499998</v>
      </c>
      <c r="J5" s="221"/>
      <c r="K5" s="221">
        <f>-K4*$C$5</f>
        <v>-219893.09663437493</v>
      </c>
      <c r="L5" s="221"/>
      <c r="M5" s="221">
        <f>-M4*$C$5</f>
        <v>-225390.42405023432</v>
      </c>
      <c r="N5" s="221"/>
      <c r="O5" s="221">
        <f>-O4*$C$5</f>
        <v>-231025.18465149018</v>
      </c>
      <c r="P5" s="221"/>
      <c r="Q5" s="221">
        <f>-Q4*$C$5</f>
        <v>-236800.81426777737</v>
      </c>
      <c r="R5" s="221"/>
      <c r="S5" s="221">
        <f>-S4*$C$5</f>
        <v>-242720.83462447181</v>
      </c>
      <c r="T5" s="221"/>
      <c r="U5" s="221">
        <f>-U4*$C$5</f>
        <v>-248788.85549008357</v>
      </c>
      <c r="V5" s="221"/>
      <c r="W5" s="221">
        <f>-W4*$C$5</f>
        <v>-255008.57687733567</v>
      </c>
      <c r="X5" s="221"/>
      <c r="Y5" s="221">
        <f>-Y4*$C$5</f>
        <v>-261383.79129926904</v>
      </c>
      <c r="Z5" s="221"/>
      <c r="AA5" s="221">
        <f>-AA4*$C$5</f>
        <v>-267918.38608175074</v>
      </c>
      <c r="AB5" s="221"/>
      <c r="AC5" s="221">
        <f>-AC4*$C$5</f>
        <v>-274616.3457337945</v>
      </c>
      <c r="AD5" s="221"/>
      <c r="AE5" s="221">
        <f>-AE4*$C$5</f>
        <v>-281481.75437713932</v>
      </c>
      <c r="AF5" s="221"/>
      <c r="AG5" s="221">
        <f>-AG4*$C$5</f>
        <v>-288518.79823656776</v>
      </c>
    </row>
    <row r="6" spans="1:34" s="210" customFormat="1" ht="14.25">
      <c r="A6" s="210" t="s">
        <v>837</v>
      </c>
      <c r="C6" s="237">
        <v>1.0249999999999999</v>
      </c>
      <c r="E6" s="222">
        <f>Application!Z809</f>
        <v>5367948</v>
      </c>
      <c r="F6" s="222"/>
      <c r="G6" s="222">
        <f>E6*$C$6</f>
        <v>5502146.6999999993</v>
      </c>
      <c r="H6" s="222"/>
      <c r="I6" s="222">
        <f>G6*$C$6</f>
        <v>5639700.3674999988</v>
      </c>
      <c r="J6" s="222"/>
      <c r="K6" s="222">
        <f>I6*$C$6</f>
        <v>5780692.8766874978</v>
      </c>
      <c r="L6" s="222"/>
      <c r="M6" s="222">
        <f>K6*$C$6</f>
        <v>5925210.1986046843</v>
      </c>
      <c r="N6" s="222"/>
      <c r="O6" s="222">
        <f>M6*$C$6</f>
        <v>6073340.4535698006</v>
      </c>
      <c r="P6" s="222"/>
      <c r="Q6" s="222">
        <f>O6*$C$6</f>
        <v>6225173.964909045</v>
      </c>
      <c r="R6" s="222"/>
      <c r="S6" s="222">
        <f>Q6*$C$6</f>
        <v>6380803.3140317705</v>
      </c>
      <c r="T6" s="222"/>
      <c r="U6" s="222">
        <f>S6*$C$6</f>
        <v>6540323.3968825638</v>
      </c>
      <c r="V6" s="222"/>
      <c r="W6" s="222">
        <f>U6*$C$6</f>
        <v>6703831.481804627</v>
      </c>
      <c r="X6" s="222"/>
      <c r="Y6" s="222">
        <f>W6*$C$6</f>
        <v>6871427.2688497417</v>
      </c>
      <c r="Z6" s="222"/>
      <c r="AA6" s="222">
        <f>Y6*$C$6</f>
        <v>7043212.9505709847</v>
      </c>
      <c r="AB6" s="222"/>
      <c r="AC6" s="222">
        <f>AA6*$C$6</f>
        <v>7219293.2743352586</v>
      </c>
      <c r="AD6" s="222"/>
      <c r="AE6" s="222">
        <f>AC6*$C$6</f>
        <v>7399775.6061936393</v>
      </c>
      <c r="AF6" s="222"/>
      <c r="AG6" s="222">
        <f>AE6*$C$6</f>
        <v>7584769.9963484798</v>
      </c>
    </row>
    <row r="7" spans="1:34" s="210" customFormat="1" ht="14.25">
      <c r="B7" s="210" t="s">
        <v>839</v>
      </c>
      <c r="C7" s="238">
        <f>IF(Application!$D$211="Special Needs",(((0.1*Application!$T$212)+(0.05*(1-Application!$T$212)))),0.05)</f>
        <v>0.05</v>
      </c>
      <c r="E7" s="221">
        <f>-E6*$C$7</f>
        <v>-268397.40000000002</v>
      </c>
      <c r="F7" s="221"/>
      <c r="G7" s="221">
        <f>-G6*$C$7</f>
        <v>-275107.33499999996</v>
      </c>
      <c r="H7" s="221"/>
      <c r="I7" s="221">
        <f>-I6*$C$7</f>
        <v>-281985.01837499993</v>
      </c>
      <c r="J7" s="221"/>
      <c r="K7" s="221">
        <f>-K6*$C$7</f>
        <v>-289034.6438343749</v>
      </c>
      <c r="L7" s="221"/>
      <c r="M7" s="221">
        <f>-M6*$C$7</f>
        <v>-296260.50993023423</v>
      </c>
      <c r="N7" s="221"/>
      <c r="O7" s="221">
        <f>-O6*$C$7</f>
        <v>-303667.02267849003</v>
      </c>
      <c r="P7" s="221"/>
      <c r="Q7" s="221">
        <f>-Q6*$C$7</f>
        <v>-311258.69824545225</v>
      </c>
      <c r="R7" s="221"/>
      <c r="S7" s="221">
        <f>-S6*$C$7</f>
        <v>-319040.16570158856</v>
      </c>
      <c r="T7" s="221"/>
      <c r="U7" s="221">
        <f>-U6*$C$7</f>
        <v>-327016.16984412819</v>
      </c>
      <c r="V7" s="221"/>
      <c r="W7" s="221">
        <f>-W6*$C$7</f>
        <v>-335191.57409023138</v>
      </c>
      <c r="X7" s="221"/>
      <c r="Y7" s="221">
        <f>-Y6*$C$7</f>
        <v>-343571.36344248708</v>
      </c>
      <c r="Z7" s="221"/>
      <c r="AA7" s="221">
        <f>-AA6*$C$7</f>
        <v>-352160.64752854925</v>
      </c>
      <c r="AB7" s="221"/>
      <c r="AC7" s="221">
        <f>-AC6*$C$7</f>
        <v>-360964.66371676297</v>
      </c>
      <c r="AD7" s="221"/>
      <c r="AE7" s="221">
        <f>-AE6*$C$7</f>
        <v>-369988.78030968201</v>
      </c>
      <c r="AF7" s="221"/>
      <c r="AG7" s="221">
        <f>-AG6*$C$7</f>
        <v>-379238.49981742399</v>
      </c>
    </row>
    <row r="8" spans="1:34" s="210" customFormat="1" ht="14.25">
      <c r="A8" s="210" t="s">
        <v>288</v>
      </c>
      <c r="C8" s="237">
        <v>1.0249999999999999</v>
      </c>
      <c r="E8" s="222">
        <f>Application!Z817</f>
        <v>5300</v>
      </c>
      <c r="F8" s="222"/>
      <c r="G8" s="222">
        <f>E8*$C$8</f>
        <v>5432.4999999999991</v>
      </c>
      <c r="H8" s="222"/>
      <c r="I8" s="222">
        <f>G8*$C$8</f>
        <v>5568.3124999999982</v>
      </c>
      <c r="J8" s="222"/>
      <c r="K8" s="222">
        <f>I8*$C$8</f>
        <v>5707.520312499998</v>
      </c>
      <c r="L8" s="222"/>
      <c r="M8" s="222">
        <f>K8*$C$8</f>
        <v>5850.2083203124976</v>
      </c>
      <c r="N8" s="222"/>
      <c r="O8" s="222">
        <f>M8*$C$8</f>
        <v>5996.4635283203097</v>
      </c>
      <c r="P8" s="222"/>
      <c r="Q8" s="222">
        <f>O8*$C$8</f>
        <v>6146.3751165283165</v>
      </c>
      <c r="R8" s="222"/>
      <c r="S8" s="222">
        <f>Q8*$C$8</f>
        <v>6300.0344944415237</v>
      </c>
      <c r="T8" s="222"/>
      <c r="U8" s="222">
        <f>S8*$C$8</f>
        <v>6457.5353568025612</v>
      </c>
      <c r="V8" s="222"/>
      <c r="W8" s="222">
        <f>U8*$C$8</f>
        <v>6618.9737407226248</v>
      </c>
      <c r="X8" s="222"/>
      <c r="Y8" s="222">
        <f>W8*$C$8</f>
        <v>6784.4480842406902</v>
      </c>
      <c r="Z8" s="222"/>
      <c r="AA8" s="222">
        <f>Y8*$C$8</f>
        <v>6954.0592863467064</v>
      </c>
      <c r="AB8" s="222"/>
      <c r="AC8" s="222">
        <f>AA8*$C$8</f>
        <v>7127.9107685053732</v>
      </c>
      <c r="AD8" s="222"/>
      <c r="AE8" s="222">
        <f>AC8*$C$8</f>
        <v>7306.108537718007</v>
      </c>
      <c r="AF8" s="222"/>
      <c r="AG8" s="222">
        <f>AE8*$C$8</f>
        <v>7488.7612511609568</v>
      </c>
    </row>
    <row r="9" spans="1:34" s="210" customFormat="1" ht="14.25">
      <c r="B9" s="210" t="s">
        <v>839</v>
      </c>
      <c r="C9" s="238">
        <f>IF(Application!$D$211="Special Needs",(((0.1*Application!$T$212)+(0.05*(1-Application!$T$212)))),0.05)</f>
        <v>0.05</v>
      </c>
      <c r="E9" s="221">
        <f>-E8*$C$9</f>
        <v>-265</v>
      </c>
      <c r="F9" s="221"/>
      <c r="G9" s="221">
        <f>-G8*$C$9</f>
        <v>-271.62499999999994</v>
      </c>
      <c r="H9" s="221"/>
      <c r="I9" s="221">
        <f>-I8*$C$9</f>
        <v>-278.41562499999992</v>
      </c>
      <c r="J9" s="221"/>
      <c r="K9" s="221">
        <f>-K8*$C$9</f>
        <v>-285.37601562499992</v>
      </c>
      <c r="L9" s="221"/>
      <c r="M9" s="221">
        <f>-M8*$C$9</f>
        <v>-292.51041601562491</v>
      </c>
      <c r="N9" s="221"/>
      <c r="O9" s="221">
        <f>-O8*$C$9</f>
        <v>-299.82317641601549</v>
      </c>
      <c r="P9" s="221"/>
      <c r="Q9" s="221">
        <f>-Q8*$C$9</f>
        <v>-307.31875582641584</v>
      </c>
      <c r="R9" s="221"/>
      <c r="S9" s="221">
        <f>-S8*$C$9</f>
        <v>-315.00172472207623</v>
      </c>
      <c r="T9" s="221"/>
      <c r="U9" s="221">
        <f>-U8*$C$9</f>
        <v>-322.87676784012808</v>
      </c>
      <c r="V9" s="221"/>
      <c r="W9" s="221">
        <f>-W8*$C$9</f>
        <v>-330.94868703613128</v>
      </c>
      <c r="X9" s="221"/>
      <c r="Y9" s="221">
        <f>-Y8*$C$9</f>
        <v>-339.22240421203452</v>
      </c>
      <c r="Z9" s="221"/>
      <c r="AA9" s="221">
        <f>-AA8*$C$9</f>
        <v>-347.70296431733533</v>
      </c>
      <c r="AB9" s="221"/>
      <c r="AC9" s="221">
        <f>-AC8*$C$9</f>
        <v>-356.39553842526868</v>
      </c>
      <c r="AD9" s="221"/>
      <c r="AE9" s="221">
        <f>-AE8*$C$9</f>
        <v>-365.30542688590037</v>
      </c>
      <c r="AF9" s="221"/>
      <c r="AG9" s="221">
        <f>-AG8*$C$9</f>
        <v>-374.43806255804787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8984245</v>
      </c>
      <c r="G11" s="223">
        <f>SUM(G4:G10)</f>
        <v>9208851.125</v>
      </c>
      <c r="I11" s="223">
        <f>SUM(I4:I10)</f>
        <v>9439072.4031249974</v>
      </c>
      <c r="K11" s="223">
        <f>SUM(K4:K10)</f>
        <v>9675049.213203121</v>
      </c>
      <c r="M11" s="223">
        <f>SUM(M4:M10)</f>
        <v>9916925.443533197</v>
      </c>
      <c r="O11" s="223">
        <f>SUM(O4:O10)</f>
        <v>10164848.579621527</v>
      </c>
      <c r="Q11" s="223">
        <f>SUM(Q4:Q10)</f>
        <v>10418969.794112066</v>
      </c>
      <c r="S11" s="223">
        <f>SUM(S4:S10)</f>
        <v>10679444.038964864</v>
      </c>
      <c r="U11" s="223">
        <f>SUM(U4:U10)</f>
        <v>10946430.139938986</v>
      </c>
      <c r="W11" s="223">
        <f>SUM(W4:W10)</f>
        <v>11220090.89343746</v>
      </c>
      <c r="Y11" s="223">
        <f>SUM(Y4:Y10)</f>
        <v>11500593.165773394</v>
      </c>
      <c r="AA11" s="223">
        <f>SUM(AA4:AA10)</f>
        <v>11788107.994917728</v>
      </c>
      <c r="AC11" s="223">
        <f>SUM(AC4:AC10)</f>
        <v>12082810.694790671</v>
      </c>
      <c r="AE11" s="223">
        <f>SUM(AE4:AE10)</f>
        <v>12384880.962160435</v>
      </c>
      <c r="AG11" s="223">
        <f>SUM(AG4:AG10)</f>
        <v>12694502.986214448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1226000</v>
      </c>
      <c r="G15" s="219">
        <f>E15*$C$14</f>
        <v>1268910</v>
      </c>
      <c r="I15" s="219">
        <f>G15*$C$14</f>
        <v>1313321.8499999999</v>
      </c>
      <c r="K15" s="219">
        <f>I15*$C$14</f>
        <v>1359288.1147499997</v>
      </c>
      <c r="M15" s="219">
        <f>K15*$C$14</f>
        <v>1406863.1987662497</v>
      </c>
      <c r="O15" s="219">
        <f>M15*$C$14</f>
        <v>1456103.4107230683</v>
      </c>
      <c r="Q15" s="219">
        <f>O15*$C$14</f>
        <v>1507067.0300983756</v>
      </c>
      <c r="S15" s="219">
        <f>Q15*$C$14</f>
        <v>1559814.3761518185</v>
      </c>
      <c r="U15" s="219">
        <f>S15*$C$14</f>
        <v>1614407.8793171321</v>
      </c>
      <c r="W15" s="219">
        <f>U15*$C$14</f>
        <v>1670912.1550932315</v>
      </c>
      <c r="Y15" s="219">
        <f>W15*$C$14</f>
        <v>1729394.0805214944</v>
      </c>
      <c r="AA15" s="219">
        <f>Y15*$C$14</f>
        <v>1789922.8733397466</v>
      </c>
      <c r="AC15" s="219">
        <f>AA15*$C$14</f>
        <v>1852570.1739066376</v>
      </c>
      <c r="AE15" s="219">
        <f>AC15*$C$14</f>
        <v>1917410.1299933698</v>
      </c>
      <c r="AG15" s="219">
        <f>AE15*$C$14</f>
        <v>1984519.4845431375</v>
      </c>
    </row>
    <row r="16" spans="1:34" s="210" customFormat="1" ht="14.25">
      <c r="A16" s="210" t="s">
        <v>344</v>
      </c>
      <c r="C16" s="233"/>
      <c r="E16" s="222">
        <f>Application!W849</f>
        <v>196812</v>
      </c>
      <c r="F16" s="222"/>
      <c r="G16" s="222">
        <f t="shared" ref="G16:AG21" si="0">E16*$C$14</f>
        <v>203700.41999999998</v>
      </c>
      <c r="H16" s="222"/>
      <c r="I16" s="222">
        <f t="shared" si="0"/>
        <v>210829.93469999995</v>
      </c>
      <c r="J16" s="222"/>
      <c r="K16" s="222">
        <f t="shared" si="0"/>
        <v>218208.98241449994</v>
      </c>
      <c r="L16" s="222"/>
      <c r="M16" s="222">
        <f t="shared" si="0"/>
        <v>225846.29679900742</v>
      </c>
      <c r="N16" s="222"/>
      <c r="O16" s="222">
        <f t="shared" si="0"/>
        <v>233750.91718697266</v>
      </c>
      <c r="P16" s="222"/>
      <c r="Q16" s="222">
        <f t="shared" si="0"/>
        <v>241932.19928851668</v>
      </c>
      <c r="R16" s="222"/>
      <c r="S16" s="222">
        <f t="shared" si="0"/>
        <v>250399.82626361476</v>
      </c>
      <c r="T16" s="222"/>
      <c r="U16" s="222">
        <f t="shared" si="0"/>
        <v>259163.82018284124</v>
      </c>
      <c r="V16" s="222"/>
      <c r="W16" s="222">
        <f t="shared" si="0"/>
        <v>268234.55388924066</v>
      </c>
      <c r="X16" s="222"/>
      <c r="Y16" s="222">
        <f t="shared" si="0"/>
        <v>277622.76327536406</v>
      </c>
      <c r="Z16" s="222"/>
      <c r="AA16" s="222">
        <f t="shared" si="0"/>
        <v>287339.55999000178</v>
      </c>
      <c r="AB16" s="222"/>
      <c r="AC16" s="222">
        <f t="shared" si="0"/>
        <v>297396.44458965183</v>
      </c>
      <c r="AD16" s="222"/>
      <c r="AE16" s="222">
        <f t="shared" si="0"/>
        <v>307805.32015028963</v>
      </c>
      <c r="AF16" s="222"/>
      <c r="AG16" s="222">
        <f t="shared" si="0"/>
        <v>318578.50635554973</v>
      </c>
    </row>
    <row r="17" spans="1:33" s="210" customFormat="1" ht="14.25">
      <c r="A17" s="210" t="s">
        <v>562</v>
      </c>
      <c r="C17" s="233"/>
      <c r="E17" s="222">
        <f>Application!W855</f>
        <v>1329580</v>
      </c>
      <c r="F17" s="222"/>
      <c r="G17" s="222">
        <f t="shared" si="0"/>
        <v>1376115.2999999998</v>
      </c>
      <c r="H17" s="222"/>
      <c r="I17" s="222">
        <f t="shared" si="0"/>
        <v>1424279.3354999998</v>
      </c>
      <c r="J17" s="222"/>
      <c r="K17" s="222">
        <f t="shared" si="0"/>
        <v>1474129.1122424996</v>
      </c>
      <c r="L17" s="222"/>
      <c r="M17" s="222">
        <f t="shared" si="0"/>
        <v>1525723.6311709869</v>
      </c>
      <c r="N17" s="222"/>
      <c r="O17" s="222">
        <f t="shared" si="0"/>
        <v>1579123.9582619714</v>
      </c>
      <c r="P17" s="222"/>
      <c r="Q17" s="222">
        <f t="shared" si="0"/>
        <v>1634393.2968011403</v>
      </c>
      <c r="R17" s="222"/>
      <c r="S17" s="222">
        <f t="shared" si="0"/>
        <v>1691597.0621891802</v>
      </c>
      <c r="T17" s="222"/>
      <c r="U17" s="222">
        <f t="shared" si="0"/>
        <v>1750802.9593658014</v>
      </c>
      <c r="V17" s="222"/>
      <c r="W17" s="222">
        <f t="shared" si="0"/>
        <v>1812081.0629436043</v>
      </c>
      <c r="X17" s="222"/>
      <c r="Y17" s="222">
        <f t="shared" si="0"/>
        <v>1875503.9001466304</v>
      </c>
      <c r="Z17" s="222"/>
      <c r="AA17" s="222">
        <f t="shared" si="0"/>
        <v>1941146.5366517622</v>
      </c>
      <c r="AB17" s="222"/>
      <c r="AC17" s="222">
        <f t="shared" si="0"/>
        <v>2009086.6654345738</v>
      </c>
      <c r="AD17" s="222"/>
      <c r="AE17" s="222">
        <f t="shared" si="0"/>
        <v>2079404.6987247837</v>
      </c>
      <c r="AF17" s="222"/>
      <c r="AG17" s="222">
        <f t="shared" si="0"/>
        <v>2152183.8631801512</v>
      </c>
    </row>
    <row r="18" spans="1:33" s="210" customFormat="1" ht="14.25">
      <c r="A18" s="210" t="s">
        <v>843</v>
      </c>
      <c r="C18" s="233"/>
      <c r="E18" s="222">
        <f>Application!W862</f>
        <v>682098</v>
      </c>
      <c r="F18" s="222"/>
      <c r="G18" s="222">
        <f t="shared" si="0"/>
        <v>705971.42999999993</v>
      </c>
      <c r="H18" s="222"/>
      <c r="I18" s="222">
        <f t="shared" si="0"/>
        <v>730680.43004999985</v>
      </c>
      <c r="J18" s="222"/>
      <c r="K18" s="222">
        <f t="shared" si="0"/>
        <v>756254.24510174978</v>
      </c>
      <c r="L18" s="222"/>
      <c r="M18" s="222">
        <f t="shared" si="0"/>
        <v>782723.14368031092</v>
      </c>
      <c r="N18" s="222"/>
      <c r="O18" s="222">
        <f t="shared" si="0"/>
        <v>810118.45370912179</v>
      </c>
      <c r="P18" s="222"/>
      <c r="Q18" s="222">
        <f t="shared" si="0"/>
        <v>838472.59958894097</v>
      </c>
      <c r="R18" s="222"/>
      <c r="S18" s="222">
        <f t="shared" si="0"/>
        <v>867819.14057455387</v>
      </c>
      <c r="T18" s="222"/>
      <c r="U18" s="222">
        <f t="shared" si="0"/>
        <v>898192.81049466319</v>
      </c>
      <c r="V18" s="222"/>
      <c r="W18" s="222">
        <f t="shared" si="0"/>
        <v>929629.55886197637</v>
      </c>
      <c r="X18" s="222"/>
      <c r="Y18" s="222">
        <f t="shared" si="0"/>
        <v>962166.59342214547</v>
      </c>
      <c r="Z18" s="222"/>
      <c r="AA18" s="222">
        <f t="shared" si="0"/>
        <v>995842.42419192044</v>
      </c>
      <c r="AB18" s="222"/>
      <c r="AC18" s="222">
        <f t="shared" si="0"/>
        <v>1030696.9090386375</v>
      </c>
      <c r="AD18" s="222"/>
      <c r="AE18" s="222">
        <f t="shared" si="0"/>
        <v>1066771.3008549898</v>
      </c>
      <c r="AF18" s="222"/>
      <c r="AG18" s="222">
        <f t="shared" si="0"/>
        <v>1104108.2963849143</v>
      </c>
    </row>
    <row r="19" spans="1:33" s="210" customFormat="1" ht="14.25">
      <c r="A19" s="210" t="s">
        <v>155</v>
      </c>
      <c r="C19" s="233"/>
      <c r="E19" s="222">
        <f>Application!W863</f>
        <v>392700</v>
      </c>
      <c r="F19" s="222"/>
      <c r="G19" s="222">
        <f t="shared" si="0"/>
        <v>406444.49999999994</v>
      </c>
      <c r="H19" s="222"/>
      <c r="I19" s="222">
        <f t="shared" si="0"/>
        <v>420670.05749999988</v>
      </c>
      <c r="J19" s="222"/>
      <c r="K19" s="222">
        <f t="shared" si="0"/>
        <v>435393.50951249985</v>
      </c>
      <c r="L19" s="222"/>
      <c r="M19" s="222">
        <f t="shared" si="0"/>
        <v>450632.28234543733</v>
      </c>
      <c r="N19" s="222"/>
      <c r="O19" s="222">
        <f t="shared" si="0"/>
        <v>466404.41222752759</v>
      </c>
      <c r="P19" s="222"/>
      <c r="Q19" s="222">
        <f t="shared" si="0"/>
        <v>482728.56665549101</v>
      </c>
      <c r="R19" s="222"/>
      <c r="S19" s="222">
        <f t="shared" si="0"/>
        <v>499624.06648843316</v>
      </c>
      <c r="T19" s="222"/>
      <c r="U19" s="222">
        <f t="shared" si="0"/>
        <v>517110.90881552827</v>
      </c>
      <c r="V19" s="222"/>
      <c r="W19" s="222">
        <f t="shared" si="0"/>
        <v>535209.79062407173</v>
      </c>
      <c r="X19" s="222"/>
      <c r="Y19" s="222">
        <f t="shared" si="0"/>
        <v>553942.13329591416</v>
      </c>
      <c r="Z19" s="222"/>
      <c r="AA19" s="222">
        <f t="shared" si="0"/>
        <v>573330.10796127107</v>
      </c>
      <c r="AB19" s="222"/>
      <c r="AC19" s="222">
        <f t="shared" si="0"/>
        <v>593396.66173991549</v>
      </c>
      <c r="AD19" s="222"/>
      <c r="AE19" s="222">
        <f t="shared" si="0"/>
        <v>614165.54490081244</v>
      </c>
      <c r="AF19" s="222"/>
      <c r="AG19" s="222">
        <f t="shared" si="0"/>
        <v>635661.3389723408</v>
      </c>
    </row>
    <row r="20" spans="1:33" s="210" customFormat="1" ht="14.25">
      <c r="A20" s="210" t="s">
        <v>390</v>
      </c>
      <c r="C20" s="233"/>
      <c r="E20" s="222">
        <f>Application!W872</f>
        <v>1015613</v>
      </c>
      <c r="F20" s="222"/>
      <c r="G20" s="222">
        <f t="shared" si="0"/>
        <v>1051159.4549999998</v>
      </c>
      <c r="H20" s="222"/>
      <c r="I20" s="222">
        <f t="shared" si="0"/>
        <v>1087950.0359249997</v>
      </c>
      <c r="J20" s="222"/>
      <c r="K20" s="222">
        <f t="shared" si="0"/>
        <v>1126028.2871823746</v>
      </c>
      <c r="L20" s="222"/>
      <c r="M20" s="222">
        <f t="shared" si="0"/>
        <v>1165439.2772337575</v>
      </c>
      <c r="N20" s="222"/>
      <c r="O20" s="222">
        <f t="shared" si="0"/>
        <v>1206229.651936939</v>
      </c>
      <c r="P20" s="222"/>
      <c r="Q20" s="222">
        <f t="shared" si="0"/>
        <v>1248447.6897547317</v>
      </c>
      <c r="R20" s="222"/>
      <c r="S20" s="222">
        <f t="shared" si="0"/>
        <v>1292143.3588961472</v>
      </c>
      <c r="T20" s="222"/>
      <c r="U20" s="222">
        <f t="shared" si="0"/>
        <v>1337368.3764575124</v>
      </c>
      <c r="V20" s="222"/>
      <c r="W20" s="222">
        <f t="shared" si="0"/>
        <v>1384176.2696335253</v>
      </c>
      <c r="X20" s="222"/>
      <c r="Y20" s="222">
        <f t="shared" si="0"/>
        <v>1432622.4390706986</v>
      </c>
      <c r="Z20" s="222"/>
      <c r="AA20" s="222">
        <f t="shared" si="0"/>
        <v>1482764.224438173</v>
      </c>
      <c r="AB20" s="222"/>
      <c r="AC20" s="222">
        <f t="shared" si="0"/>
        <v>1534660.9722935089</v>
      </c>
      <c r="AD20" s="222"/>
      <c r="AE20" s="222">
        <f t="shared" si="0"/>
        <v>1588374.1063237817</v>
      </c>
      <c r="AF20" s="222"/>
      <c r="AG20" s="222">
        <f t="shared" si="0"/>
        <v>1643967.2000451139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4842803</v>
      </c>
      <c r="G22" s="223">
        <f>SUM(G15:G21)</f>
        <v>5012301.1049999995</v>
      </c>
      <c r="I22" s="223">
        <f>SUM(I15:I21)</f>
        <v>5187731.6436749995</v>
      </c>
      <c r="K22" s="223">
        <f>SUM(K15:K21)</f>
        <v>5369302.2512036236</v>
      </c>
      <c r="M22" s="223">
        <f>SUM(M15:M21)</f>
        <v>5557227.8299957495</v>
      </c>
      <c r="O22" s="223">
        <f>SUM(O15:O21)</f>
        <v>5751730.8040456008</v>
      </c>
      <c r="Q22" s="223">
        <f>SUM(Q15:Q21)</f>
        <v>5953041.382187197</v>
      </c>
      <c r="S22" s="223">
        <f>SUM(S15:S21)</f>
        <v>6161397.8305637483</v>
      </c>
      <c r="U22" s="223">
        <f>SUM(U15:U21)</f>
        <v>6377046.7546334788</v>
      </c>
      <c r="W22" s="223">
        <f>SUM(W15:W21)</f>
        <v>6600243.3910456495</v>
      </c>
      <c r="Y22" s="223">
        <f>SUM(Y15:Y21)</f>
        <v>6831251.9097322477</v>
      </c>
      <c r="AA22" s="223">
        <f>SUM(AA15:AA21)</f>
        <v>7070345.7265728749</v>
      </c>
      <c r="AC22" s="223">
        <f>SUM(AC15:AC21)</f>
        <v>7317807.8270029258</v>
      </c>
      <c r="AE22" s="223">
        <f>SUM(AE15:AE21)</f>
        <v>7573931.1009480273</v>
      </c>
      <c r="AG22" s="223">
        <f>SUM(AG15:AG21)</f>
        <v>7839018.6894812081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41580</v>
      </c>
      <c r="F26" s="222"/>
      <c r="G26" s="222">
        <f>E26*$C$26</f>
        <v>43035.299999999996</v>
      </c>
      <c r="H26" s="222"/>
      <c r="I26" s="222">
        <f>G26*$C$26</f>
        <v>44541.535499999991</v>
      </c>
      <c r="J26" s="222"/>
      <c r="K26" s="222">
        <f>I26*$C$26</f>
        <v>46100.489242499985</v>
      </c>
      <c r="L26" s="222"/>
      <c r="M26" s="222">
        <f>K26*$C$26</f>
        <v>47714.00636598748</v>
      </c>
      <c r="N26" s="222"/>
      <c r="O26" s="222">
        <f>M26*$C$26</f>
        <v>49383.996588797039</v>
      </c>
      <c r="P26" s="222"/>
      <c r="Q26" s="222">
        <f>O26*$C$26</f>
        <v>51112.436469404929</v>
      </c>
      <c r="R26" s="222"/>
      <c r="S26" s="222">
        <f>Q26*$C$26</f>
        <v>52901.371745834098</v>
      </c>
      <c r="T26" s="222"/>
      <c r="U26" s="222">
        <f>S26*$C$26</f>
        <v>54752.919756938289</v>
      </c>
      <c r="V26" s="222"/>
      <c r="W26" s="222">
        <f>U26*$C$26</f>
        <v>56669.271948431124</v>
      </c>
      <c r="X26" s="222"/>
      <c r="Y26" s="222">
        <f>W26*$C$26</f>
        <v>58652.696466626207</v>
      </c>
      <c r="Z26" s="222"/>
      <c r="AA26" s="222">
        <f>Y26*$C$26</f>
        <v>60705.540842958122</v>
      </c>
      <c r="AB26" s="222"/>
      <c r="AC26" s="222">
        <f>AA26*$C$26</f>
        <v>62830.234772461648</v>
      </c>
      <c r="AD26" s="222"/>
      <c r="AE26" s="222">
        <f>AC26*$C$26</f>
        <v>65029.292989497801</v>
      </c>
      <c r="AF26" s="222"/>
      <c r="AG26" s="222">
        <f>AE26*$C$26</f>
        <v>67305.31824413022</v>
      </c>
    </row>
    <row r="27" spans="1:33" s="210" customFormat="1" ht="14.25">
      <c r="A27" s="210" t="s">
        <v>846</v>
      </c>
      <c r="C27" s="237">
        <v>1.0349999999999999</v>
      </c>
      <c r="E27" s="222">
        <f>Application!AC888</f>
        <v>125000</v>
      </c>
      <c r="F27" s="222"/>
      <c r="G27" s="222">
        <f>E27*$C$27</f>
        <v>129374.99999999999</v>
      </c>
      <c r="H27" s="222"/>
      <c r="I27" s="222">
        <f>G27*$C$27</f>
        <v>133903.12499999997</v>
      </c>
      <c r="J27" s="222"/>
      <c r="K27" s="222">
        <f>I27*$C$27</f>
        <v>138589.73437499997</v>
      </c>
      <c r="L27" s="222"/>
      <c r="M27" s="222">
        <f>K27*$C$27</f>
        <v>143440.37507812495</v>
      </c>
      <c r="N27" s="222"/>
      <c r="O27" s="222">
        <f>M27*$C$27</f>
        <v>148460.78820585931</v>
      </c>
      <c r="P27" s="222"/>
      <c r="Q27" s="222">
        <f>O27*$C$27</f>
        <v>153656.91579306437</v>
      </c>
      <c r="R27" s="222"/>
      <c r="S27" s="222">
        <f>Q27*$C$27</f>
        <v>159034.90784582161</v>
      </c>
      <c r="T27" s="222"/>
      <c r="U27" s="222">
        <f>S27*$C$27</f>
        <v>164601.12962042534</v>
      </c>
      <c r="V27" s="222"/>
      <c r="W27" s="222">
        <f>U27*$C$27</f>
        <v>170362.16915714022</v>
      </c>
      <c r="X27" s="222"/>
      <c r="Y27" s="222">
        <f>W27*$C$27</f>
        <v>176324.84507764012</v>
      </c>
      <c r="Z27" s="222"/>
      <c r="AA27" s="222">
        <f>Y27*$C$27</f>
        <v>182496.2146553575</v>
      </c>
      <c r="AB27" s="222"/>
      <c r="AC27" s="222">
        <f>AA27*$C$27</f>
        <v>188883.58216829499</v>
      </c>
      <c r="AD27" s="222"/>
      <c r="AE27" s="222">
        <f>AC27*$C$27</f>
        <v>195494.5075441853</v>
      </c>
      <c r="AF27" s="222"/>
      <c r="AG27" s="222">
        <f>AE27*$C$27</f>
        <v>202336.81530823177</v>
      </c>
    </row>
    <row r="28" spans="1:33" s="210" customFormat="1" ht="14.25">
      <c r="A28" s="210" t="s">
        <v>847</v>
      </c>
      <c r="C28" s="237"/>
      <c r="E28" s="222">
        <f>Application!AC889</f>
        <v>69300</v>
      </c>
      <c r="F28" s="222"/>
      <c r="G28" s="222">
        <f>$E$28</f>
        <v>69300</v>
      </c>
      <c r="H28" s="222"/>
      <c r="I28" s="222">
        <f>$E$28</f>
        <v>69300</v>
      </c>
      <c r="J28" s="222"/>
      <c r="K28" s="222">
        <f>$E$28</f>
        <v>69300</v>
      </c>
      <c r="L28" s="222"/>
      <c r="M28" s="222">
        <f>$E$28</f>
        <v>69300</v>
      </c>
      <c r="N28" s="222"/>
      <c r="O28" s="222">
        <f>$E$28</f>
        <v>69300</v>
      </c>
      <c r="P28" s="222"/>
      <c r="Q28" s="222">
        <f>$E$28</f>
        <v>69300</v>
      </c>
      <c r="R28" s="222"/>
      <c r="S28" s="222">
        <f>$E$28</f>
        <v>69300</v>
      </c>
      <c r="T28" s="222"/>
      <c r="U28" s="222">
        <f>$E$28</f>
        <v>69300</v>
      </c>
      <c r="V28" s="222"/>
      <c r="W28" s="222">
        <f>$E$28</f>
        <v>69300</v>
      </c>
      <c r="X28" s="222"/>
      <c r="Y28" s="222">
        <f>$E$28</f>
        <v>69300</v>
      </c>
      <c r="Z28" s="222"/>
      <c r="AA28" s="222">
        <f>$E$28</f>
        <v>69300</v>
      </c>
      <c r="AB28" s="222"/>
      <c r="AC28" s="222">
        <f>$E$28</f>
        <v>69300</v>
      </c>
      <c r="AD28" s="222"/>
      <c r="AE28" s="222">
        <f>$E$28</f>
        <v>69300</v>
      </c>
      <c r="AF28" s="222"/>
      <c r="AG28" s="222">
        <f>$E$28</f>
        <v>69300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191971</v>
      </c>
      <c r="F30" s="222"/>
      <c r="G30" s="222">
        <f>E30*$C$30</f>
        <v>195810.42</v>
      </c>
      <c r="H30" s="222"/>
      <c r="I30" s="222">
        <f>G30*$C$30</f>
        <v>199726.62840000002</v>
      </c>
      <c r="J30" s="222"/>
      <c r="K30" s="222">
        <f>I30*$C$30</f>
        <v>203721.16096800001</v>
      </c>
      <c r="L30" s="222"/>
      <c r="M30" s="222">
        <f>K30*$C$30</f>
        <v>207795.58418736001</v>
      </c>
      <c r="N30" s="222"/>
      <c r="O30" s="222">
        <f>M30*$C$30</f>
        <v>211951.49587110721</v>
      </c>
      <c r="P30" s="222"/>
      <c r="Q30" s="222">
        <f>O30*$C$30</f>
        <v>216190.52578852937</v>
      </c>
      <c r="R30" s="222"/>
      <c r="S30" s="222">
        <f>Q30*$C$30</f>
        <v>220514.33630429997</v>
      </c>
      <c r="T30" s="222"/>
      <c r="U30" s="222">
        <f>S30*$C$30</f>
        <v>224924.62303038596</v>
      </c>
      <c r="V30" s="222"/>
      <c r="W30" s="222">
        <f>U30*$C$30</f>
        <v>229423.11549099369</v>
      </c>
      <c r="X30" s="222"/>
      <c r="Y30" s="222">
        <f>W30*$C$30</f>
        <v>234011.57780081357</v>
      </c>
      <c r="Z30" s="222"/>
      <c r="AA30" s="222">
        <f>Y30*$C$30</f>
        <v>238691.80935682985</v>
      </c>
      <c r="AB30" s="222"/>
      <c r="AC30" s="222">
        <f>AA30*$C$30</f>
        <v>243465.64554396644</v>
      </c>
      <c r="AD30" s="222"/>
      <c r="AE30" s="222">
        <f>AC30*$C$30</f>
        <v>248334.95845484576</v>
      </c>
      <c r="AF30" s="222"/>
      <c r="AG30" s="222">
        <f>AE30*$C$30</f>
        <v>253301.65762394268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5270654</v>
      </c>
      <c r="G35" s="223">
        <f>SUM(G22:G33)</f>
        <v>5449821.8249999993</v>
      </c>
      <c r="I35" s="223">
        <f>SUM(I22:I33)</f>
        <v>5635202.9325749995</v>
      </c>
      <c r="K35" s="223">
        <f>SUM(K22:K33)</f>
        <v>5827013.6357891234</v>
      </c>
      <c r="M35" s="223">
        <f>SUM(M22:M33)</f>
        <v>6025477.7956272215</v>
      </c>
      <c r="O35" s="223">
        <f>SUM(O22:O33)</f>
        <v>6230827.0847113645</v>
      </c>
      <c r="Q35" s="223">
        <f>SUM(Q22:Q33)</f>
        <v>6443301.2602381958</v>
      </c>
      <c r="S35" s="223">
        <f>SUM(S22:S33)</f>
        <v>6663148.4464597031</v>
      </c>
      <c r="U35" s="223">
        <f>SUM(U22:U33)</f>
        <v>6890625.4270412289</v>
      </c>
      <c r="W35" s="223">
        <f>SUM(W22:W33)</f>
        <v>7125997.9476422137</v>
      </c>
      <c r="Y35" s="223">
        <f>SUM(Y22:Y33)</f>
        <v>7369541.0290773278</v>
      </c>
      <c r="AA35" s="223">
        <f>SUM(AA22:AA33)</f>
        <v>7621539.2914280202</v>
      </c>
      <c r="AC35" s="223">
        <f>SUM(AC22:AC33)</f>
        <v>7882287.2894876488</v>
      </c>
      <c r="AE35" s="223">
        <f>SUM(AE22:AE33)</f>
        <v>8152089.8599365558</v>
      </c>
      <c r="AG35" s="223">
        <f>SUM(AG22:AG33)</f>
        <v>8431262.4806575123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3713591</v>
      </c>
      <c r="G37" s="223">
        <f>G11-G35</f>
        <v>3759029.3000000007</v>
      </c>
      <c r="I37" s="223">
        <f>I11-I35</f>
        <v>3803869.4705499979</v>
      </c>
      <c r="K37" s="223">
        <f>K11-K35</f>
        <v>3848035.5774139976</v>
      </c>
      <c r="M37" s="223">
        <f>M11-M35</f>
        <v>3891447.6479059756</v>
      </c>
      <c r="O37" s="223">
        <f>O11-O35</f>
        <v>3934021.4949101629</v>
      </c>
      <c r="Q37" s="223">
        <f>Q11-Q35</f>
        <v>3975668.53387387</v>
      </c>
      <c r="S37" s="223">
        <f>S11-S35</f>
        <v>4016295.5925051607</v>
      </c>
      <c r="U37" s="223">
        <f>U11-U35</f>
        <v>4055804.7128977571</v>
      </c>
      <c r="W37" s="223">
        <f>W11-W35</f>
        <v>4094092.9457952464</v>
      </c>
      <c r="Y37" s="223">
        <f>Y11-Y35</f>
        <v>4131052.1366960658</v>
      </c>
      <c r="AA37" s="223">
        <f>AA11-AA35</f>
        <v>4166568.7034897078</v>
      </c>
      <c r="AC37" s="223">
        <f>AC11-AC35</f>
        <v>4200523.4053030219</v>
      </c>
      <c r="AE37" s="223">
        <f>AE11-AE35</f>
        <v>4232791.1022238787</v>
      </c>
      <c r="AG37" s="223">
        <f>AG11-AG35</f>
        <v>4263240.5055569354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Fannie Mae / Capital One</v>
      </c>
      <c r="B40" s="226"/>
      <c r="C40" s="220"/>
      <c r="E40" s="222">
        <f>Application!AF627</f>
        <v>1744180.6177411505</v>
      </c>
      <c r="F40" s="222"/>
      <c r="G40" s="222">
        <f>$E$40</f>
        <v>1744180.6177411505</v>
      </c>
      <c r="H40" s="222"/>
      <c r="I40" s="222">
        <f>$E$40</f>
        <v>1744180.6177411505</v>
      </c>
      <c r="J40" s="222"/>
      <c r="K40" s="222">
        <f>$E$40</f>
        <v>1744180.6177411505</v>
      </c>
      <c r="L40" s="222"/>
      <c r="M40" s="222">
        <f>$E$40</f>
        <v>1744180.6177411505</v>
      </c>
      <c r="N40" s="222"/>
      <c r="O40" s="222">
        <f>$E$40</f>
        <v>1744180.6177411505</v>
      </c>
      <c r="P40" s="222"/>
      <c r="Q40" s="222">
        <f>$E$40</f>
        <v>1744180.6177411505</v>
      </c>
      <c r="R40" s="222"/>
      <c r="S40" s="222">
        <f>$E$40</f>
        <v>1744180.6177411505</v>
      </c>
      <c r="T40" s="222"/>
      <c r="U40" s="222">
        <f>$E$40</f>
        <v>1744180.6177411505</v>
      </c>
      <c r="V40" s="222"/>
      <c r="W40" s="222">
        <f>$E$40</f>
        <v>1744180.6177411505</v>
      </c>
      <c r="X40" s="222"/>
      <c r="Y40" s="222">
        <f>$E$40</f>
        <v>1744180.6177411505</v>
      </c>
      <c r="Z40" s="222"/>
      <c r="AA40" s="222">
        <f>$E$40</f>
        <v>1744180.6177411505</v>
      </c>
      <c r="AB40" s="222"/>
      <c r="AC40" s="222">
        <f>$E$40</f>
        <v>1744180.6177411505</v>
      </c>
      <c r="AD40" s="222"/>
      <c r="AE40" s="222">
        <f>$E$40</f>
        <v>1744180.6177411505</v>
      </c>
      <c r="AF40" s="222"/>
      <c r="AG40" s="222">
        <f>$E$40</f>
        <v>1744180.6177411505</v>
      </c>
    </row>
    <row r="41" spans="1:33" s="210" customFormat="1" ht="14.25">
      <c r="A41" s="225" t="str">
        <f>Application!C628</f>
        <v>Fannie Mae / Capital One</v>
      </c>
      <c r="B41" s="226"/>
      <c r="C41" s="220"/>
      <c r="E41" s="222">
        <f>Application!AF628</f>
        <v>1291985.6427712226</v>
      </c>
      <c r="F41" s="222"/>
      <c r="G41" s="222">
        <f>$E$41</f>
        <v>1291985.6427712226</v>
      </c>
      <c r="H41" s="222"/>
      <c r="I41" s="222">
        <f>$E$41</f>
        <v>1291985.6427712226</v>
      </c>
      <c r="J41" s="222"/>
      <c r="K41" s="222">
        <f>$E$41</f>
        <v>1291985.6427712226</v>
      </c>
      <c r="L41" s="222"/>
      <c r="M41" s="222">
        <f>$E$41</f>
        <v>1291985.6427712226</v>
      </c>
      <c r="N41" s="222"/>
      <c r="O41" s="222">
        <f>$E$41</f>
        <v>1291985.6427712226</v>
      </c>
      <c r="P41" s="222"/>
      <c r="Q41" s="222">
        <f>$E$41</f>
        <v>1291985.6427712226</v>
      </c>
      <c r="R41" s="222"/>
      <c r="S41" s="222">
        <f>$E$41</f>
        <v>1291985.6427712226</v>
      </c>
      <c r="T41" s="222"/>
      <c r="U41" s="222">
        <f>$E$41</f>
        <v>1291985.6427712226</v>
      </c>
      <c r="V41" s="222"/>
      <c r="W41" s="222">
        <f>$E$41</f>
        <v>1291985.6427712226</v>
      </c>
      <c r="X41" s="222"/>
      <c r="Y41" s="222">
        <f>$E$41</f>
        <v>1291985.6427712226</v>
      </c>
      <c r="Z41" s="222"/>
      <c r="AA41" s="222">
        <f>$E$41</f>
        <v>1291985.6427712226</v>
      </c>
      <c r="AB41" s="222"/>
      <c r="AC41" s="222">
        <f>$E$41</f>
        <v>1291985.6427712226</v>
      </c>
      <c r="AD41" s="222"/>
      <c r="AE41" s="222">
        <f>$E$41</f>
        <v>1291985.6427712226</v>
      </c>
      <c r="AF41" s="222"/>
      <c r="AG41" s="222">
        <f>$E$41</f>
        <v>1291985.6427712226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3036166.2605123734</v>
      </c>
      <c r="G43" s="223">
        <f>SUM(G40:G42)</f>
        <v>3036166.2605123734</v>
      </c>
      <c r="I43" s="223">
        <f>SUM(I40:I42)</f>
        <v>3036166.2605123734</v>
      </c>
      <c r="K43" s="223">
        <f>SUM(K40:K42)</f>
        <v>3036166.2605123734</v>
      </c>
      <c r="M43" s="223">
        <f>SUM(M40:M42)</f>
        <v>3036166.2605123734</v>
      </c>
      <c r="O43" s="223">
        <f>SUM(O40:O42)</f>
        <v>3036166.2605123734</v>
      </c>
      <c r="Q43" s="223">
        <f>SUM(Q40:Q42)</f>
        <v>3036166.2605123734</v>
      </c>
      <c r="S43" s="223">
        <f>SUM(S40:S42)</f>
        <v>3036166.2605123734</v>
      </c>
      <c r="U43" s="223">
        <f>SUM(U40:U42)</f>
        <v>3036166.2605123734</v>
      </c>
      <c r="W43" s="223">
        <f>SUM(W40:W42)</f>
        <v>3036166.2605123734</v>
      </c>
      <c r="Y43" s="223">
        <f>SUM(Y40:Y42)</f>
        <v>3036166.2605123734</v>
      </c>
      <c r="AA43" s="223">
        <f>SUM(AA40:AA42)</f>
        <v>3036166.2605123734</v>
      </c>
      <c r="AC43" s="223">
        <f>SUM(AC40:AC42)</f>
        <v>3036166.2605123734</v>
      </c>
      <c r="AE43" s="223">
        <f>SUM(AE40:AE42)</f>
        <v>3036166.2605123734</v>
      </c>
      <c r="AG43" s="223">
        <f>SUM(AG40:AG42)</f>
        <v>3036166.2605123734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677424.73948762659</v>
      </c>
      <c r="G45" s="223">
        <f>G37-G43</f>
        <v>722863.03948762733</v>
      </c>
      <c r="I45" s="223">
        <f>I37-I43</f>
        <v>767703.21003762446</v>
      </c>
      <c r="K45" s="223">
        <f>K37-K43</f>
        <v>811869.3169016242</v>
      </c>
      <c r="M45" s="223">
        <f>M37-M43</f>
        <v>855281.38739360217</v>
      </c>
      <c r="O45" s="223">
        <f>O37-O43</f>
        <v>897855.23439778946</v>
      </c>
      <c r="Q45" s="223">
        <f>Q37-Q43</f>
        <v>939502.27336149663</v>
      </c>
      <c r="S45" s="223">
        <f>S37-S43</f>
        <v>980129.33199278731</v>
      </c>
      <c r="U45" s="223">
        <f>U37-U43</f>
        <v>1019638.4523853837</v>
      </c>
      <c r="W45" s="223">
        <f>W37-W43</f>
        <v>1057926.685282873</v>
      </c>
      <c r="Y45" s="223">
        <f>Y37-Y43</f>
        <v>1094885.8761836924</v>
      </c>
      <c r="AA45" s="223">
        <f>AA37-AA43</f>
        <v>1130402.4429773344</v>
      </c>
      <c r="AC45" s="223">
        <f>AC37-AC43</f>
        <v>1164357.1447906485</v>
      </c>
      <c r="AE45" s="223">
        <f>AE37-AE43</f>
        <v>1196624.8417115053</v>
      </c>
      <c r="AG45" s="223">
        <f>AG37-AG43</f>
        <v>1227074.245044562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7.1631339362767291E-2</v>
      </c>
      <c r="G47" s="227">
        <f>G45/(G4+G6+G8)</f>
        <v>7.4571722160753903E-2</v>
      </c>
      <c r="I47" s="227">
        <f>I45/(I4+I6+I8)</f>
        <v>7.7265860286683211E-2</v>
      </c>
      <c r="K47" s="227">
        <f>K45/(K4+K6+K8)</f>
        <v>7.9718028721137285E-2</v>
      </c>
      <c r="M47" s="227">
        <f>M45/(M4+M6+M8)</f>
        <v>8.1932381427124931E-2</v>
      </c>
      <c r="O47" s="227">
        <f>O45/(O4+O6+O8)</f>
        <v>8.3912954137646253E-2</v>
      </c>
      <c r="Q47" s="227">
        <f>Q45/(Q4+Q6+Q8)</f>
        <v>8.5663667073668251E-2</v>
      </c>
      <c r="S47" s="227">
        <f>S45/(S4+S6+S8)</f>
        <v>8.7188327594195592E-2</v>
      </c>
      <c r="U47" s="227">
        <f>U45/(U4+U6+U8)</f>
        <v>8.8490632780077613E-2</v>
      </c>
      <c r="W47" s="227">
        <f>W45/(W4+W6+W8)</f>
        <v>8.9574171953149095E-2</v>
      </c>
      <c r="Y47" s="227">
        <f>Y45/(Y4+Y6+Y8)</f>
        <v>9.0442429132268159E-2</v>
      </c>
      <c r="AA47" s="227">
        <f>AA45/(AA4+AA6+AA8)</f>
        <v>9.1098785427776566E-2</v>
      </c>
      <c r="AC47" s="227">
        <f>AC45/(AC4+AC6+AC8)</f>
        <v>9.1546521375859335E-2</v>
      </c>
      <c r="AE47" s="227">
        <f>AE45/(AE4+AE6+AE8)</f>
        <v>9.1788819214264461E-2</v>
      </c>
      <c r="AG47" s="227">
        <f>AG45/(AG4+AG6+AG8)</f>
        <v>9.1828765100787663E-2</v>
      </c>
    </row>
    <row r="48" spans="1:33" s="227" customFormat="1" ht="14.25">
      <c r="A48" s="227" t="s">
        <v>853</v>
      </c>
      <c r="C48" s="220"/>
      <c r="E48" s="227">
        <f>E45/E43</f>
        <v>0.22311845971613775</v>
      </c>
      <c r="G48" s="227">
        <f>G45/G43</f>
        <v>0.238084142126538</v>
      </c>
      <c r="I48" s="227">
        <f>I45/I43</f>
        <v>0.25285282299002604</v>
      </c>
      <c r="K48" s="227">
        <f>K45/K43</f>
        <v>0.26739949239954197</v>
      </c>
      <c r="M48" s="227">
        <f>M45/M43</f>
        <v>0.28169781033310992</v>
      </c>
      <c r="O48" s="227">
        <f>O45/O43</f>
        <v>0.29572004869267943</v>
      </c>
      <c r="Q48" s="227">
        <f>Q45/Q43</f>
        <v>0.30943703102838294</v>
      </c>
      <c r="S48" s="227">
        <f>S45/S43</f>
        <v>0.32281806986004247</v>
      </c>
      <c r="U48" s="227">
        <f>U45/U43</f>
        <v>0.33583090150448902</v>
      </c>
      <c r="W48" s="227">
        <f>W45/W43</f>
        <v>0.34844161831386034</v>
      </c>
      <c r="Y48" s="227">
        <f>Y45/Y43</f>
        <v>0.36061459822655528</v>
      </c>
      <c r="AA48" s="227">
        <f>AA45/AA43</f>
        <v>0.37231243152888849</v>
      </c>
      <c r="AC48" s="227">
        <f>AC45/AC43</f>
        <v>0.38349584472167719</v>
      </c>
      <c r="AE48" s="227">
        <f>AE45/AE43</f>
        <v>0.39412362138217255</v>
      </c>
      <c r="AG48" s="227">
        <f>AG45/AG43</f>
        <v>0.40415251990761697</v>
      </c>
    </row>
    <row r="49" spans="1:34" s="228" customFormat="1" ht="14.25">
      <c r="A49" s="228" t="s">
        <v>851</v>
      </c>
      <c r="C49" s="229"/>
      <c r="E49" s="228">
        <f>E37/E43</f>
        <v>1.2231184597161378</v>
      </c>
      <c r="G49" s="228">
        <f>G37/G43</f>
        <v>1.2380841421265381</v>
      </c>
      <c r="I49" s="228">
        <f>I37/I43</f>
        <v>1.252852822990026</v>
      </c>
      <c r="K49" s="228">
        <f>K37/K43</f>
        <v>1.267399492399542</v>
      </c>
      <c r="M49" s="228">
        <f>M37/M43</f>
        <v>1.2816978103331098</v>
      </c>
      <c r="O49" s="228">
        <f>O37/O43</f>
        <v>1.2957200486926794</v>
      </c>
      <c r="Q49" s="228">
        <f>Q37/Q43</f>
        <v>1.3094370310283829</v>
      </c>
      <c r="S49" s="228">
        <f>S37/S43</f>
        <v>1.3228180698600425</v>
      </c>
      <c r="U49" s="228">
        <f>U37/U43</f>
        <v>1.3358309015044891</v>
      </c>
      <c r="W49" s="228">
        <f>W37/W43</f>
        <v>1.3484416183138603</v>
      </c>
      <c r="Y49" s="228">
        <f>Y37/Y43</f>
        <v>1.3606145982265554</v>
      </c>
      <c r="AA49" s="228">
        <f>AA37/AA43</f>
        <v>1.3723124315288884</v>
      </c>
      <c r="AC49" s="228">
        <f>AC37/AC43</f>
        <v>1.3834958447216772</v>
      </c>
      <c r="AE49" s="228">
        <f>AE37/AE43</f>
        <v>1.3941236213821726</v>
      </c>
      <c r="AG49" s="228">
        <f>AG37/AG43</f>
        <v>1.404152519907617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1185</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856</v>
      </c>
      <c r="C54" s="958"/>
      <c r="E54" s="965">
        <v>11000</v>
      </c>
      <c r="F54" s="960"/>
      <c r="G54" s="960">
        <f t="shared" ref="G54:AG57" si="1">E54*$C$53</f>
        <v>11330</v>
      </c>
      <c r="H54" s="960"/>
      <c r="I54" s="960">
        <f t="shared" si="1"/>
        <v>11669.9</v>
      </c>
      <c r="J54" s="960"/>
      <c r="K54" s="960">
        <f t="shared" si="1"/>
        <v>12019.996999999999</v>
      </c>
      <c r="L54" s="960"/>
      <c r="M54" s="960">
        <f t="shared" si="1"/>
        <v>12380.59691</v>
      </c>
      <c r="N54" s="960"/>
      <c r="O54" s="960">
        <f t="shared" si="1"/>
        <v>12752.0148173</v>
      </c>
      <c r="P54" s="960"/>
      <c r="Q54" s="960">
        <f t="shared" si="1"/>
        <v>13134.575261819</v>
      </c>
      <c r="R54" s="960"/>
      <c r="S54" s="960">
        <f t="shared" si="1"/>
        <v>13528.61251967357</v>
      </c>
      <c r="T54" s="960"/>
      <c r="U54" s="960">
        <f t="shared" si="1"/>
        <v>13934.470895263777</v>
      </c>
      <c r="V54" s="960"/>
      <c r="W54" s="960">
        <f t="shared" si="1"/>
        <v>14352.505022121692</v>
      </c>
      <c r="X54" s="960"/>
      <c r="Y54" s="960">
        <f t="shared" si="1"/>
        <v>14783.080172785343</v>
      </c>
      <c r="Z54" s="960"/>
      <c r="AA54" s="960">
        <f t="shared" si="1"/>
        <v>15226.572577968904</v>
      </c>
      <c r="AB54" s="960"/>
      <c r="AC54" s="960">
        <f t="shared" si="1"/>
        <v>15683.369755307971</v>
      </c>
      <c r="AD54" s="960"/>
      <c r="AE54" s="960">
        <f t="shared" si="1"/>
        <v>16153.870847967211</v>
      </c>
      <c r="AF54" s="960"/>
      <c r="AG54" s="960">
        <f t="shared" si="1"/>
        <v>16638.486973406227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26000</v>
      </c>
      <c r="F58" s="960"/>
      <c r="G58" s="960">
        <f>SUM(G53:G57)</f>
        <v>26780</v>
      </c>
      <c r="H58" s="960"/>
      <c r="I58" s="960">
        <f>SUM(I53:I57)</f>
        <v>27583.4</v>
      </c>
      <c r="J58" s="960"/>
      <c r="K58" s="960">
        <f>SUM(K53:K57)</f>
        <v>28410.901999999998</v>
      </c>
      <c r="L58" s="960"/>
      <c r="M58" s="960">
        <f>SUM(M53:M57)</f>
        <v>29263.229059999998</v>
      </c>
      <c r="N58" s="960"/>
      <c r="O58" s="960">
        <f>SUM(O53:O57)</f>
        <v>30141.125931800001</v>
      </c>
      <c r="P58" s="960"/>
      <c r="Q58" s="960">
        <f>SUM(Q53:Q57)</f>
        <v>31045.359709753997</v>
      </c>
      <c r="R58" s="960"/>
      <c r="S58" s="960">
        <f>SUM(S53:S57)</f>
        <v>31976.72050104662</v>
      </c>
      <c r="T58" s="960"/>
      <c r="U58" s="960">
        <f>SUM(U53:U57)</f>
        <v>32936.02211607802</v>
      </c>
      <c r="V58" s="960"/>
      <c r="W58" s="960">
        <f>SUM(W53:W57)</f>
        <v>33924.102779560359</v>
      </c>
      <c r="X58" s="960"/>
      <c r="Y58" s="960">
        <f>SUM(Y53:Y57)</f>
        <v>34941.825862947175</v>
      </c>
      <c r="Z58" s="960"/>
      <c r="AA58" s="960">
        <f>SUM(AA53:AA57)</f>
        <v>35990.080638835592</v>
      </c>
      <c r="AB58" s="960"/>
      <c r="AC58" s="960">
        <f>SUM(AC53:AC57)</f>
        <v>37069.783058000656</v>
      </c>
      <c r="AD58" s="960"/>
      <c r="AE58" s="960">
        <f>SUM(AE53:AE57)</f>
        <v>38181.876549740678</v>
      </c>
      <c r="AF58" s="960"/>
      <c r="AG58" s="960">
        <f>SUM(AG53:AG57)</f>
        <v>39327.332846232901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651424.73948762659</v>
      </c>
      <c r="G60" s="962">
        <f>G45-G58</f>
        <v>696083.03948762733</v>
      </c>
      <c r="I60" s="962">
        <f>I45-I58</f>
        <v>740119.81003762444</v>
      </c>
      <c r="K60" s="962">
        <f>K45-K58</f>
        <v>783458.4149016242</v>
      </c>
      <c r="M60" s="962">
        <f>M45-M58</f>
        <v>826018.15833360213</v>
      </c>
      <c r="O60" s="962">
        <f>O45-O58</f>
        <v>867714.10846598947</v>
      </c>
      <c r="Q60" s="962">
        <f>Q45-Q58</f>
        <v>908456.91365174262</v>
      </c>
      <c r="S60" s="962">
        <f>S45-S58</f>
        <v>948152.61149174068</v>
      </c>
      <c r="U60" s="962">
        <f>U45-U58</f>
        <v>986702.43026930559</v>
      </c>
      <c r="W60" s="962">
        <f>W45-W58</f>
        <v>1024002.5825033126</v>
      </c>
      <c r="Y60" s="962">
        <f>Y45-Y58</f>
        <v>1059944.0503207452</v>
      </c>
      <c r="AA60" s="962">
        <f>AA45-AA58</f>
        <v>1094412.3623384987</v>
      </c>
      <c r="AC60" s="962">
        <f>AC45-AC58</f>
        <v>1127287.3617326478</v>
      </c>
      <c r="AE60" s="962">
        <f>AE45-AE58</f>
        <v>1158442.9651617645</v>
      </c>
      <c r="AG60" s="962">
        <f>AG45-AG58</f>
        <v>1187746.9121983291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651424.73948762659</v>
      </c>
      <c r="G62" s="962">
        <f>G60*$C$62</f>
        <v>696083.03948762733</v>
      </c>
      <c r="I62" s="962">
        <f>I60*$C$62</f>
        <v>740119.81003762444</v>
      </c>
      <c r="K62" s="962">
        <f>K60*$C$62</f>
        <v>783458.4149016242</v>
      </c>
      <c r="M62" s="962">
        <f>M60*$C$62</f>
        <v>826018.15833360213</v>
      </c>
      <c r="O62" s="962">
        <f>O60*$C$62</f>
        <v>867714.10846598947</v>
      </c>
      <c r="Q62" s="962">
        <f>Q60*$C$62</f>
        <v>908456.91365174262</v>
      </c>
      <c r="S62" s="962">
        <f>S60*$C$62</f>
        <v>948152.61149174068</v>
      </c>
      <c r="U62" s="962">
        <f>U60*$C$62</f>
        <v>986702.43026930559</v>
      </c>
      <c r="W62" s="962">
        <f>W60*$C$62</f>
        <v>1024002.5825033126</v>
      </c>
      <c r="Y62" s="962">
        <f>Y60*$C$62</f>
        <v>1059944.0503207452</v>
      </c>
      <c r="AA62" s="962">
        <f>AA60*$C$62</f>
        <v>1094412.3623384987</v>
      </c>
      <c r="AC62" s="962">
        <f>AC60*$C$62</f>
        <v>1127287.3617326478</v>
      </c>
      <c r="AE62" s="962">
        <f>AE60*$C$62</f>
        <v>1158442.9651617645</v>
      </c>
      <c r="AG62" s="962">
        <f>AG60*$C$62</f>
        <v>1187746.9121983291</v>
      </c>
    </row>
    <row r="63" spans="1:34" s="962" customFormat="1">
      <c r="A63" s="2696" t="s">
        <v>1185</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4" t="s">
        <v>1722</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1008000</v>
      </c>
      <c r="C5" s="266">
        <f>'Sources and Uses Budget'!$C4</f>
        <v>1008000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1008000</v>
      </c>
      <c r="C9" s="270">
        <f>SUM(C5:C8)</f>
        <v>1008000</v>
      </c>
      <c r="D9" s="270">
        <f t="shared" si="0"/>
        <v>0</v>
      </c>
      <c r="E9" s="268"/>
      <c r="F9" s="267"/>
    </row>
    <row r="10" spans="1:6" s="352" customFormat="1">
      <c r="A10" s="364" t="s">
        <v>595</v>
      </c>
      <c r="B10" s="266">
        <f>'Sources and Uses Budget'!$C9</f>
        <v>34992000</v>
      </c>
      <c r="C10" s="266">
        <f>'Sources and Uses Budget'!$C9</f>
        <v>34992000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34992000</v>
      </c>
      <c r="C12" s="270">
        <f>SUM(C10:C11)</f>
        <v>34992000</v>
      </c>
      <c r="D12" s="270">
        <f t="shared" si="0"/>
        <v>0</v>
      </c>
      <c r="E12" s="268"/>
      <c r="F12" s="267"/>
    </row>
    <row r="13" spans="1:6" s="352" customFormat="1">
      <c r="A13" s="365" t="s">
        <v>84</v>
      </c>
      <c r="B13" s="270">
        <f>SUM(B9+B12)</f>
        <v>36000000</v>
      </c>
      <c r="C13" s="270">
        <f>SUM(C9+C12)</f>
        <v>36000000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6052200</v>
      </c>
      <c r="C18" s="266">
        <f>'Sources and Uses Budget'!$C17</f>
        <v>6052200</v>
      </c>
      <c r="D18" s="270">
        <f t="shared" si="0"/>
        <v>0</v>
      </c>
      <c r="E18" s="268"/>
      <c r="F18" s="267"/>
    </row>
    <row r="19" spans="1:6" s="352" customFormat="1">
      <c r="A19" s="145" t="s">
        <v>600</v>
      </c>
      <c r="B19" s="266">
        <f>'Sources and Uses Budget'!$C18</f>
        <v>24208800</v>
      </c>
      <c r="C19" s="266">
        <f>'Sources and Uses Budget'!$C18</f>
        <v>24208800</v>
      </c>
      <c r="D19" s="270">
        <f t="shared" si="0"/>
        <v>0</v>
      </c>
      <c r="E19" s="268"/>
      <c r="F19" s="267"/>
    </row>
    <row r="20" spans="1:6" s="352" customFormat="1">
      <c r="A20" s="145" t="s">
        <v>601</v>
      </c>
      <c r="B20" s="266">
        <f>'Sources and Uses Budget'!$C19</f>
        <v>1815660</v>
      </c>
      <c r="C20" s="266">
        <f>'Sources and Uses Budget'!$C19</f>
        <v>1815660</v>
      </c>
      <c r="D20" s="270">
        <f t="shared" si="0"/>
        <v>0</v>
      </c>
      <c r="E20" s="268"/>
      <c r="F20" s="267"/>
    </row>
    <row r="21" spans="1:6" s="352" customFormat="1">
      <c r="A21" s="145" t="s">
        <v>137</v>
      </c>
      <c r="B21" s="266">
        <f>'Sources and Uses Budget'!$C20</f>
        <v>605220</v>
      </c>
      <c r="C21" s="266">
        <f>'Sources and Uses Budget'!$C20</f>
        <v>605220</v>
      </c>
      <c r="D21" s="270">
        <f t="shared" si="0"/>
        <v>0</v>
      </c>
      <c r="E21" s="268"/>
      <c r="F21" s="267"/>
    </row>
    <row r="22" spans="1:6" s="352" customFormat="1">
      <c r="A22" s="145" t="s">
        <v>138</v>
      </c>
      <c r="B22" s="266">
        <f>'Sources and Uses Budget'!$C21</f>
        <v>1815660</v>
      </c>
      <c r="C22" s="266">
        <f>'Sources and Uses Budget'!$C21</f>
        <v>1815660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Affiliated CM</v>
      </c>
      <c r="B26" s="266">
        <f>'Sources and Uses Budget'!$C25</f>
        <v>300000</v>
      </c>
      <c r="C26" s="266">
        <f>'Sources and Uses Budget'!$C25</f>
        <v>300000</v>
      </c>
      <c r="D26" s="270">
        <f t="shared" si="0"/>
        <v>0</v>
      </c>
      <c r="E26" s="268"/>
      <c r="F26" s="267"/>
    </row>
    <row r="27" spans="1:6" s="352" customFormat="1">
      <c r="A27" s="1018" t="s">
        <v>133</v>
      </c>
      <c r="B27" s="270">
        <f>SUM(B18:B26)</f>
        <v>34797540</v>
      </c>
      <c r="C27" s="270">
        <f>SUM(C18:C26)</f>
        <v>34797540</v>
      </c>
      <c r="D27" s="270">
        <f>SUM(D18:D26)</f>
        <v>0</v>
      </c>
      <c r="E27" s="268"/>
      <c r="F27" s="267"/>
    </row>
    <row r="28" spans="1:6" s="352" customFormat="1">
      <c r="A28" s="271" t="s">
        <v>141</v>
      </c>
      <c r="B28" s="266">
        <f>'Sources and Uses Budget'!$C$27</f>
        <v>1732500</v>
      </c>
      <c r="C28" s="266">
        <f>'Sources and Uses Budget'!$C$27</f>
        <v>1732500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225000</v>
      </c>
      <c r="C41" s="266">
        <f>'Sources and Uses Budget'!$C40</f>
        <v>225000</v>
      </c>
      <c r="D41" s="270">
        <f t="shared" si="0"/>
        <v>0</v>
      </c>
      <c r="E41" s="268"/>
      <c r="F41" s="267"/>
    </row>
    <row r="42" spans="1:6" s="352" customFormat="1">
      <c r="A42" s="269" t="s">
        <v>146</v>
      </c>
      <c r="B42" s="266">
        <f>'Sources and Uses Budget'!$C41</f>
        <v>75000</v>
      </c>
      <c r="C42" s="266">
        <f>'Sources and Uses Budget'!$C41</f>
        <v>75000</v>
      </c>
      <c r="D42" s="270">
        <f t="shared" si="0"/>
        <v>0</v>
      </c>
      <c r="E42" s="268"/>
      <c r="F42" s="267"/>
    </row>
    <row r="43" spans="1:6" s="352" customFormat="1">
      <c r="A43" s="271" t="s">
        <v>147</v>
      </c>
      <c r="B43" s="270">
        <f>SUM(B41:B42)</f>
        <v>300000</v>
      </c>
      <c r="C43" s="270">
        <f>SUM(C41:C42)</f>
        <v>300000</v>
      </c>
      <c r="D43" s="270">
        <f t="shared" si="0"/>
        <v>0</v>
      </c>
      <c r="E43" s="268"/>
      <c r="F43" s="267"/>
    </row>
    <row r="44" spans="1:6" s="352" customFormat="1">
      <c r="A44" s="271" t="s">
        <v>148</v>
      </c>
      <c r="B44" s="266">
        <f>'Sources and Uses Budget'!$C43</f>
        <v>172500</v>
      </c>
      <c r="C44" s="266">
        <f>'Sources and Uses Budget'!$C43</f>
        <v>172500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3977260</v>
      </c>
      <c r="C46" s="266">
        <f>'Sources and Uses Budget'!$C45</f>
        <v>3977260</v>
      </c>
      <c r="D46" s="270">
        <f t="shared" si="0"/>
        <v>0</v>
      </c>
      <c r="E46" s="268"/>
      <c r="F46" s="267"/>
    </row>
    <row r="47" spans="1:6" s="352" customFormat="1">
      <c r="A47" s="145" t="s">
        <v>151</v>
      </c>
      <c r="B47" s="266">
        <f>'Sources and Uses Budget'!$C46</f>
        <v>337500</v>
      </c>
      <c r="C47" s="266">
        <f>'Sources and Uses Budget'!$C46</f>
        <v>337500</v>
      </c>
      <c r="D47" s="270">
        <f t="shared" si="0"/>
        <v>0</v>
      </c>
      <c r="E47" s="268"/>
      <c r="F47" s="267"/>
    </row>
    <row r="48" spans="1:6" s="352" customFormat="1" ht="12" customHeight="1">
      <c r="A48" s="186" t="s">
        <v>152</v>
      </c>
      <c r="B48" s="266">
        <f>'Sources and Uses Budget'!$C47</f>
        <v>45000</v>
      </c>
      <c r="C48" s="266">
        <f>'Sources and Uses Budget'!$C47</f>
        <v>45000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506250</v>
      </c>
      <c r="C50" s="266">
        <f>'Sources and Uses Budget'!$C49</f>
        <v>506250</v>
      </c>
      <c r="D50" s="270">
        <f t="shared" si="0"/>
        <v>0</v>
      </c>
      <c r="E50" s="268"/>
      <c r="F50" s="267"/>
    </row>
    <row r="51" spans="1:6" s="352" customFormat="1">
      <c r="A51" s="145" t="s">
        <v>156</v>
      </c>
      <c r="B51" s="266">
        <f>'Sources and Uses Budget'!$C50</f>
        <v>112500</v>
      </c>
      <c r="C51" s="266">
        <f>'Sources and Uses Budget'!$C50</f>
        <v>112500</v>
      </c>
      <c r="D51" s="270">
        <f t="shared" si="0"/>
        <v>0</v>
      </c>
      <c r="E51" s="268"/>
      <c r="F51" s="267"/>
    </row>
    <row r="52" spans="1:6" s="352" customFormat="1">
      <c r="A52" s="283" t="s">
        <v>154</v>
      </c>
      <c r="B52" s="266">
        <f>'Sources and Uses Budget'!$C51</f>
        <v>191970</v>
      </c>
      <c r="C52" s="266">
        <f>'Sources and Uses Budget'!$C51</f>
        <v>191970</v>
      </c>
      <c r="D52" s="270">
        <f t="shared" si="0"/>
        <v>0</v>
      </c>
      <c r="E52" s="268"/>
      <c r="F52" s="267"/>
    </row>
    <row r="53" spans="1:6" s="352" customFormat="1">
      <c r="A53" s="145" t="s">
        <v>155</v>
      </c>
      <c r="B53" s="266">
        <f>'Sources and Uses Budget'!$C52</f>
        <v>308881</v>
      </c>
      <c r="C53" s="266">
        <f>'Sources and Uses Budget'!$C52</f>
        <v>308881</v>
      </c>
      <c r="D53" s="270">
        <f t="shared" si="0"/>
        <v>0</v>
      </c>
      <c r="E53" s="268"/>
      <c r="F53" s="267"/>
    </row>
    <row r="54" spans="1:6" s="352" customFormat="1">
      <c r="A54" s="155" t="str">
        <f>'Sources and Uses Budget'!A53</f>
        <v>Other: Lender Application / DD / Inspection</v>
      </c>
      <c r="B54" s="266">
        <f>'Sources and Uses Budget'!$C53</f>
        <v>80000</v>
      </c>
      <c r="C54" s="266">
        <f>'Sources and Uses Budget'!$C53</f>
        <v>80000</v>
      </c>
      <c r="D54" s="270">
        <f t="shared" si="0"/>
        <v>0</v>
      </c>
      <c r="E54" s="268"/>
      <c r="F54" s="267"/>
    </row>
    <row r="55" spans="1:6" s="353" customFormat="1">
      <c r="A55" s="271" t="s">
        <v>157</v>
      </c>
      <c r="B55" s="273">
        <f>SUM(B46:B54)</f>
        <v>5559361</v>
      </c>
      <c r="C55" s="273">
        <f>SUM(C46:C54)</f>
        <v>5559361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44064361</v>
      </c>
      <c r="C64" s="270">
        <f>SUM(C9+C12+C14+C15+C17+C26+C28+C39+C43+C44+C55+C63)</f>
        <v>44064361</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110000</v>
      </c>
      <c r="C66" s="266">
        <f>'Sources and Uses Budget'!$C65</f>
        <v>110000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30000</v>
      </c>
      <c r="C68" s="266">
        <f>'Sources and Uses Budget'!$C67</f>
        <v>30000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345000</v>
      </c>
      <c r="C70" s="266">
        <f>'Sources and Uses Budget'!$C69</f>
        <v>345000</v>
      </c>
      <c r="D70" s="270">
        <f t="shared" si="0"/>
        <v>0</v>
      </c>
      <c r="E70" s="268"/>
      <c r="F70" s="267"/>
    </row>
    <row r="71" spans="1:6" s="352" customFormat="1">
      <c r="A71" s="149" t="s">
        <v>1646</v>
      </c>
      <c r="B71" s="270">
        <f>SUM(B66:B70)</f>
        <v>485000</v>
      </c>
      <c r="C71" s="270">
        <f>SUM(C66:C70)</f>
        <v>485000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231000</v>
      </c>
      <c r="C75" s="266">
        <f>'Sources and Uses Budget'!$C74</f>
        <v>231000</v>
      </c>
      <c r="D75" s="270">
        <f t="shared" si="0"/>
        <v>0</v>
      </c>
      <c r="E75" s="268"/>
      <c r="F75" s="267"/>
    </row>
    <row r="76" spans="1:6" s="352" customFormat="1">
      <c r="A76" s="269" t="s">
        <v>606</v>
      </c>
      <c r="B76" s="266">
        <f>'Sources and Uses Budget'!$C75</f>
        <v>1969742</v>
      </c>
      <c r="C76" s="266">
        <f>'Sources and Uses Budget'!$C75</f>
        <v>1969742</v>
      </c>
      <c r="D76" s="270">
        <f t="shared" si="0"/>
        <v>0</v>
      </c>
      <c r="E76" s="268"/>
      <c r="F76" s="267"/>
    </row>
    <row r="77" spans="1:6" s="352" customFormat="1">
      <c r="A77" s="272" t="s">
        <v>34</v>
      </c>
      <c r="B77" s="266">
        <f>'Sources and Uses Budget'!$C76</f>
        <v>352441</v>
      </c>
      <c r="C77" s="266">
        <f>'Sources and Uses Budget'!$C76</f>
        <v>352441</v>
      </c>
      <c r="D77" s="270">
        <f t="shared" si="0"/>
        <v>0</v>
      </c>
      <c r="E77" s="268"/>
      <c r="F77" s="267"/>
    </row>
    <row r="78" spans="1:6" s="352" customFormat="1">
      <c r="A78" s="271" t="s">
        <v>607</v>
      </c>
      <c r="B78" s="270">
        <f>SUM(B73:B77)</f>
        <v>2553183</v>
      </c>
      <c r="C78" s="270">
        <f>SUM(C73:C77)</f>
        <v>2553183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3449754</v>
      </c>
      <c r="C80" s="266">
        <f>'Sources and Uses Budget'!$C79</f>
        <v>3449754</v>
      </c>
      <c r="D80" s="270">
        <f t="shared" si="1"/>
        <v>0</v>
      </c>
      <c r="E80" s="268"/>
      <c r="F80" s="267"/>
    </row>
    <row r="81" spans="1:6" s="352" customFormat="1">
      <c r="A81" s="510" t="s">
        <v>58</v>
      </c>
      <c r="B81" s="266">
        <f>'Sources and Uses Budget'!$C80</f>
        <v>433596</v>
      </c>
      <c r="C81" s="266">
        <f>'Sources and Uses Budget'!$C80</f>
        <v>433596</v>
      </c>
      <c r="D81" s="270">
        <f>C81-B81</f>
        <v>0</v>
      </c>
      <c r="E81" s="268"/>
      <c r="F81" s="267"/>
    </row>
    <row r="82" spans="1:6" s="352" customFormat="1">
      <c r="A82" s="271" t="s">
        <v>1210</v>
      </c>
      <c r="B82" s="270">
        <f>SUM(B80:B81)</f>
        <v>3883350</v>
      </c>
      <c r="C82" s="270">
        <f>SUM(C80:C81)</f>
        <v>3883350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138325</v>
      </c>
      <c r="C84" s="266">
        <f>'Sources and Uses Budget'!$C83</f>
        <v>138325</v>
      </c>
      <c r="D84" s="270">
        <f t="shared" si="1"/>
        <v>0</v>
      </c>
      <c r="E84" s="268"/>
      <c r="F84" s="267"/>
    </row>
    <row r="85" spans="1:6" s="352" customFormat="1">
      <c r="A85" s="269" t="s">
        <v>768</v>
      </c>
      <c r="B85" s="266">
        <f>'Sources and Uses Budget'!$C84</f>
        <v>50000</v>
      </c>
      <c r="C85" s="266">
        <f>'Sources and Uses Budget'!$C84</f>
        <v>50000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55000</v>
      </c>
      <c r="C89" s="266">
        <f>'Sources and Uses Budget'!$C88</f>
        <v>55000</v>
      </c>
      <c r="D89" s="270">
        <f t="shared" si="1"/>
        <v>0</v>
      </c>
      <c r="E89" s="268"/>
      <c r="F89" s="267"/>
    </row>
    <row r="90" spans="1:6" s="352" customFormat="1">
      <c r="A90" s="269" t="s">
        <v>773</v>
      </c>
      <c r="B90" s="266">
        <f>'Sources and Uses Budget'!$C89</f>
        <v>462000</v>
      </c>
      <c r="C90" s="266">
        <f>'Sources and Uses Budget'!$C89</f>
        <v>462000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569209</v>
      </c>
      <c r="C94" s="266">
        <f>'Sources and Uses Budget'!$C93</f>
        <v>569209</v>
      </c>
      <c r="D94" s="270">
        <f t="shared" si="1"/>
        <v>0</v>
      </c>
      <c r="E94" s="268"/>
      <c r="F94" s="267"/>
    </row>
    <row r="95" spans="1:6" s="352" customFormat="1">
      <c r="A95" s="272" t="s">
        <v>34</v>
      </c>
      <c r="B95" s="266">
        <f>'Sources and Uses Budget'!$C94</f>
        <v>924341</v>
      </c>
      <c r="C95" s="266">
        <f>'Sources and Uses Budget'!$C94</f>
        <v>924341</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2533875</v>
      </c>
      <c r="C97" s="270">
        <f>SUM(C84:C96)</f>
        <v>2533875</v>
      </c>
      <c r="D97" s="270">
        <f t="shared" si="1"/>
        <v>0</v>
      </c>
      <c r="E97" s="268"/>
      <c r="F97" s="267"/>
    </row>
    <row r="98" spans="1:6" s="352" customFormat="1">
      <c r="A98" s="271" t="s">
        <v>776</v>
      </c>
      <c r="B98" s="270">
        <f>SUM(B64+B71+B78+B82+B97)</f>
        <v>53519769</v>
      </c>
      <c r="C98" s="270">
        <f>SUM(C64+C71+C78+C82+C97)</f>
        <v>53519769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8860720</v>
      </c>
      <c r="C100" s="266">
        <f>'Sources and Uses Budget'!$C99</f>
        <v>8860720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8860720</v>
      </c>
      <c r="C105" s="270">
        <f>SUM(C100:C104)</f>
        <v>8860720</v>
      </c>
      <c r="D105" s="270">
        <f t="shared" si="1"/>
        <v>0</v>
      </c>
      <c r="E105" s="268"/>
      <c r="F105" s="267"/>
    </row>
    <row r="106" spans="1:6" s="352" customFormat="1">
      <c r="A106" s="271" t="s">
        <v>781</v>
      </c>
      <c r="B106" s="273">
        <f>SUM(B98+B105)</f>
        <v>62380489</v>
      </c>
      <c r="C106" s="273">
        <f>SUM(C98+C105)</f>
        <v>62380489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307</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307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201" workbookViewId="0">
      <selection activeCell="A11" sqref="A11:AT1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115</v>
      </c>
    </row>
    <row r="8" spans="1:58"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898"/>
      <c r="AV8" s="898"/>
      <c r="AW8" s="898"/>
      <c r="AX8" s="898"/>
      <c r="AY8" s="898"/>
      <c r="BD8" s="3" t="s">
        <v>2510</v>
      </c>
      <c r="BE8" s="1249">
        <f>SUMIF($AC$718:$AC$752,"&lt;=35%",$G$718:G$752)-SUM($BE$5:BE7)</f>
        <v>0</v>
      </c>
    </row>
    <row r="9" spans="1:58" ht="12.95" customHeight="1">
      <c r="A9" s="1843" t="s">
        <v>2077</v>
      </c>
      <c r="B9" s="1843"/>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3"/>
      <c r="AV9" s="13"/>
      <c r="AW9" s="13"/>
      <c r="AX9" s="13"/>
      <c r="AY9" s="13"/>
      <c r="BD9" s="1248" t="s">
        <v>2502</v>
      </c>
      <c r="BE9" s="1249">
        <f>SUMIF($AC$718:$AC$752,"&lt;=40%",$G$718:G$752)-SUM($BE$5:BE8)</f>
        <v>0</v>
      </c>
    </row>
    <row r="10" spans="1:58" ht="12.95" customHeight="1">
      <c r="A10" s="1843" t="s">
        <v>2459</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3"/>
      <c r="AV10" s="13"/>
      <c r="AW10" s="13"/>
      <c r="AX10" s="13"/>
      <c r="AY10" s="13"/>
      <c r="BD10" s="3" t="s">
        <v>2511</v>
      </c>
      <c r="BE10" s="1249">
        <f>SUMIF($AC$718:$AC$752,"&lt;=45%",$G$718:G$752)-SUM($BE$5:BE9)</f>
        <v>0</v>
      </c>
    </row>
    <row r="11" spans="1:58" ht="12.95" customHeight="1">
      <c r="A11" s="1843" t="s">
        <v>2605</v>
      </c>
      <c r="B11" s="1843"/>
      <c r="C11" s="1843"/>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3"/>
      <c r="AV11" s="13"/>
      <c r="AW11" s="13"/>
      <c r="AX11" s="13"/>
      <c r="AY11" s="13"/>
      <c r="BD11" s="1247" t="s">
        <v>2503</v>
      </c>
      <c r="BE11" s="1249">
        <f>SUMIF($AC$718:$AC$752,"&lt;=50%",$G$718:G$752)-SUM($BE$5:BE10)</f>
        <v>0</v>
      </c>
    </row>
    <row r="12" spans="1:58" ht="12.95" customHeight="1">
      <c r="A12" s="1844" t="s">
        <v>2611</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114</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75" t="s">
        <v>2698</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657</v>
      </c>
      <c r="BE16" s="1249" t="str">
        <f>Application!H18</f>
        <v>City Towers</v>
      </c>
    </row>
    <row r="17" spans="1:58" ht="12.95" customHeight="1">
      <c r="BD17" s="1247" t="s">
        <v>2519</v>
      </c>
      <c r="BE17" s="1249">
        <f>Application!AA934</f>
        <v>0</v>
      </c>
    </row>
    <row r="18" spans="1:58" ht="12.95" customHeight="1">
      <c r="A18" s="57" t="s">
        <v>101</v>
      </c>
      <c r="C18" s="4"/>
      <c r="D18" s="4"/>
      <c r="E18" s="4"/>
      <c r="F18" s="4"/>
      <c r="G18" s="4"/>
      <c r="H18" s="1521" t="s">
        <v>2699</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2520</v>
      </c>
      <c r="BE18" s="1249">
        <f>'CalHFA Addendum'!N11</f>
        <v>0</v>
      </c>
    </row>
    <row r="19" spans="1:58" ht="12.95" customHeight="1">
      <c r="BD19" s="1247" t="s">
        <v>2521</v>
      </c>
      <c r="BE19" s="1249">
        <f>Application!M26</f>
        <v>4327491</v>
      </c>
    </row>
    <row r="20" spans="1:58" ht="12.95" customHeight="1">
      <c r="A20" s="1845" t="s">
        <v>874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00"/>
      <c r="AV20" s="900"/>
      <c r="AW20" s="900"/>
      <c r="AX20" s="900"/>
      <c r="AY20" s="900"/>
      <c r="BD20" s="1248" t="s">
        <v>2522</v>
      </c>
      <c r="BE20" s="1249">
        <f>Application!M27</f>
        <v>0</v>
      </c>
    </row>
    <row r="21" spans="1:58" ht="12.95" customHeight="1">
      <c r="A21" s="1848" t="s">
        <v>1010</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01"/>
      <c r="AN21" s="901"/>
      <c r="AO21" s="901"/>
      <c r="AP21" s="901"/>
      <c r="AQ21" s="901"/>
      <c r="AR21" s="901"/>
      <c r="AS21" s="901"/>
      <c r="AT21" s="901"/>
      <c r="AU21" s="901"/>
      <c r="AV21" s="901"/>
      <c r="AW21" s="901"/>
      <c r="AX21" s="901"/>
      <c r="AY21" s="901"/>
      <c r="BD21" s="1247" t="s">
        <v>2523</v>
      </c>
      <c r="BE21" s="1249">
        <f>Application!AM554</f>
        <v>27000000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96878029</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1008000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262506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7">
        <f>'Basis &amp; Credits'!AB56</f>
        <v>4327491</v>
      </c>
      <c r="N26" s="1847"/>
      <c r="O26" s="1847"/>
      <c r="P26" s="1847"/>
      <c r="Q26" s="1847"/>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40" t="s">
        <v>2148</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2528</v>
      </c>
      <c r="BE29" s="1249" t="b">
        <f>Application!M358="Yes"</f>
        <v>1</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6" t="s">
        <v>2149</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c r="BD33" s="1247" t="s">
        <v>2597</v>
      </c>
      <c r="BE33" s="1249" t="str">
        <f>Application!D220</f>
        <v>East Bay Region: Alameda and Contra Costa Counties</v>
      </c>
    </row>
    <row r="34" spans="1:57" ht="12.95" customHeight="1">
      <c r="A34" s="1540" t="s">
        <v>2150</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2531</v>
      </c>
      <c r="BE34" s="1249" t="str">
        <f>Application!I185</f>
        <v>1065 8th Street, 1050 7th Street, and 725 Market Street</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2532</v>
      </c>
      <c r="BE35" s="1249"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2533</v>
      </c>
      <c r="BE36" s="1249" t="str">
        <f>Application!I189</f>
        <v>Oakland</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2534</v>
      </c>
      <c r="BE37" s="1249" t="str">
        <f>Application!T189</f>
        <v>Alameda</v>
      </c>
    </row>
    <row r="38" spans="1:57" ht="12.95" customHeight="1">
      <c r="A38" s="3"/>
      <c r="AZ38" s="20"/>
      <c r="BD38" s="1248" t="s">
        <v>2535</v>
      </c>
      <c r="BE38" s="1249">
        <f>Application!I190</f>
        <v>94607</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231</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229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0.44934497816593877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0.44918243908718791</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419385.40692640695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3</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Rainbow Housing Assistance Corporation</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Flynann Janisse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Rainbow Housing</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TBF Related Affordable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Wes Larmore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Related Affordable</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TBF Related Affordable SPE</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30 Hudson Yards</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New York, NY 10001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Wes Larmore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wlarmore@related.com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0.90991299999999997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549" t="s">
        <v>2157</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2594</v>
      </c>
      <c r="BE65" s="1249" t="str">
        <f>Z205</f>
        <v>(select)</v>
      </c>
    </row>
    <row r="66" spans="1:57"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2559</v>
      </c>
      <c r="BE66" s="1249" t="b">
        <f>Application!Z205="State Farmworker Credit"</f>
        <v>0</v>
      </c>
    </row>
    <row r="67" spans="1:57"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9" t="s">
        <v>2158</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2562</v>
      </c>
      <c r="BE69" s="1249" t="str">
        <f>Application!W700</f>
        <v>California Municipal Finance Authority</v>
      </c>
    </row>
    <row r="70" spans="1:57"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2563</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5" customHeight="1">
      <c r="A72" s="1540" t="s">
        <v>2159</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2565</v>
      </c>
      <c r="BE72" s="1249">
        <f>'Points System'!AF805</f>
        <v>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8" t="s">
        <v>2160</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2568</v>
      </c>
      <c r="BE75" s="1249">
        <f>'Points System'!AF808</f>
        <v>10</v>
      </c>
    </row>
    <row r="76" spans="1:57"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2569</v>
      </c>
      <c r="BE76" s="1249">
        <f>'Points System'!AF811</f>
        <v>0</v>
      </c>
    </row>
    <row r="77" spans="1:57"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9" t="s">
        <v>2161</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2572</v>
      </c>
      <c r="BE79" s="1249">
        <f>'Points System'!AF815</f>
        <v>0</v>
      </c>
    </row>
    <row r="80" spans="1:57"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2573</v>
      </c>
      <c r="BE80" s="1249">
        <f>'Points System'!AF817</f>
        <v>10</v>
      </c>
    </row>
    <row r="81" spans="1:57"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3.8333608892862463</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Jestin D. Johnson</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 Frank H. Ogawa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Oakland, CA</v>
      </c>
    </row>
    <row r="89" spans="1:57" ht="12.95" customHeight="1">
      <c r="A89" s="1560" t="s">
        <v>2164</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2582</v>
      </c>
      <c r="BE89" s="1249">
        <f>Application!O158</f>
        <v>94612</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2583</v>
      </c>
      <c r="BE90" s="1249" t="str">
        <f>Application!H16</f>
        <v>CT Housing Preservation,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30 Hudson Yards</v>
      </c>
    </row>
    <row r="92" spans="1:57" ht="12.95" customHeight="1">
      <c r="A92" s="1548" t="s">
        <v>2165</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2585</v>
      </c>
      <c r="BE92" s="1249" t="str">
        <f>Application!M234</f>
        <v>New York</v>
      </c>
    </row>
    <row r="93" spans="1:57"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2586</v>
      </c>
      <c r="BE93" s="1249" t="str">
        <f>Application!W234</f>
        <v>NY</v>
      </c>
    </row>
    <row r="94" spans="1:57"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2587</v>
      </c>
      <c r="BE94" s="1249">
        <f>Application!AC234</f>
        <v>10001</v>
      </c>
    </row>
    <row r="95" spans="1:57"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2588</v>
      </c>
      <c r="BE95" s="1249" t="str">
        <f>Application!M235</f>
        <v>Wes Larmore</v>
      </c>
    </row>
    <row r="96" spans="1:57"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2589</v>
      </c>
      <c r="BE96" s="1249" t="str">
        <f>Application!M237</f>
        <v>wlarmore@related.com</v>
      </c>
    </row>
    <row r="97" spans="1:57"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2590</v>
      </c>
      <c r="BE97" s="1249" t="str">
        <f>Application!M248</f>
        <v>fjanisse@rainbowhousing.org</v>
      </c>
    </row>
    <row r="98" spans="1:57"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2591</v>
      </c>
      <c r="BE98" s="1249" t="str">
        <f>Application!M256</f>
        <v>wlarmore@related.com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61" t="s">
        <v>2166</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2593</v>
      </c>
      <c r="BE100" s="1249" t="str">
        <f>Application!L279</f>
        <v>wlarmore@related.com</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2598</v>
      </c>
      <c r="BE101">
        <f>'Sources and Uses Budget'!C105</f>
        <v>96878029</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2599</v>
      </c>
      <c r="BE102" t="b">
        <f>T197="Yes"</f>
        <v>1</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2167</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2"/>
      <c r="H113" s="1552"/>
      <c r="I113" s="3" t="s">
        <v>182</v>
      </c>
      <c r="L113" s="1552"/>
      <c r="M113" s="1552"/>
      <c r="N113" s="1552"/>
      <c r="O113" s="1552"/>
      <c r="P113" s="1570" t="s">
        <v>2240</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3"/>
      <c r="D115" s="1553"/>
      <c r="E115" s="1553"/>
      <c r="F115" s="1553"/>
      <c r="G115" s="1553"/>
      <c r="H115" s="1553"/>
      <c r="I115" s="1553"/>
      <c r="J115" s="1553"/>
      <c r="K115" s="155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2"/>
      <c r="Z117" s="1552"/>
      <c r="AA117" s="1552"/>
      <c r="AB117" s="1552"/>
      <c r="AC117" s="1552"/>
      <c r="AD117" s="1552"/>
      <c r="AE117" s="1552"/>
      <c r="AF117" s="1552"/>
      <c r="AG117" s="1552"/>
      <c r="AH117" s="1552"/>
      <c r="AI117" s="1552"/>
      <c r="AJ117" s="1552"/>
      <c r="AK117" s="1552"/>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0" t="s">
        <v>470</v>
      </c>
      <c r="CV122" s="1701"/>
      <c r="CW122" s="14"/>
      <c r="CX122" s="14" t="s">
        <v>635</v>
      </c>
      <c r="CY122" s="14"/>
      <c r="CZ122" s="14"/>
      <c r="DA122" s="14"/>
      <c r="DB122" s="14"/>
      <c r="DC122" s="14"/>
      <c r="DD122" s="14"/>
      <c r="DE122" s="14"/>
      <c r="DF122" s="14"/>
      <c r="DG122" s="1697" t="str">
        <f>T189</f>
        <v>Alameda</v>
      </c>
      <c r="DH122" s="1698"/>
      <c r="DI122" s="1698"/>
      <c r="DJ122" s="1698"/>
      <c r="DK122" s="1698"/>
      <c r="DL122" s="1698"/>
      <c r="DM122" s="1699"/>
    </row>
    <row r="123" spans="1:117" ht="12.9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1" t="s">
        <v>2700</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27" t="s">
        <v>2701</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521" t="s">
        <v>2702</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1" t="s">
        <v>2703</v>
      </c>
      <c r="P157" s="1530"/>
      <c r="Q157" s="1530"/>
      <c r="R157" s="1530"/>
      <c r="S157" s="1530"/>
      <c r="T157" s="1530"/>
      <c r="U157" s="1530"/>
      <c r="V157" s="1530"/>
      <c r="W157" s="1530"/>
      <c r="X157" s="1530"/>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5">
        <v>94612</v>
      </c>
      <c r="P158" s="1565"/>
      <c r="Q158" s="1565"/>
      <c r="R158" s="156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7">
        <v>5102383301</v>
      </c>
      <c r="P159" s="1558"/>
      <c r="Q159" s="1558"/>
      <c r="R159" s="1558"/>
      <c r="S159" s="1558"/>
      <c r="T159" s="1558"/>
      <c r="V159" s="97" t="s">
        <v>271</v>
      </c>
      <c r="W159" s="1566"/>
      <c r="X159" s="156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7">
        <v>5102382223</v>
      </c>
      <c r="P160" s="1558"/>
      <c r="Q160" s="1558"/>
      <c r="R160" s="1558"/>
      <c r="S160" s="1558"/>
      <c r="T160" s="155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4" t="s">
        <v>2704</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4" t="s">
        <v>2217</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9" t="s">
        <v>540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2"/>
      <c r="V176" s="1512"/>
      <c r="W176" s="1" t="s">
        <v>306</v>
      </c>
      <c r="X176" s="1574"/>
      <c r="Y176" s="157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546</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73">
        <v>2003</v>
      </c>
      <c r="AG178" s="1573"/>
      <c r="AH178" s="1" t="s">
        <v>306</v>
      </c>
      <c r="AI178" s="1559" t="s">
        <v>2705</v>
      </c>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5" t="str">
        <f>H18</f>
        <v>City Towers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27" t="s">
        <v>2706</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1"/>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1" t="s">
        <v>2707</v>
      </c>
      <c r="J189" s="1407"/>
      <c r="K189" s="1407"/>
      <c r="L189" s="1407"/>
      <c r="M189" s="1407"/>
      <c r="N189" s="1407"/>
      <c r="O189" s="1407"/>
      <c r="P189" s="1407"/>
      <c r="Q189" t="s">
        <v>583</v>
      </c>
      <c r="T189" s="1407" t="s">
        <v>477</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527">
        <v>94607</v>
      </c>
      <c r="J190" s="1371"/>
      <c r="K190" s="1371"/>
      <c r="L190" s="1371"/>
      <c r="M190" s="1371"/>
      <c r="N190" s="1371"/>
      <c r="O190" t="s">
        <v>586</v>
      </c>
      <c r="T190" s="1562">
        <v>4025</v>
      </c>
      <c r="U190" s="1563"/>
      <c r="V190" s="1563"/>
      <c r="W190" s="1563"/>
      <c r="X190" s="1563"/>
      <c r="Y190" s="1563"/>
      <c r="Z190" s="1563"/>
      <c r="AA190" s="1563"/>
      <c r="AB190" s="1563"/>
      <c r="AC190" s="1563"/>
      <c r="AD190" s="1563"/>
      <c r="AE190" s="156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1" t="s">
        <v>2708</v>
      </c>
      <c r="O191" s="1534"/>
      <c r="P191" s="1534"/>
      <c r="Q191" s="1534"/>
      <c r="R191" s="1534"/>
      <c r="S191" s="1534"/>
      <c r="T191" s="1534"/>
      <c r="U191" s="1534"/>
      <c r="V191" s="1534"/>
      <c r="W191" s="1534"/>
      <c r="X191" s="1534"/>
      <c r="Y191" s="1534"/>
      <c r="Z191" s="1534"/>
      <c r="AA191" s="1534"/>
      <c r="AB191" s="1534"/>
      <c r="AC191" s="1534"/>
      <c r="AD191" s="1534"/>
      <c r="AE191" s="153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7" t="s">
        <v>2214</v>
      </c>
      <c r="U193" s="1567"/>
      <c r="V193" s="1567"/>
      <c r="W193" s="1567"/>
      <c r="X193" s="1567"/>
      <c r="Y193" s="1567"/>
      <c r="Z193" s="1567"/>
      <c r="AA193" s="1567"/>
      <c r="AB193" s="1567"/>
      <c r="AC193" s="1567"/>
      <c r="AD193" s="1567"/>
      <c r="AE193" s="1567"/>
      <c r="AF193" s="1567"/>
      <c r="AG193" s="1567"/>
      <c r="AH193" s="1567"/>
      <c r="AI193" s="1567"/>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12</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18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546</v>
      </c>
      <c r="U197" s="1427"/>
      <c r="W197" t="s">
        <v>687</v>
      </c>
      <c r="AH197" s="1415">
        <v>7</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2</v>
      </c>
      <c r="U198" s="1427"/>
      <c r="V198"/>
      <c r="X198" s="1540" t="s">
        <v>2514</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5" t="s">
        <v>670</v>
      </c>
      <c r="U199" s="1415"/>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5" t="s">
        <v>385</v>
      </c>
      <c r="E204" s="1485"/>
      <c r="F204" s="1485"/>
      <c r="G204" s="1485"/>
      <c r="H204" s="1485"/>
      <c r="I204" s="1485"/>
      <c r="J204" s="1485"/>
      <c r="K204" s="1485"/>
      <c r="L204" s="1485"/>
      <c r="M204" s="1485"/>
      <c r="P204" s="1555">
        <f>M26</f>
        <v>4327491</v>
      </c>
      <c r="Q204" s="1556"/>
      <c r="R204" s="1556"/>
      <c r="S204" s="1556"/>
      <c r="T204" s="1556"/>
      <c r="U204" s="1556"/>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2" t="s">
        <v>1248</v>
      </c>
      <c r="E205" s="1485"/>
      <c r="F205" s="1485"/>
      <c r="G205" s="1485"/>
      <c r="H205" s="1485"/>
      <c r="I205" s="1485"/>
      <c r="J205" s="1485"/>
      <c r="K205" s="1485"/>
      <c r="L205" s="1485"/>
      <c r="M205" s="1485"/>
      <c r="P205" s="1556">
        <f>M27</f>
        <v>0</v>
      </c>
      <c r="Q205" s="1556"/>
      <c r="R205" s="1556"/>
      <c r="S205" s="1556"/>
      <c r="T205" s="1556"/>
      <c r="U205" s="1556"/>
      <c r="V205" s="28"/>
      <c r="W205" s="3" t="s">
        <v>1721</v>
      </c>
      <c r="Z205" s="1538" t="s">
        <v>1185</v>
      </c>
      <c r="AA205" s="1538"/>
      <c r="AB205" s="1538"/>
      <c r="AC205" s="1538"/>
      <c r="AD205" s="1538"/>
      <c r="AE205" s="1538"/>
      <c r="AF205" s="1538"/>
      <c r="AG205" s="1538"/>
      <c r="AH205" s="1538"/>
      <c r="AI205" s="1538"/>
      <c r="AJ205" s="1538"/>
      <c r="AK205" s="1538"/>
      <c r="AL205" s="1538"/>
      <c r="AM205" s="1538"/>
      <c r="AN205" s="1538"/>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30" t="s">
        <v>2613</v>
      </c>
      <c r="E208" s="1530"/>
      <c r="F208" s="1530"/>
      <c r="G208" s="1530"/>
      <c r="H208" s="1530"/>
      <c r="I208" s="1530"/>
      <c r="J208" s="1530"/>
      <c r="K208" s="1530"/>
      <c r="L208" s="1530"/>
      <c r="M208" s="153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0" t="s">
        <v>1857</v>
      </c>
      <c r="E211" s="1530"/>
      <c r="F211" s="1530"/>
      <c r="G211" s="1530"/>
      <c r="H211" s="1530"/>
      <c r="I211" s="1530"/>
      <c r="J211" s="1530"/>
      <c r="K211" s="1530"/>
      <c r="L211" s="1530"/>
      <c r="M211" s="153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5"/>
      <c r="R212" s="1415"/>
      <c r="T212" s="1571">
        <f>IFERROR(Q212/AG440,0)</f>
        <v>0</v>
      </c>
      <c r="U212" s="157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30" t="s">
        <v>1064</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1" t="s">
        <v>2466</v>
      </c>
      <c r="AD220" s="1541"/>
      <c r="AE220" s="1541"/>
      <c r="AF220" s="1541"/>
      <c r="AG220" s="1541"/>
      <c r="AH220" s="1541"/>
      <c r="AI220" s="1541"/>
      <c r="AJ220" s="1541"/>
      <c r="AK220" s="1541"/>
      <c r="AL220" s="1541"/>
      <c r="AM220" s="1541"/>
      <c r="AN220" s="1541"/>
      <c r="AO220" s="1541"/>
      <c r="AP220" s="1541"/>
      <c r="AQ220" s="1541"/>
      <c r="BA220" s="3"/>
      <c r="BC220" t="s">
        <v>300</v>
      </c>
    </row>
    <row r="221" spans="1:108" ht="12.95" customHeight="1">
      <c r="A221" s="2"/>
      <c r="B221" s="14"/>
      <c r="C221" s="2"/>
      <c r="BA221" s="3"/>
    </row>
    <row r="222" spans="1:108" ht="12.95" customHeight="1">
      <c r="A222" s="1539" t="s">
        <v>541</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4" t="str">
        <f>H16</f>
        <v>CT Housing Preservation, LP</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05" t="s">
        <v>539</v>
      </c>
      <c r="BG232" s="241">
        <f>IF(AND(AND($M$249="nonprofit",$M$257="nonprofit",$M$265="for profit")),2,0)</f>
        <v>0</v>
      </c>
    </row>
    <row r="233" spans="1:59" ht="12.95" customHeight="1">
      <c r="D233" s="4" t="s">
        <v>85</v>
      </c>
      <c r="E233" s="4"/>
      <c r="F233" s="4"/>
      <c r="G233" s="4"/>
      <c r="H233" s="4"/>
      <c r="I233" s="4"/>
      <c r="J233" s="4"/>
      <c r="K233" s="4"/>
      <c r="M233" s="1521" t="s">
        <v>2614</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539</v>
      </c>
      <c r="BG233" s="241">
        <f>IF(AND(AND($M$249="nonprofit",$M$257="for profit",$M$265="nonprofit")),2,0)</f>
        <v>0</v>
      </c>
    </row>
    <row r="234" spans="1:59" ht="12.95" customHeight="1">
      <c r="D234" s="4" t="s">
        <v>581</v>
      </c>
      <c r="E234" s="4"/>
      <c r="M234" s="1521" t="s">
        <v>2615</v>
      </c>
      <c r="N234" s="1530"/>
      <c r="O234" s="1530"/>
      <c r="P234" s="1530"/>
      <c r="Q234" s="1530"/>
      <c r="R234" s="1530"/>
      <c r="S234" s="1530"/>
      <c r="T234" s="1530"/>
      <c r="V234" s="33" t="s">
        <v>86</v>
      </c>
      <c r="W234" s="1527" t="s">
        <v>2616</v>
      </c>
      <c r="X234" s="1473"/>
      <c r="Y234" s="4" t="s">
        <v>584</v>
      </c>
      <c r="AC234" s="1530">
        <v>10001</v>
      </c>
      <c r="AD234" s="1530"/>
      <c r="AE234" s="1530"/>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1" t="s">
        <v>2617</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2.95" customHeight="1">
      <c r="D236" s="4" t="s">
        <v>88</v>
      </c>
      <c r="E236" s="4"/>
      <c r="F236" s="4"/>
      <c r="M236" s="1551" t="s">
        <v>2618</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5" customHeight="1">
      <c r="D237" s="4" t="s">
        <v>90</v>
      </c>
      <c r="E237" s="4"/>
      <c r="F237" s="4"/>
      <c r="M237" s="1544" t="s">
        <v>2619</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8" t="s">
        <v>592</v>
      </c>
      <c r="AB238" s="1569"/>
      <c r="AC238" s="1569"/>
      <c r="AD238" s="1569"/>
      <c r="AE238" s="1569"/>
      <c r="AF238" s="1569"/>
      <c r="AG238" s="1569"/>
      <c r="AH238" s="1569"/>
      <c r="AI238" s="1569"/>
      <c r="AJ238" s="1569"/>
      <c r="AK238" s="156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5" t="s">
        <v>2620</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2622</v>
      </c>
      <c r="AG243" s="1546"/>
      <c r="AH243" s="1546"/>
      <c r="AI243" s="1546"/>
      <c r="AJ243" s="1546"/>
      <c r="AK243" s="1546"/>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1" t="s">
        <v>2621</v>
      </c>
      <c r="N244" s="1530"/>
      <c r="O244" s="1530"/>
      <c r="P244" s="1530"/>
      <c r="Q244" s="1530"/>
      <c r="R244" s="1530"/>
      <c r="S244" s="1530"/>
      <c r="T244" s="1530"/>
      <c r="U244" s="1530"/>
      <c r="V244" s="1530"/>
      <c r="W244" s="1530"/>
      <c r="X244" s="1530"/>
      <c r="Y244" s="1530"/>
      <c r="Z244" s="1530"/>
      <c r="AA244" s="1530"/>
      <c r="AB244" s="1530"/>
      <c r="AC244" s="1530"/>
      <c r="AD244" s="1530"/>
      <c r="AE244" s="1530"/>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1" t="s">
        <v>2623</v>
      </c>
      <c r="N245" s="1530"/>
      <c r="O245" s="1530"/>
      <c r="P245" s="1530"/>
      <c r="Q245" s="1530"/>
      <c r="R245" s="1530"/>
      <c r="S245" s="1530"/>
      <c r="T245" s="1530"/>
      <c r="V245" s="33" t="s">
        <v>86</v>
      </c>
      <c r="W245" s="1527" t="s">
        <v>2624</v>
      </c>
      <c r="X245" s="1473"/>
      <c r="Y245" s="4" t="s">
        <v>584</v>
      </c>
      <c r="AC245" s="1530">
        <v>85308</v>
      </c>
      <c r="AD245" s="1530"/>
      <c r="AE245" s="1530"/>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1" t="s">
        <v>2625</v>
      </c>
      <c r="N246" s="1530"/>
      <c r="O246" s="1530"/>
      <c r="P246" s="1530"/>
      <c r="Q246" s="1530"/>
      <c r="R246" s="1530"/>
      <c r="S246" s="1530"/>
      <c r="T246" s="1530"/>
      <c r="U246" s="1530"/>
      <c r="V246" s="1530"/>
      <c r="W246" s="1530"/>
      <c r="X246" s="1530"/>
      <c r="Y246" s="1530"/>
      <c r="Z246" s="1530"/>
      <c r="AA246" s="1530"/>
      <c r="AB246" s="1530"/>
      <c r="AC246" s="1530"/>
      <c r="AD246" s="1530"/>
      <c r="AE246" s="1530"/>
      <c r="AH246" s="1543">
        <v>2.5000000000000001E-3</v>
      </c>
      <c r="AI246" s="1543"/>
      <c r="AJ246" s="1543"/>
      <c r="AK246" s="154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51" t="s">
        <v>2626</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4" t="s">
        <v>2627</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8" t="s">
        <v>2712</v>
      </c>
      <c r="AB249" s="1569"/>
      <c r="AC249" s="1569"/>
      <c r="AD249" s="1569"/>
      <c r="AE249" s="1569"/>
      <c r="AF249" s="1569"/>
      <c r="AG249" s="1569"/>
      <c r="AH249" s="1569"/>
      <c r="AI249" s="1569"/>
      <c r="AJ249" s="1569"/>
      <c r="AK249" s="156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75" t="s">
        <v>2710</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2709</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0" t="s">
        <v>2614</v>
      </c>
      <c r="N252" s="1530"/>
      <c r="O252" s="1530"/>
      <c r="P252" s="1530"/>
      <c r="Q252" s="1530"/>
      <c r="R252" s="1530"/>
      <c r="S252" s="1530"/>
      <c r="T252" s="1530"/>
      <c r="U252" s="1530"/>
      <c r="V252" s="1530"/>
      <c r="W252" s="1530"/>
      <c r="X252" s="1530"/>
      <c r="Y252" s="1530"/>
      <c r="Z252" s="1530"/>
      <c r="AA252" s="1530"/>
      <c r="AB252" s="1530"/>
      <c r="AC252" s="1530"/>
      <c r="AD252" s="1530"/>
      <c r="AE252" s="1530"/>
      <c r="AF252" s="3" t="s">
        <v>1180</v>
      </c>
      <c r="AL252" s="4"/>
      <c r="AM252" s="4"/>
      <c r="AN252" s="4"/>
      <c r="AO252" s="4"/>
      <c r="AP252" s="4"/>
      <c r="AQ252" s="4"/>
      <c r="AR252" s="4"/>
      <c r="AS252" s="4"/>
      <c r="AT252" s="4"/>
      <c r="BN252" s="34"/>
    </row>
    <row r="253" spans="1:67" ht="12.95" customHeight="1">
      <c r="A253" s="19"/>
      <c r="B253" s="4"/>
      <c r="C253" s="4"/>
      <c r="D253" s="4" t="s">
        <v>581</v>
      </c>
      <c r="E253" s="4"/>
      <c r="M253" s="1530" t="s">
        <v>2615</v>
      </c>
      <c r="N253" s="1530"/>
      <c r="O253" s="1530"/>
      <c r="P253" s="1530"/>
      <c r="Q253" s="1530"/>
      <c r="R253" s="1530"/>
      <c r="S253" s="1530"/>
      <c r="T253" s="1530"/>
      <c r="V253" s="33" t="s">
        <v>86</v>
      </c>
      <c r="W253" s="1527" t="s">
        <v>2711</v>
      </c>
      <c r="X253" s="1473"/>
      <c r="Y253" s="4" t="s">
        <v>584</v>
      </c>
      <c r="AC253" s="1530">
        <v>10001</v>
      </c>
      <c r="AD253" s="1530"/>
      <c r="AE253" s="1530"/>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30" t="s">
        <v>2617</v>
      </c>
      <c r="N254" s="1530"/>
      <c r="O254" s="1530"/>
      <c r="P254" s="1530"/>
      <c r="Q254" s="1530"/>
      <c r="R254" s="1530"/>
      <c r="S254" s="1530"/>
      <c r="T254" s="1530"/>
      <c r="U254" s="1530"/>
      <c r="V254" s="1530"/>
      <c r="W254" s="1530"/>
      <c r="X254" s="1530"/>
      <c r="Y254" s="1530"/>
      <c r="Z254" s="1530"/>
      <c r="AA254" s="1530"/>
      <c r="AB254" s="1530"/>
      <c r="AC254" s="1530"/>
      <c r="AD254" s="1530"/>
      <c r="AE254" s="1530"/>
      <c r="AH254" s="1543"/>
      <c r="AI254" s="1543"/>
      <c r="AJ254" s="1543"/>
      <c r="AK254" s="1543"/>
      <c r="AL254" s="4"/>
      <c r="AM254" s="4"/>
      <c r="AN254" s="4"/>
      <c r="AO254" s="4"/>
      <c r="AP254" s="4"/>
      <c r="AQ254" s="4"/>
      <c r="AR254" s="4"/>
      <c r="AS254" s="4"/>
      <c r="AT254" s="4"/>
    </row>
    <row r="255" spans="1:67" ht="12.95" customHeight="1">
      <c r="A255" s="19"/>
      <c r="B255" s="4"/>
      <c r="C255" s="4"/>
      <c r="D255" s="4" t="s">
        <v>88</v>
      </c>
      <c r="E255" s="4"/>
      <c r="F255" s="4"/>
      <c r="M255" s="1489" t="s">
        <v>2618</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4" t="s">
        <v>2619</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8" t="s">
        <v>2628</v>
      </c>
      <c r="AB257" s="1569"/>
      <c r="AC257" s="1569"/>
      <c r="AD257" s="1569"/>
      <c r="AE257" s="1569"/>
      <c r="AF257" s="1569"/>
      <c r="AG257" s="1569"/>
      <c r="AH257" s="1569"/>
      <c r="AI257" s="1569"/>
      <c r="AJ257" s="1569"/>
      <c r="AK257" s="156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0"/>
      <c r="N261" s="1530"/>
      <c r="O261" s="1530"/>
      <c r="P261" s="1530"/>
      <c r="Q261" s="1530"/>
      <c r="R261" s="1530"/>
      <c r="S261" s="1530"/>
      <c r="T261" s="1530"/>
      <c r="V261" s="33" t="s">
        <v>86</v>
      </c>
      <c r="W261" s="1473"/>
      <c r="X261" s="1473"/>
      <c r="Y261" s="4" t="s">
        <v>584</v>
      </c>
      <c r="AC261" s="1530"/>
      <c r="AD261" s="1530"/>
      <c r="AE261" s="1530"/>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3"/>
      <c r="AI262" s="1543"/>
      <c r="AJ262" s="1543"/>
      <c r="AK262" s="154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82"/>
      <c r="AB265" s="1582"/>
      <c r="AC265" s="1582"/>
      <c r="AD265" s="1582"/>
      <c r="AE265" s="1582"/>
      <c r="AF265" s="1582"/>
      <c r="AG265" s="1582"/>
      <c r="AH265" s="1582"/>
      <c r="AI265" s="1582"/>
      <c r="AJ265" s="1582"/>
      <c r="AK265" s="158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6" t="str">
        <f>IFERROR(BO245,"")</f>
        <v>Joint Venture</v>
      </c>
      <c r="U267" s="1576"/>
      <c r="V267" s="1576"/>
      <c r="W267" s="1576"/>
      <c r="X267" s="157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30" t="s">
        <v>280</v>
      </c>
      <c r="E270" s="1530"/>
      <c r="F270" s="1530"/>
      <c r="G270" s="1530"/>
      <c r="H270" s="1530"/>
      <c r="J270" t="s">
        <v>279</v>
      </c>
      <c r="X270" s="1509"/>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5" t="s">
        <v>2628</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1" t="s">
        <v>2614</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2.95" customHeight="1">
      <c r="D276" s="4" t="s">
        <v>581</v>
      </c>
      <c r="E276" s="4"/>
      <c r="L276" s="1521" t="s">
        <v>2615</v>
      </c>
      <c r="M276" s="1530"/>
      <c r="N276" s="1530"/>
      <c r="O276" s="1530"/>
      <c r="P276" s="1530"/>
      <c r="Q276" s="1530"/>
      <c r="R276" s="1530"/>
      <c r="S276" s="1530"/>
      <c r="U276" s="33" t="s">
        <v>86</v>
      </c>
      <c r="V276" s="1527" t="s">
        <v>2616</v>
      </c>
      <c r="W276" s="1473"/>
      <c r="X276" s="4" t="s">
        <v>584</v>
      </c>
      <c r="AB276" s="1530">
        <v>10001</v>
      </c>
      <c r="AC276" s="1530"/>
      <c r="AD276" s="153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1" t="s">
        <v>2617</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2.95" customHeight="1">
      <c r="D278" s="4" t="s">
        <v>88</v>
      </c>
      <c r="E278" s="4"/>
      <c r="F278" s="4"/>
      <c r="L278" s="1551" t="s">
        <v>2618</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44" t="s">
        <v>2619</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5" customHeight="1">
      <c r="D280" s="3" t="s">
        <v>624</v>
      </c>
      <c r="E280" s="3"/>
      <c r="F280" s="3"/>
      <c r="G280" s="3"/>
      <c r="H280" s="3"/>
      <c r="I280" s="3"/>
      <c r="L280" s="1527" t="s">
        <v>2629</v>
      </c>
      <c r="M280" s="1527"/>
      <c r="N280" s="1527"/>
      <c r="O280" s="1527"/>
      <c r="P280" s="1527"/>
      <c r="Q280" s="1527"/>
      <c r="R280" s="1527"/>
      <c r="S280" s="1527"/>
      <c r="T280" s="1527"/>
      <c r="U280" s="1527"/>
      <c r="V280" s="1527"/>
      <c r="W280" s="1527"/>
      <c r="X280" s="1527"/>
      <c r="Y280" s="1527"/>
      <c r="Z280" s="1527"/>
      <c r="AA280" s="1527"/>
      <c r="AB280" s="1527"/>
      <c r="AC280" s="1527"/>
      <c r="AD280" s="152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9" t="s">
        <v>542</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521" t="s">
        <v>2713</v>
      </c>
      <c r="I287" s="1407"/>
      <c r="J287" s="1407"/>
      <c r="K287" s="1407"/>
      <c r="L287" s="1407"/>
      <c r="M287" s="1407"/>
      <c r="N287" s="1407"/>
      <c r="O287" s="1407"/>
      <c r="P287" s="1407"/>
      <c r="Q287" s="1407"/>
      <c r="R287" s="1407"/>
      <c r="T287" s="3" t="s">
        <v>568</v>
      </c>
      <c r="V287" s="3"/>
      <c r="W287" s="3"/>
      <c r="X287" s="3"/>
      <c r="Y287" s="3"/>
      <c r="AA287" s="1521" t="s">
        <v>2726</v>
      </c>
      <c r="AB287" s="1407"/>
      <c r="AC287" s="1407"/>
      <c r="AD287" s="1407"/>
      <c r="AE287" s="1407"/>
      <c r="AF287" s="1407"/>
      <c r="AG287" s="1407"/>
      <c r="AH287" s="1407"/>
      <c r="AI287" s="1407"/>
      <c r="AJ287" s="1407"/>
      <c r="AK287" s="1407"/>
    </row>
    <row r="288" spans="1:51" ht="12.95" customHeight="1">
      <c r="B288" s="3" t="s">
        <v>472</v>
      </c>
      <c r="C288" s="3"/>
      <c r="D288" s="3"/>
      <c r="E288" s="3"/>
      <c r="F288" s="3"/>
      <c r="H288" s="1527" t="s">
        <v>2614</v>
      </c>
      <c r="I288" s="1371"/>
      <c r="J288" s="1371"/>
      <c r="K288" s="1371"/>
      <c r="L288" s="1371"/>
      <c r="M288" s="1371"/>
      <c r="N288" s="1371"/>
      <c r="O288" s="1371"/>
      <c r="P288" s="1371"/>
      <c r="Q288" s="1371"/>
      <c r="R288" s="1371"/>
      <c r="T288" s="3" t="s">
        <v>472</v>
      </c>
      <c r="V288" s="3"/>
      <c r="W288" s="3"/>
      <c r="X288" s="3"/>
      <c r="Y288" s="3"/>
      <c r="AA288" s="1371" t="s">
        <v>2727</v>
      </c>
      <c r="AB288" s="1371"/>
      <c r="AC288" s="1371"/>
      <c r="AD288" s="1371"/>
      <c r="AE288" s="1371"/>
      <c r="AF288" s="1371"/>
      <c r="AG288" s="1371"/>
      <c r="AH288" s="1371"/>
      <c r="AI288" s="1371"/>
      <c r="AJ288" s="1371"/>
      <c r="AK288" s="1371"/>
    </row>
    <row r="289" spans="2:37" ht="12.95" customHeight="1">
      <c r="B289" s="3" t="s">
        <v>473</v>
      </c>
      <c r="C289" s="3"/>
      <c r="D289" s="3"/>
      <c r="E289" s="3"/>
      <c r="F289" s="3"/>
      <c r="H289" s="1527" t="s">
        <v>2630</v>
      </c>
      <c r="I289" s="1371"/>
      <c r="J289" s="1371"/>
      <c r="K289" s="1371"/>
      <c r="L289" s="1371"/>
      <c r="M289" s="1371"/>
      <c r="N289" s="1371"/>
      <c r="O289" s="1371"/>
      <c r="P289" s="1371"/>
      <c r="Q289" s="1371"/>
      <c r="R289" s="1371"/>
      <c r="T289" s="3" t="s">
        <v>75</v>
      </c>
      <c r="V289" s="3"/>
      <c r="W289" s="3"/>
      <c r="X289" s="3"/>
      <c r="Y289" s="3"/>
      <c r="AA289" s="1371" t="s">
        <v>2728</v>
      </c>
      <c r="AB289" s="1371"/>
      <c r="AC289" s="1371"/>
      <c r="AD289" s="1371"/>
      <c r="AE289" s="1371"/>
      <c r="AF289" s="1371"/>
      <c r="AG289" s="1371"/>
      <c r="AH289" s="1371"/>
      <c r="AI289" s="1371"/>
      <c r="AJ289" s="1371"/>
      <c r="AK289" s="1371"/>
    </row>
    <row r="290" spans="2:37" ht="12.95" customHeight="1">
      <c r="B290" s="3" t="s">
        <v>87</v>
      </c>
      <c r="C290" s="3"/>
      <c r="D290" s="3"/>
      <c r="E290" s="3"/>
      <c r="F290" s="3"/>
      <c r="H290" s="1527" t="s">
        <v>2617</v>
      </c>
      <c r="I290" s="1371"/>
      <c r="J290" s="1371"/>
      <c r="K290" s="1371"/>
      <c r="L290" s="1371"/>
      <c r="M290" s="1371"/>
      <c r="N290" s="1371"/>
      <c r="O290" s="1371"/>
      <c r="P290" s="1371"/>
      <c r="Q290" s="1371"/>
      <c r="R290" s="1371"/>
      <c r="T290" s="3" t="s">
        <v>87</v>
      </c>
      <c r="V290" s="3"/>
      <c r="W290" s="3"/>
      <c r="X290" s="3"/>
      <c r="Y290" s="3"/>
      <c r="AA290" s="1371" t="s">
        <v>2729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57" t="s">
        <v>2618</v>
      </c>
      <c r="I291" s="1547"/>
      <c r="J291" s="1547"/>
      <c r="K291" s="1547"/>
      <c r="L291" s="1547"/>
      <c r="M291" s="1547"/>
      <c r="N291" s="4" t="s">
        <v>206</v>
      </c>
      <c r="O291" s="4"/>
      <c r="P291" s="1530"/>
      <c r="Q291" s="1530"/>
      <c r="R291" s="1530"/>
      <c r="S291" s="3"/>
      <c r="T291" s="3" t="s">
        <v>88</v>
      </c>
      <c r="V291" s="3"/>
      <c r="W291" s="3"/>
      <c r="X291" s="3"/>
      <c r="Y291" s="3"/>
      <c r="AA291" s="1547" t="s">
        <v>2730</v>
      </c>
      <c r="AB291" s="1547"/>
      <c r="AC291" s="1547"/>
      <c r="AD291" s="1547"/>
      <c r="AE291" s="1547"/>
      <c r="AF291" s="1547"/>
      <c r="AG291" s="4" t="s">
        <v>206</v>
      </c>
      <c r="AH291" s="4"/>
      <c r="AI291" s="1530"/>
      <c r="AJ291" s="1530"/>
      <c r="AK291" s="1530"/>
    </row>
    <row r="292" spans="2:37" ht="12.95"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2.95" customHeight="1">
      <c r="B293" s="3" t="s">
        <v>76</v>
      </c>
      <c r="C293" s="3"/>
      <c r="D293" s="3"/>
      <c r="E293" s="3"/>
      <c r="F293" s="3"/>
      <c r="G293" s="3"/>
      <c r="H293" s="1527" t="s">
        <v>2619</v>
      </c>
      <c r="I293" s="1371"/>
      <c r="J293" s="1371"/>
      <c r="K293" s="1371"/>
      <c r="L293" s="1371"/>
      <c r="M293" s="1371"/>
      <c r="N293" s="1407"/>
      <c r="O293" s="1407"/>
      <c r="P293" s="1407"/>
      <c r="Q293" s="1407"/>
      <c r="R293" s="1407"/>
      <c r="S293" s="3"/>
      <c r="T293" s="3" t="s">
        <v>76</v>
      </c>
      <c r="V293" s="3"/>
      <c r="W293" s="3"/>
      <c r="X293" s="3"/>
      <c r="Y293" s="3"/>
      <c r="AA293" s="1371" t="s">
        <v>2731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521" t="s">
        <v>2631</v>
      </c>
      <c r="I295" s="1407"/>
      <c r="J295" s="1407"/>
      <c r="K295" s="1407"/>
      <c r="L295" s="1407"/>
      <c r="M295" s="1407"/>
      <c r="N295" s="1407"/>
      <c r="O295" s="1407"/>
      <c r="P295" s="1407"/>
      <c r="Q295" s="1407"/>
      <c r="R295" s="1407"/>
      <c r="T295" s="3" t="s">
        <v>364</v>
      </c>
      <c r="V295" s="3"/>
      <c r="W295" s="3"/>
      <c r="X295" s="3"/>
      <c r="Y295" s="3"/>
      <c r="AA295" s="1521" t="s">
        <v>2695</v>
      </c>
      <c r="AB295" s="1407"/>
      <c r="AC295" s="1407"/>
      <c r="AD295" s="1407"/>
      <c r="AE295" s="1407"/>
      <c r="AF295" s="1407"/>
      <c r="AG295" s="1407"/>
      <c r="AH295" s="1407"/>
      <c r="AI295" s="1407"/>
      <c r="AJ295" s="1407"/>
      <c r="AK295" s="1407"/>
    </row>
    <row r="296" spans="2:37" ht="12.95" customHeight="1">
      <c r="B296" s="3" t="s">
        <v>472</v>
      </c>
      <c r="C296" s="3"/>
      <c r="D296" s="3"/>
      <c r="E296" s="3"/>
      <c r="F296" s="3"/>
      <c r="H296" s="1527" t="s">
        <v>2632</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527" t="s">
        <v>2633</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527" t="s">
        <v>2634</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57" t="s">
        <v>2635</v>
      </c>
      <c r="I299" s="1547"/>
      <c r="J299" s="1547"/>
      <c r="K299" s="1547"/>
      <c r="L299" s="1547"/>
      <c r="M299" s="1547"/>
      <c r="N299" s="4" t="s">
        <v>206</v>
      </c>
      <c r="O299" s="4"/>
      <c r="P299" s="1530"/>
      <c r="Q299" s="1530"/>
      <c r="R299" s="1530"/>
      <c r="S299" s="3"/>
      <c r="T299" s="3" t="s">
        <v>88</v>
      </c>
      <c r="V299" s="3"/>
      <c r="W299" s="3"/>
      <c r="X299" s="3"/>
      <c r="Y299" s="3"/>
      <c r="AA299" s="1547"/>
      <c r="AB299" s="1547"/>
      <c r="AC299" s="1547"/>
      <c r="AD299" s="1547"/>
      <c r="AE299" s="1547"/>
      <c r="AF299" s="1547"/>
      <c r="AG299" s="4" t="s">
        <v>206</v>
      </c>
      <c r="AH299" s="4"/>
      <c r="AI299" s="1530"/>
      <c r="AJ299" s="1530"/>
      <c r="AK299" s="1530"/>
    </row>
    <row r="300" spans="2:37" ht="12.9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5" customHeight="1">
      <c r="B301" s="3" t="s">
        <v>76</v>
      </c>
      <c r="C301" s="3"/>
      <c r="D301" s="3"/>
      <c r="E301" s="3"/>
      <c r="F301" s="3"/>
      <c r="G301" s="3"/>
      <c r="H301" s="1527" t="s">
        <v>2636</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2637</v>
      </c>
      <c r="I303" s="1407"/>
      <c r="J303" s="1407"/>
      <c r="K303" s="1407"/>
      <c r="L303" s="1407"/>
      <c r="M303" s="1407"/>
      <c r="N303" s="1407"/>
      <c r="O303" s="1407"/>
      <c r="P303" s="1407"/>
      <c r="Q303" s="1407"/>
      <c r="R303" s="1407"/>
      <c r="T303" s="4" t="s">
        <v>879</v>
      </c>
      <c r="V303" s="3"/>
      <c r="W303" s="3"/>
      <c r="X303" s="3"/>
      <c r="Y303" s="3"/>
      <c r="AA303" s="1407" t="s">
        <v>2642</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2638</v>
      </c>
      <c r="I304" s="1371"/>
      <c r="J304" s="1371"/>
      <c r="K304" s="1371"/>
      <c r="L304" s="1371"/>
      <c r="M304" s="1371"/>
      <c r="N304" s="1371"/>
      <c r="O304" s="1371"/>
      <c r="P304" s="1371"/>
      <c r="Q304" s="1371"/>
      <c r="R304" s="1371"/>
      <c r="T304" s="3" t="s">
        <v>472</v>
      </c>
      <c r="V304" s="3"/>
      <c r="W304" s="3"/>
      <c r="X304" s="3"/>
      <c r="Y304" s="3"/>
      <c r="AA304" s="1371" t="s">
        <v>2643</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2639</v>
      </c>
      <c r="I305" s="1371"/>
      <c r="J305" s="1371"/>
      <c r="K305" s="1371"/>
      <c r="L305" s="1371"/>
      <c r="M305" s="1371"/>
      <c r="N305" s="1371"/>
      <c r="O305" s="1371"/>
      <c r="P305" s="1371"/>
      <c r="Q305" s="1371"/>
      <c r="R305" s="1371"/>
      <c r="T305" s="3" t="s">
        <v>75</v>
      </c>
      <c r="V305" s="3"/>
      <c r="W305" s="3"/>
      <c r="X305" s="3"/>
      <c r="Y305" s="3"/>
      <c r="AA305" s="1371" t="s">
        <v>2644</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2640</v>
      </c>
      <c r="I306" s="1371"/>
      <c r="J306" s="1371"/>
      <c r="K306" s="1371"/>
      <c r="L306" s="1371"/>
      <c r="M306" s="1371"/>
      <c r="N306" s="1371"/>
      <c r="O306" s="1371"/>
      <c r="P306" s="1371"/>
      <c r="Q306" s="1371"/>
      <c r="R306" s="1371"/>
      <c r="T306" s="3" t="s">
        <v>87</v>
      </c>
      <c r="V306" s="3"/>
      <c r="W306" s="3"/>
      <c r="X306" s="3"/>
      <c r="Y306" s="3"/>
      <c r="AA306" s="1371" t="s">
        <v>2645</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7">
        <v>3178196145</v>
      </c>
      <c r="I307" s="1547"/>
      <c r="J307" s="1547"/>
      <c r="K307" s="1547"/>
      <c r="L307" s="1547"/>
      <c r="M307" s="1547"/>
      <c r="N307" s="4" t="s">
        <v>206</v>
      </c>
      <c r="O307" s="4"/>
      <c r="P307" s="1530"/>
      <c r="Q307" s="1530"/>
      <c r="R307" s="1530"/>
      <c r="S307" s="3"/>
      <c r="T307" s="3" t="s">
        <v>88</v>
      </c>
      <c r="V307" s="3"/>
      <c r="W307" s="3"/>
      <c r="X307" s="3"/>
      <c r="Y307" s="3"/>
      <c r="AA307" s="1547">
        <v>5104590827</v>
      </c>
      <c r="AB307" s="1547"/>
      <c r="AC307" s="1547"/>
      <c r="AD307" s="1547"/>
      <c r="AE307" s="1547"/>
      <c r="AF307" s="1547"/>
      <c r="AG307" s="4" t="s">
        <v>206</v>
      </c>
      <c r="AH307" s="4"/>
      <c r="AI307" s="1530"/>
      <c r="AJ307" s="1530"/>
      <c r="AK307" s="1530"/>
    </row>
    <row r="308" spans="2:37" ht="12.95" customHeight="1">
      <c r="B308" s="3" t="s">
        <v>89</v>
      </c>
      <c r="C308" s="3"/>
      <c r="D308" s="3"/>
      <c r="E308" s="3"/>
      <c r="F308" s="3"/>
      <c r="G308" s="3"/>
      <c r="H308" s="1489">
        <v>3178156140</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371" t="s">
        <v>2641</v>
      </c>
      <c r="I309" s="1371"/>
      <c r="J309" s="1371"/>
      <c r="K309" s="1371"/>
      <c r="L309" s="1371"/>
      <c r="M309" s="1371"/>
      <c r="N309" s="1407"/>
      <c r="O309" s="1407"/>
      <c r="P309" s="1407"/>
      <c r="Q309" s="1407"/>
      <c r="R309" s="1407"/>
      <c r="S309" s="3"/>
      <c r="T309" s="3" t="s">
        <v>76</v>
      </c>
      <c r="V309" s="3"/>
      <c r="W309" s="3"/>
      <c r="X309" s="3"/>
      <c r="Y309" s="3"/>
      <c r="AA309" s="1371" t="s">
        <v>2646</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2637</v>
      </c>
      <c r="I311" s="1407"/>
      <c r="J311" s="1407"/>
      <c r="K311" s="1407"/>
      <c r="L311" s="1407"/>
      <c r="M311" s="1407"/>
      <c r="N311" s="1407"/>
      <c r="O311" s="1407"/>
      <c r="P311" s="1407"/>
      <c r="Q311" s="1407"/>
      <c r="R311" s="1407"/>
      <c r="S311" s="3"/>
      <c r="T311" s="3" t="s">
        <v>365</v>
      </c>
      <c r="V311" s="3"/>
      <c r="W311" s="3"/>
      <c r="X311" s="3"/>
      <c r="Y311" s="3"/>
      <c r="AA311" s="1521" t="s">
        <v>2647</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2638</v>
      </c>
      <c r="I312" s="1371"/>
      <c r="J312" s="1371"/>
      <c r="K312" s="1371"/>
      <c r="L312" s="1371"/>
      <c r="M312" s="1371"/>
      <c r="N312" s="1371"/>
      <c r="O312" s="1371"/>
      <c r="P312" s="1371"/>
      <c r="Q312" s="1371"/>
      <c r="R312" s="1371"/>
      <c r="S312" s="3"/>
      <c r="T312" s="3" t="s">
        <v>472</v>
      </c>
      <c r="V312" s="3"/>
      <c r="W312" s="3"/>
      <c r="X312" s="3"/>
      <c r="Y312" s="3"/>
      <c r="AA312" s="1527" t="s">
        <v>2648</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2639</v>
      </c>
      <c r="I313" s="1371"/>
      <c r="J313" s="1371"/>
      <c r="K313" s="1371"/>
      <c r="L313" s="1371"/>
      <c r="M313" s="1371"/>
      <c r="N313" s="1371"/>
      <c r="O313" s="1371"/>
      <c r="P313" s="1371"/>
      <c r="Q313" s="1371"/>
      <c r="R313" s="1371"/>
      <c r="S313" s="3"/>
      <c r="T313" s="3" t="s">
        <v>75</v>
      </c>
      <c r="V313" s="3"/>
      <c r="W313" s="3"/>
      <c r="X313" s="3"/>
      <c r="Y313" s="3"/>
      <c r="AA313" s="1527" t="s">
        <v>2649</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2640</v>
      </c>
      <c r="I314" s="1371"/>
      <c r="J314" s="1371"/>
      <c r="K314" s="1371"/>
      <c r="L314" s="1371"/>
      <c r="M314" s="1371"/>
      <c r="N314" s="1371"/>
      <c r="O314" s="1371"/>
      <c r="P314" s="1371"/>
      <c r="Q314" s="1371"/>
      <c r="R314" s="1371"/>
      <c r="S314" s="3"/>
      <c r="T314" s="3" t="s">
        <v>87</v>
      </c>
      <c r="V314" s="3"/>
      <c r="W314" s="3"/>
      <c r="X314" s="3"/>
      <c r="Y314" s="3"/>
      <c r="AA314" s="1527" t="s">
        <v>2651</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7">
        <v>3178196145</v>
      </c>
      <c r="I315" s="1547"/>
      <c r="J315" s="1547"/>
      <c r="K315" s="1547"/>
      <c r="L315" s="1547"/>
      <c r="M315" s="1547"/>
      <c r="N315" s="4" t="s">
        <v>206</v>
      </c>
      <c r="O315" s="4"/>
      <c r="P315" s="1530"/>
      <c r="Q315" s="1530"/>
      <c r="R315" s="1530"/>
      <c r="S315" s="3"/>
      <c r="T315" s="3" t="s">
        <v>88</v>
      </c>
      <c r="V315" s="3"/>
      <c r="W315" s="3"/>
      <c r="X315" s="3"/>
      <c r="Y315" s="3"/>
      <c r="AA315" s="1557" t="s">
        <v>2650</v>
      </c>
      <c r="AB315" s="1547"/>
      <c r="AC315" s="1547"/>
      <c r="AD315" s="1547"/>
      <c r="AE315" s="1547"/>
      <c r="AF315" s="1547"/>
      <c r="AG315" s="4" t="s">
        <v>206</v>
      </c>
      <c r="AH315" s="4"/>
      <c r="AI315" s="1530"/>
      <c r="AJ315" s="1530"/>
      <c r="AK315" s="1530"/>
    </row>
    <row r="316" spans="2:37" ht="12.95" customHeight="1">
      <c r="B316" s="3" t="s">
        <v>89</v>
      </c>
      <c r="C316" s="3"/>
      <c r="D316" s="3"/>
      <c r="E316" s="3"/>
      <c r="F316" s="3"/>
      <c r="G316" s="3"/>
      <c r="H316" s="1489">
        <v>3178156140</v>
      </c>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5" customHeight="1">
      <c r="B317" s="3" t="s">
        <v>76</v>
      </c>
      <c r="C317" s="3"/>
      <c r="D317" s="3"/>
      <c r="E317" s="3"/>
      <c r="F317" s="3"/>
      <c r="G317" s="3"/>
      <c r="H317" s="1371" t="s">
        <v>2641</v>
      </c>
      <c r="I317" s="1371"/>
      <c r="J317" s="1371"/>
      <c r="K317" s="1371"/>
      <c r="L317" s="1371"/>
      <c r="M317" s="1371"/>
      <c r="N317" s="1407"/>
      <c r="O317" s="1407"/>
      <c r="P317" s="1407"/>
      <c r="Q317" s="1407"/>
      <c r="R317" s="1407"/>
      <c r="S317" s="3"/>
      <c r="T317" s="3" t="s">
        <v>76</v>
      </c>
      <c r="V317" s="3"/>
      <c r="W317" s="3"/>
      <c r="X317" s="3"/>
      <c r="Y317" s="3"/>
      <c r="AA317" s="1527" t="s">
        <v>2652</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521" t="s">
        <v>592</v>
      </c>
      <c r="I319" s="1407"/>
      <c r="J319" s="1407"/>
      <c r="K319" s="1407"/>
      <c r="L319" s="1407"/>
      <c r="M319" s="1407"/>
      <c r="N319" s="1407"/>
      <c r="O319" s="1407"/>
      <c r="P319" s="1407"/>
      <c r="Q319" s="1407"/>
      <c r="R319" s="1407"/>
      <c r="T319" s="3" t="s">
        <v>366</v>
      </c>
      <c r="V319" s="3"/>
      <c r="W319" s="3"/>
      <c r="X319" s="3"/>
      <c r="Y319" s="3"/>
      <c r="AA319" s="1407" t="s">
        <v>2732</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2733</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2734</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2735</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7"/>
      <c r="I323" s="1547"/>
      <c r="J323" s="1547"/>
      <c r="K323" s="1547"/>
      <c r="L323" s="1547"/>
      <c r="M323" s="1547"/>
      <c r="N323" s="4" t="s">
        <v>206</v>
      </c>
      <c r="O323" s="4"/>
      <c r="P323" s="1530"/>
      <c r="Q323" s="1530"/>
      <c r="R323" s="1530"/>
      <c r="S323" s="3"/>
      <c r="T323" s="3" t="s">
        <v>88</v>
      </c>
      <c r="V323" s="3"/>
      <c r="W323" s="3"/>
      <c r="X323" s="3"/>
      <c r="Y323" s="3"/>
      <c r="AA323" s="1547" t="s">
        <v>2736</v>
      </c>
      <c r="AB323" s="1547"/>
      <c r="AC323" s="1547"/>
      <c r="AD323" s="1547"/>
      <c r="AE323" s="1547"/>
      <c r="AF323" s="1547"/>
      <c r="AG323" s="4" t="s">
        <v>206</v>
      </c>
      <c r="AH323" s="4"/>
      <c r="AI323" s="1530"/>
      <c r="AJ323" s="1530"/>
      <c r="AK323" s="1530"/>
    </row>
    <row r="324" spans="2:37" ht="12.9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t="s">
        <v>592</v>
      </c>
      <c r="AB324" s="1489"/>
      <c r="AC324" s="1489"/>
      <c r="AD324" s="1489"/>
      <c r="AE324" s="1489"/>
      <c r="AF324" s="1489"/>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2737</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2738</v>
      </c>
      <c r="I327" s="1407"/>
      <c r="J327" s="1407"/>
      <c r="K327" s="1407"/>
      <c r="L327" s="1407"/>
      <c r="M327" s="1407"/>
      <c r="N327" s="1407"/>
      <c r="O327" s="1407"/>
      <c r="P327" s="1407"/>
      <c r="Q327" s="1407"/>
      <c r="R327" s="1407"/>
      <c r="T327" s="3" t="s">
        <v>368</v>
      </c>
      <c r="V327" s="3"/>
      <c r="W327" s="3"/>
      <c r="X327" s="3"/>
      <c r="Y327" s="3"/>
      <c r="AA327" s="1407" t="s">
        <v>2653</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2739</v>
      </c>
      <c r="I328" s="1371"/>
      <c r="J328" s="1371"/>
      <c r="K328" s="1371"/>
      <c r="L328" s="1371"/>
      <c r="M328" s="1371"/>
      <c r="N328" s="1371"/>
      <c r="O328" s="1371"/>
      <c r="P328" s="1371"/>
      <c r="Q328" s="1371"/>
      <c r="R328" s="1371"/>
      <c r="T328" s="3" t="s">
        <v>472</v>
      </c>
      <c r="V328" s="3"/>
      <c r="W328" s="3"/>
      <c r="X328" s="3"/>
      <c r="Y328" s="3"/>
      <c r="AA328" s="1371" t="s">
        <v>2654</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2740</v>
      </c>
      <c r="I329" s="1371"/>
      <c r="J329" s="1371"/>
      <c r="K329" s="1371"/>
      <c r="L329" s="1371"/>
      <c r="M329" s="1371"/>
      <c r="N329" s="1371"/>
      <c r="O329" s="1371"/>
      <c r="P329" s="1371"/>
      <c r="Q329" s="1371"/>
      <c r="R329" s="1371"/>
      <c r="T329" s="3" t="s">
        <v>75</v>
      </c>
      <c r="V329" s="3"/>
      <c r="W329" s="3"/>
      <c r="X329" s="3"/>
      <c r="Y329" s="3"/>
      <c r="AA329" s="1371" t="s">
        <v>2655</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2741</v>
      </c>
      <c r="I330" s="1371"/>
      <c r="J330" s="1371"/>
      <c r="K330" s="1371"/>
      <c r="L330" s="1371"/>
      <c r="M330" s="1371"/>
      <c r="N330" s="1371"/>
      <c r="O330" s="1371"/>
      <c r="P330" s="1371"/>
      <c r="Q330" s="1371"/>
      <c r="R330" s="1371"/>
      <c r="T330" s="3" t="s">
        <v>87</v>
      </c>
      <c r="V330" s="3"/>
      <c r="W330" s="3"/>
      <c r="X330" s="3"/>
      <c r="Y330" s="3"/>
      <c r="AA330" s="1371" t="s">
        <v>2656</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7" t="s">
        <v>2742</v>
      </c>
      <c r="I331" s="1547"/>
      <c r="J331" s="1547"/>
      <c r="K331" s="1547"/>
      <c r="L331" s="1547"/>
      <c r="M331" s="1547"/>
      <c r="N331" s="4" t="s">
        <v>206</v>
      </c>
      <c r="O331" s="4"/>
      <c r="P331" s="1530"/>
      <c r="Q331" s="1530"/>
      <c r="R331" s="1530"/>
      <c r="S331" s="3"/>
      <c r="T331" s="3" t="s">
        <v>88</v>
      </c>
      <c r="V331" s="3"/>
      <c r="W331" s="3"/>
      <c r="X331" s="3"/>
      <c r="Y331" s="3"/>
      <c r="AA331" s="1547">
        <v>2142349561</v>
      </c>
      <c r="AB331" s="1547"/>
      <c r="AC331" s="1547"/>
      <c r="AD331" s="1547"/>
      <c r="AE331" s="1547"/>
      <c r="AF331" s="1547"/>
      <c r="AG331" s="4" t="s">
        <v>206</v>
      </c>
      <c r="AH331" s="4"/>
      <c r="AI331" s="1530"/>
      <c r="AJ331" s="1530"/>
      <c r="AK331" s="1530"/>
    </row>
    <row r="332" spans="2:37" ht="12.95" customHeight="1">
      <c r="B332" s="3" t="s">
        <v>89</v>
      </c>
      <c r="C332" s="3"/>
      <c r="D332" s="3"/>
      <c r="E332" s="3"/>
      <c r="F332" s="3"/>
      <c r="G332" s="3"/>
      <c r="H332" s="1489" t="s">
        <v>592</v>
      </c>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1" t="s">
        <v>2743</v>
      </c>
      <c r="I333" s="1371"/>
      <c r="J333" s="1371"/>
      <c r="K333" s="1371"/>
      <c r="L333" s="1371"/>
      <c r="M333" s="1371"/>
      <c r="N333" s="1407"/>
      <c r="O333" s="1407"/>
      <c r="P333" s="1407"/>
      <c r="Q333" s="1407"/>
      <c r="R333" s="1407"/>
      <c r="S333" s="3"/>
      <c r="T333" s="3" t="s">
        <v>76</v>
      </c>
      <c r="V333" s="3"/>
      <c r="W333" s="3"/>
      <c r="X333" s="3"/>
      <c r="Y333" s="3"/>
      <c r="AA333" s="1371" t="s">
        <v>2657</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2658</v>
      </c>
      <c r="I335" s="1407"/>
      <c r="J335" s="1407"/>
      <c r="K335" s="1407"/>
      <c r="L335" s="1407"/>
      <c r="M335" s="1407"/>
      <c r="N335" s="1407"/>
      <c r="O335" s="1407"/>
      <c r="P335" s="1407"/>
      <c r="Q335" s="1407"/>
      <c r="R335" s="1407"/>
      <c r="T335" s="204" t="s">
        <v>887</v>
      </c>
      <c r="V335" s="3"/>
      <c r="W335" s="3"/>
      <c r="X335" s="3"/>
      <c r="Y335" s="3"/>
      <c r="AA335" s="1521" t="s">
        <v>2744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2659</v>
      </c>
      <c r="I336" s="1371"/>
      <c r="J336" s="1371"/>
      <c r="K336" s="1371"/>
      <c r="L336" s="1371"/>
      <c r="M336" s="1371"/>
      <c r="N336" s="1371"/>
      <c r="O336" s="1371"/>
      <c r="P336" s="1371"/>
      <c r="Q336" s="1371"/>
      <c r="R336" s="1371"/>
      <c r="T336" s="3" t="s">
        <v>472</v>
      </c>
      <c r="V336" s="3"/>
      <c r="W336" s="3"/>
      <c r="X336" s="3"/>
      <c r="Y336" s="3"/>
      <c r="AA336" s="1371" t="s">
        <v>2745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2660</v>
      </c>
      <c r="I337" s="1371"/>
      <c r="J337" s="1371"/>
      <c r="K337" s="1371"/>
      <c r="L337" s="1371"/>
      <c r="M337" s="1371"/>
      <c r="N337" s="1371"/>
      <c r="O337" s="1371"/>
      <c r="P337" s="1371"/>
      <c r="Q337" s="1371"/>
      <c r="R337" s="1371"/>
      <c r="T337" s="3" t="s">
        <v>75</v>
      </c>
      <c r="V337" s="3"/>
      <c r="W337" s="3"/>
      <c r="X337" s="3"/>
      <c r="Y337" s="3"/>
      <c r="AA337" s="1371" t="s">
        <v>2746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2661</v>
      </c>
      <c r="I338" s="1371"/>
      <c r="J338" s="1371"/>
      <c r="K338" s="1371"/>
      <c r="L338" s="1371"/>
      <c r="M338" s="1371"/>
      <c r="N338" s="1371"/>
      <c r="O338" s="1371"/>
      <c r="P338" s="1371"/>
      <c r="Q338" s="1371"/>
      <c r="R338" s="1371"/>
      <c r="T338" s="3" t="s">
        <v>87</v>
      </c>
      <c r="V338" s="3"/>
      <c r="W338" s="3"/>
      <c r="X338" s="3"/>
      <c r="Y338" s="3"/>
      <c r="AA338" s="1371" t="s">
        <v>2747</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7" t="s">
        <v>2662</v>
      </c>
      <c r="I339" s="1547"/>
      <c r="J339" s="1547"/>
      <c r="K339" s="1547"/>
      <c r="L339" s="1547"/>
      <c r="M339" s="1547"/>
      <c r="N339" s="4" t="s">
        <v>206</v>
      </c>
      <c r="O339" s="4"/>
      <c r="P339" s="1530"/>
      <c r="Q339" s="1530"/>
      <c r="R339" s="1530"/>
      <c r="S339" s="3"/>
      <c r="T339" s="3" t="s">
        <v>88</v>
      </c>
      <c r="V339" s="3"/>
      <c r="W339" s="3"/>
      <c r="X339" s="3"/>
      <c r="Y339" s="3"/>
      <c r="AA339" s="1547" t="s">
        <v>2748</v>
      </c>
      <c r="AB339" s="1547"/>
      <c r="AC339" s="1547"/>
      <c r="AD339" s="1547"/>
      <c r="AE339" s="1547"/>
      <c r="AF339" s="1547"/>
      <c r="AG339" s="4" t="s">
        <v>206</v>
      </c>
      <c r="AH339" s="4"/>
      <c r="AI339" s="1530"/>
      <c r="AJ339" s="1530"/>
      <c r="AK339" s="1530"/>
    </row>
    <row r="340" spans="1:66" ht="12.9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2.95" customHeight="1">
      <c r="B341" s="3" t="s">
        <v>76</v>
      </c>
      <c r="C341" s="3"/>
      <c r="D341" s="3"/>
      <c r="E341" s="3"/>
      <c r="F341" s="3"/>
      <c r="G341" s="3"/>
      <c r="H341" s="1371" t="s">
        <v>2663</v>
      </c>
      <c r="I341" s="1371"/>
      <c r="J341" s="1371"/>
      <c r="K341" s="1371"/>
      <c r="L341" s="1371"/>
      <c r="M341" s="1371"/>
      <c r="N341" s="1407"/>
      <c r="O341" s="1407"/>
      <c r="P341" s="1407"/>
      <c r="Q341" s="1407"/>
      <c r="R341" s="1407"/>
      <c r="S341" s="3"/>
      <c r="T341" s="3" t="s">
        <v>76</v>
      </c>
      <c r="V341" s="3"/>
      <c r="W341" s="3"/>
      <c r="X341" s="3"/>
      <c r="Y341" s="3"/>
      <c r="AA341" s="1527" t="s">
        <v>2749</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9" t="s">
        <v>543</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5" t="s">
        <v>592</v>
      </c>
      <c r="N355" s="1415"/>
      <c r="P355" t="s">
        <v>1651</v>
      </c>
      <c r="AJ355" s="1415" t="s">
        <v>592</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546</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t="s">
        <v>2664</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449</v>
      </c>
      <c r="F370" s="4"/>
      <c r="G370" s="4"/>
      <c r="H370" s="4"/>
      <c r="I370" s="4"/>
      <c r="J370" s="4"/>
      <c r="K370" s="4"/>
      <c r="L370" s="4"/>
      <c r="N370" s="1450">
        <v>53</v>
      </c>
      <c r="O370" s="1390"/>
      <c r="P370" s="1390"/>
      <c r="Q370" s="1390"/>
      <c r="R370" s="4"/>
      <c r="U370" s="4" t="s">
        <v>450</v>
      </c>
      <c r="V370" s="4"/>
      <c r="W370" s="4"/>
      <c r="X370" s="4"/>
      <c r="Y370" s="4"/>
      <c r="Z370" s="4"/>
      <c r="AA370" s="4"/>
      <c r="AB370" s="4"/>
      <c r="AC370" s="1390">
        <v>4</v>
      </c>
      <c r="AD370" s="1390"/>
      <c r="AE370" s="1390"/>
      <c r="AF370" s="1390"/>
    </row>
    <row r="371" spans="1:34" ht="12.95" customHeight="1">
      <c r="E371" s="4" t="s">
        <v>451</v>
      </c>
      <c r="F371" s="4"/>
      <c r="G371" s="4"/>
      <c r="H371" s="4"/>
      <c r="I371" s="4"/>
      <c r="J371" s="4"/>
      <c r="K371" s="4"/>
      <c r="L371" s="4"/>
      <c r="N371" s="1390">
        <v>3</v>
      </c>
      <c r="O371" s="1390"/>
      <c r="P371" s="1390"/>
      <c r="Q371" s="1390"/>
      <c r="R371" s="4"/>
      <c r="U371" s="4" t="s">
        <v>0</v>
      </c>
      <c r="V371" s="4"/>
      <c r="W371" s="4"/>
      <c r="X371" s="4"/>
      <c r="Y371" s="4"/>
      <c r="Z371" s="4"/>
      <c r="AA371" s="4"/>
      <c r="AB371" s="4"/>
      <c r="AC371" s="1390">
        <v>231</v>
      </c>
      <c r="AD371" s="1390"/>
      <c r="AE371" s="1390"/>
      <c r="AF371" s="1390"/>
    </row>
    <row r="372" spans="1:34" ht="12.95" customHeight="1">
      <c r="E372" s="4" t="s">
        <v>1</v>
      </c>
      <c r="F372" s="4"/>
      <c r="G372" s="4"/>
      <c r="H372" s="4"/>
      <c r="I372" s="4"/>
      <c r="J372" s="4"/>
      <c r="K372" s="4"/>
      <c r="L372" s="4"/>
      <c r="N372" s="1450">
        <v>12</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1" t="s">
        <v>2665</v>
      </c>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3">
        <v>2003</v>
      </c>
      <c r="T377" s="1443"/>
      <c r="U377" s="1" t="s">
        <v>306</v>
      </c>
      <c r="V377" s="1443">
        <v>864</v>
      </c>
      <c r="W377" s="1443"/>
      <c r="Y377" t="s">
        <v>2080</v>
      </c>
      <c r="AC377" s="27" t="s">
        <v>305</v>
      </c>
      <c r="AD377" s="1443"/>
      <c r="AE377" s="1443"/>
      <c r="AF377" s="1" t="s">
        <v>306</v>
      </c>
      <c r="AG377" s="1443"/>
      <c r="AH377" s="1443"/>
    </row>
    <row r="378" spans="1:34" ht="12.95" customHeight="1">
      <c r="E378" s="4" t="s">
        <v>988</v>
      </c>
      <c r="F378" s="4"/>
      <c r="G378" s="4"/>
      <c r="H378" s="4"/>
      <c r="I378" s="4"/>
      <c r="J378" s="4"/>
      <c r="K378" s="4"/>
      <c r="L378" s="4"/>
      <c r="N378" s="1443">
        <v>2003</v>
      </c>
      <c r="O378" s="1443"/>
      <c r="P378" s="1443"/>
    </row>
    <row r="379" spans="1:34" ht="12.95" customHeight="1">
      <c r="E379" s="204" t="s">
        <v>2086</v>
      </c>
      <c r="F379" s="4"/>
      <c r="G379" s="4"/>
      <c r="H379" s="4"/>
      <c r="I379" s="4"/>
      <c r="J379" s="4"/>
      <c r="K379" s="4"/>
      <c r="L379" s="4"/>
      <c r="AG379" s="1446" t="s">
        <v>546</v>
      </c>
      <c r="AH379" s="1446"/>
    </row>
    <row r="380" spans="1:34" ht="12.95" customHeight="1">
      <c r="E380" s="4"/>
      <c r="F380" s="4"/>
      <c r="G380" s="4" t="s">
        <v>2087</v>
      </c>
      <c r="H380" s="4"/>
      <c r="I380" s="4"/>
      <c r="J380" s="4"/>
      <c r="K380" s="4"/>
      <c r="L380" s="4"/>
      <c r="AG380" s="1446" t="s">
        <v>670</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670</v>
      </c>
      <c r="W382" s="1415"/>
      <c r="Y382" s="4" t="s">
        <v>983</v>
      </c>
    </row>
    <row r="383" spans="1:34" ht="12.95" customHeight="1"/>
    <row r="384" spans="1:34" ht="12.95" customHeight="1">
      <c r="A384" s="2" t="s">
        <v>78</v>
      </c>
      <c r="B384" s="2"/>
    </row>
    <row r="385" spans="4:36" ht="12.95" customHeight="1">
      <c r="D385" t="s">
        <v>428</v>
      </c>
      <c r="J385" s="1521" t="s">
        <v>2714</v>
      </c>
      <c r="K385" s="1407"/>
      <c r="L385" s="1407"/>
      <c r="M385" s="1407"/>
      <c r="N385" s="1407"/>
      <c r="O385" s="1407"/>
      <c r="P385" s="1407"/>
      <c r="Q385" s="1407"/>
      <c r="R385" s="1407"/>
      <c r="S385" s="1407"/>
      <c r="T385" s="1407"/>
      <c r="U385" s="1407"/>
      <c r="V385" s="8" t="s">
        <v>83</v>
      </c>
      <c r="W385" s="8"/>
      <c r="X385" s="8"/>
      <c r="Y385" s="8"/>
      <c r="Z385" s="8"/>
      <c r="AA385" s="8"/>
      <c r="AB385" s="8"/>
      <c r="AC385" s="1521" t="s">
        <v>2750</v>
      </c>
      <c r="AD385" s="1407"/>
      <c r="AE385" s="1407"/>
      <c r="AF385" s="1407"/>
      <c r="AG385" s="1407"/>
      <c r="AH385" s="1407"/>
      <c r="AI385" s="1407"/>
      <c r="AJ385" s="1407"/>
    </row>
    <row r="386" spans="4:36" ht="12.95" customHeight="1">
      <c r="D386" s="3" t="s">
        <v>1183</v>
      </c>
      <c r="J386" s="1527" t="s">
        <v>2750</v>
      </c>
      <c r="K386" s="1371"/>
      <c r="L386" s="1371"/>
      <c r="M386" s="1371"/>
      <c r="N386" s="1371"/>
      <c r="O386" s="1371"/>
      <c r="P386" s="1371"/>
      <c r="Q386" s="1371"/>
      <c r="R386" s="1371"/>
      <c r="S386" s="1371"/>
      <c r="T386" s="1371"/>
      <c r="U386" s="1371"/>
      <c r="V386" s="3" t="s">
        <v>1183</v>
      </c>
      <c r="W386" s="8"/>
      <c r="X386" s="8"/>
      <c r="Y386" s="8"/>
      <c r="Z386" s="8"/>
      <c r="AA386" s="8"/>
      <c r="AB386" s="8"/>
      <c r="AC386" s="1521"/>
      <c r="AD386" s="1407"/>
      <c r="AE386" s="1407"/>
      <c r="AF386" s="1407"/>
      <c r="AG386" s="1407"/>
      <c r="AH386" s="1407"/>
      <c r="AI386" s="1407"/>
      <c r="AJ386" s="1407"/>
    </row>
    <row r="387" spans="4:36" ht="12.95" customHeight="1">
      <c r="D387" s="3" t="s">
        <v>442</v>
      </c>
      <c r="J387" s="1527" t="s">
        <v>2696</v>
      </c>
      <c r="K387" s="1371"/>
      <c r="L387" s="1371"/>
      <c r="M387" s="1371"/>
      <c r="N387" s="1371"/>
      <c r="O387" s="1371"/>
      <c r="P387" s="1371"/>
      <c r="Q387" s="1371"/>
      <c r="R387" s="1371"/>
      <c r="S387" s="1371"/>
      <c r="T387" s="1371"/>
      <c r="U387" s="1371"/>
      <c r="V387" s="3" t="s">
        <v>442</v>
      </c>
      <c r="W387" s="8"/>
      <c r="X387" s="8"/>
      <c r="Y387" s="8"/>
      <c r="Z387" s="8"/>
      <c r="AA387" s="8"/>
      <c r="AB387" s="8"/>
      <c r="AC387" s="1521" t="s">
        <v>2751</v>
      </c>
      <c r="AD387" s="1407"/>
      <c r="AE387" s="1407"/>
      <c r="AF387" s="1407"/>
      <c r="AG387" s="1407"/>
      <c r="AH387" s="1407"/>
      <c r="AI387" s="1407"/>
      <c r="AJ387" s="1407"/>
    </row>
    <row r="388" spans="4:36" ht="12.95" customHeight="1">
      <c r="D388" t="s">
        <v>1179</v>
      </c>
      <c r="J388" s="1508" t="s">
        <v>2715</v>
      </c>
      <c r="K388" s="1427"/>
      <c r="L388" s="1427"/>
      <c r="M388" s="1427"/>
      <c r="N388" s="1427"/>
      <c r="O388" s="1427"/>
      <c r="P388" s="1427"/>
      <c r="Q388" s="1427"/>
      <c r="R388" s="1427"/>
      <c r="S388" s="1427"/>
      <c r="T388" s="1427"/>
      <c r="U388" s="1427"/>
      <c r="V388" s="1521" t="s">
        <v>2716</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6">
        <v>45909</v>
      </c>
      <c r="R389" s="1596"/>
      <c r="S389" s="1596"/>
      <c r="T389" s="1596"/>
      <c r="U389" s="1596"/>
      <c r="V389" t="s">
        <v>309</v>
      </c>
      <c r="AI389" s="1415" t="s">
        <v>670</v>
      </c>
      <c r="AJ389" s="1415"/>
    </row>
    <row r="390" spans="4:36" ht="12.95" customHeight="1">
      <c r="D390" t="s">
        <v>5</v>
      </c>
      <c r="Q390" s="1525">
        <v>46387</v>
      </c>
      <c r="R390" s="1526"/>
      <c r="S390" s="1526"/>
      <c r="T390" s="1526"/>
      <c r="U390" s="1526"/>
      <c r="W390" s="21" t="s">
        <v>74</v>
      </c>
      <c r="AG390" s="1448"/>
      <c r="AH390" s="1448"/>
      <c r="AI390" s="1448"/>
      <c r="AJ390" s="1448"/>
    </row>
    <row r="391" spans="4:36" ht="12.95" customHeight="1">
      <c r="D391" t="s">
        <v>427</v>
      </c>
      <c r="Q391" s="1449">
        <v>36000000</v>
      </c>
      <c r="R391" s="1449"/>
      <c r="S391" s="1449"/>
      <c r="T391" s="1449"/>
      <c r="U391" s="1449"/>
      <c r="V391" s="3" t="s">
        <v>1182</v>
      </c>
      <c r="AG391" s="1523">
        <v>46172</v>
      </c>
      <c r="AH391" s="1523"/>
      <c r="AI391" s="1523"/>
      <c r="AJ391" s="1523"/>
    </row>
    <row r="392" spans="4:36" ht="12.95" customHeight="1">
      <c r="D392" t="s">
        <v>88</v>
      </c>
      <c r="I392" s="1557">
        <v>9497191888</v>
      </c>
      <c r="J392" s="1547"/>
      <c r="K392" s="1547"/>
      <c r="L392" s="1547"/>
      <c r="M392" s="1547"/>
      <c r="N392" s="1547"/>
      <c r="Q392" s="4" t="s">
        <v>206</v>
      </c>
      <c r="S392" s="1447"/>
      <c r="T392" s="1447"/>
      <c r="U392" s="1447"/>
      <c r="V392" t="s">
        <v>73</v>
      </c>
      <c r="AI392" s="1415" t="s">
        <v>670</v>
      </c>
      <c r="AJ392" s="1415"/>
    </row>
    <row r="393" spans="4:36" ht="12.95" customHeight="1">
      <c r="D393" t="s">
        <v>310</v>
      </c>
      <c r="Q393" s="1522" t="s">
        <v>592</v>
      </c>
      <c r="R393" s="1529"/>
      <c r="S393" s="1529"/>
      <c r="T393" s="1529"/>
      <c r="U393" s="1529"/>
      <c r="V393" t="s">
        <v>311</v>
      </c>
      <c r="AG393" s="1522" t="s">
        <v>592</v>
      </c>
      <c r="AH393" s="1448"/>
      <c r="AI393" s="1448"/>
      <c r="AJ393" s="1448"/>
    </row>
    <row r="394" spans="4:36" ht="12.95" customHeight="1">
      <c r="D394" t="s">
        <v>312</v>
      </c>
      <c r="Q394" s="1586">
        <v>1.18E-2</v>
      </c>
      <c r="R394" s="1586"/>
      <c r="S394" s="1586"/>
      <c r="T394" s="1586"/>
      <c r="U394" s="1586"/>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2143</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8"/>
      <c r="AH401" s="1528"/>
      <c r="AI401" s="1528"/>
      <c r="AJ401" s="1528"/>
    </row>
    <row r="402" spans="1:36" ht="12.95" customHeight="1">
      <c r="D402" s="3" t="s">
        <v>1659</v>
      </c>
      <c r="S402" s="1434" t="s">
        <v>592</v>
      </c>
      <c r="T402" s="1434"/>
      <c r="U402" s="1434"/>
      <c r="V402" t="s">
        <v>1664</v>
      </c>
      <c r="AE402" s="1520"/>
      <c r="AF402" s="1520"/>
      <c r="AG402" s="1520"/>
      <c r="AH402" s="1520"/>
      <c r="AI402" s="1520"/>
      <c r="AJ402" s="1520"/>
    </row>
    <row r="403" spans="1:36" ht="12.95" customHeight="1">
      <c r="D403" s="3" t="s">
        <v>1660</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1663</v>
      </c>
      <c r="K404" s="1524"/>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1666</v>
      </c>
      <c r="E405" s="477"/>
      <c r="F405" s="477"/>
      <c r="G405" s="477"/>
      <c r="H405" s="477"/>
      <c r="I405" s="477"/>
      <c r="J405" s="477"/>
      <c r="K405" s="477"/>
      <c r="L405" s="477"/>
      <c r="M405" s="477"/>
      <c r="N405" s="477"/>
      <c r="O405" s="477"/>
      <c r="P405" s="477"/>
      <c r="Q405" s="477"/>
      <c r="R405" s="477"/>
      <c r="S405" s="1445" t="s">
        <v>2697</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1" t="s">
        <v>2717</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15" t="s">
        <v>546</v>
      </c>
      <c r="S411" s="1415"/>
      <c r="AC411" s="27" t="s">
        <v>571</v>
      </c>
      <c r="AD411" s="1390">
        <v>12</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87" t="s">
        <v>334</v>
      </c>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row>
    <row r="415" spans="1:36" ht="12.95" customHeight="1">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90">
        <v>2.54</v>
      </c>
      <c r="Q418" s="1590"/>
      <c r="R418" s="1590"/>
      <c r="S418" t="s">
        <v>117</v>
      </c>
      <c r="W418" s="1444">
        <f>IF(E418&gt;0,(E418*I418),(P418*43560))</f>
        <v>110642.40000000001</v>
      </c>
      <c r="X418" s="1444"/>
      <c r="Y418" s="1444"/>
      <c r="Z418" t="s">
        <v>118</v>
      </c>
      <c r="AF418" s="1591">
        <f>IFERROR(IF(P418&gt;0,(AG437/P418),(AG437/(W418/43560))),0)</f>
        <v>90.944881889763778</v>
      </c>
      <c r="AG418" s="1591"/>
      <c r="AH418" s="1591"/>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1737</v>
      </c>
      <c r="F421" s="1013"/>
      <c r="G421" s="1013"/>
      <c r="H421" s="1013"/>
      <c r="I421" s="1589">
        <v>2.54</v>
      </c>
      <c r="J421" s="1589"/>
      <c r="K421" s="1589"/>
      <c r="L421" s="1013"/>
      <c r="M421" s="118"/>
      <c r="N421" s="1013"/>
      <c r="O421" s="1013"/>
      <c r="P421" s="1841">
        <f>(DU755+DU778+DU800)/I421</f>
        <v>142.91338582677164</v>
      </c>
      <c r="Q421" s="1841"/>
      <c r="R421" s="18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4</v>
      </c>
      <c r="Q424" s="1415"/>
      <c r="S424" t="s">
        <v>189</v>
      </c>
      <c r="AE424" s="1415">
        <v>3</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31" t="s">
        <v>2721</v>
      </c>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609</v>
      </c>
      <c r="P429" s="1"/>
      <c r="Q429" s="1415" t="s">
        <v>670</v>
      </c>
      <c r="R429" s="1415"/>
    </row>
    <row r="430" spans="1:39" ht="12.95" customHeight="1">
      <c r="F430" t="s">
        <v>610</v>
      </c>
      <c r="P430" s="1"/>
      <c r="Q430" s="1"/>
      <c r="AF430" s="1415" t="s">
        <v>546</v>
      </c>
      <c r="AG430" s="1507"/>
    </row>
    <row r="431" spans="1:39" ht="12.95" customHeight="1"/>
    <row r="432" spans="1:39" ht="12.95" customHeight="1">
      <c r="A432" s="2"/>
      <c r="B432" s="2"/>
      <c r="C432" s="2"/>
      <c r="E432" s="4" t="s">
        <v>308</v>
      </c>
      <c r="Z432" s="1415" t="s">
        <v>546</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670</v>
      </c>
      <c r="AA434" s="1415"/>
    </row>
    <row r="435" spans="1:55" ht="12.95" customHeight="1"/>
    <row r="436" spans="1:55" ht="12.95" customHeight="1">
      <c r="A436" s="2" t="s">
        <v>468</v>
      </c>
      <c r="B436" s="2"/>
      <c r="C436" s="2"/>
      <c r="D436" s="2" t="s">
        <v>765</v>
      </c>
      <c r="AF436" s="48"/>
    </row>
    <row r="437" spans="1:55" ht="12.9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231</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229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229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167506</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167506</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15000</v>
      </c>
      <c r="AH446" s="1416"/>
      <c r="AI446" s="1416"/>
      <c r="AJ446" s="1416"/>
      <c r="AZ446" s="34"/>
      <c r="BA446" s="34"/>
      <c r="BB446" s="34"/>
      <c r="BC446" s="34"/>
    </row>
    <row r="447" spans="1:55" ht="12.95"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80000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83" t="s">
        <v>1040</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29">
        <f>AG442+AG446+AG448+AG449</f>
        <v>262506</v>
      </c>
      <c r="AH450" s="1429"/>
      <c r="AI450" s="1429"/>
      <c r="AJ450" s="1429"/>
      <c r="AZ450" s="3"/>
      <c r="BA450" s="3"/>
      <c r="BB450" s="3"/>
      <c r="BC450" s="3"/>
    </row>
    <row r="451" spans="1:55" ht="12.95" customHeight="1">
      <c r="D451" s="1592" t="s">
        <v>1207</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2.95"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419385.40692640695</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419385.40692640695</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398058.06060606061</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8"/>
      <c r="H474" s="1679"/>
      <c r="I474" s="1679"/>
      <c r="J474" s="1679"/>
      <c r="K474" s="1679"/>
      <c r="L474" s="1679"/>
      <c r="M474" s="1679"/>
      <c r="N474" s="1679"/>
      <c r="O474" s="1679"/>
      <c r="P474" s="1679"/>
      <c r="Q474" s="1679"/>
      <c r="R474" s="1679"/>
      <c r="S474" s="1679"/>
      <c r="T474" s="1679"/>
      <c r="U474" s="1679"/>
      <c r="V474" s="1680"/>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9" t="s">
        <v>811</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464" t="s">
        <v>2718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464" t="s">
        <v>2719</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464" t="s">
        <v>2666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7" t="s">
        <v>166</v>
      </c>
      <c r="T489" s="1578"/>
      <c r="U489" s="1578"/>
      <c r="V489" s="1578"/>
      <c r="W489" s="1578"/>
      <c r="X489" s="1578"/>
      <c r="Y489" s="1578"/>
      <c r="Z489" s="1578"/>
      <c r="AA489" s="1578"/>
      <c r="AB489" s="1578"/>
      <c r="AC489" s="1578"/>
      <c r="AD489" s="1578"/>
      <c r="AE489" s="1578"/>
      <c r="AF489" s="1578"/>
      <c r="AG489" s="1578"/>
      <c r="AH489" s="1578"/>
      <c r="AI489" s="1578"/>
      <c r="AJ489" s="1578"/>
      <c r="AK489" s="1579"/>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80"/>
      <c r="T490" s="1535"/>
      <c r="U490" s="1535"/>
      <c r="V490" s="1535"/>
      <c r="W490" s="1535"/>
      <c r="X490" s="1535"/>
      <c r="Y490" s="1535"/>
      <c r="Z490" s="1535"/>
      <c r="AA490" s="1535"/>
      <c r="AB490" s="1535"/>
      <c r="AC490" s="1535"/>
      <c r="AD490" s="1535"/>
      <c r="AE490" s="1535"/>
      <c r="AF490" s="1535"/>
      <c r="AG490" s="1535"/>
      <c r="AH490" s="1535"/>
      <c r="AI490" s="1535"/>
      <c r="AJ490" s="1535"/>
      <c r="AK490" s="1581"/>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64" t="s">
        <v>2720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64"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149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79</v>
      </c>
      <c r="N495" s="1382"/>
      <c r="O495" s="1382"/>
      <c r="P495" s="1383"/>
      <c r="Q495" s="121" t="s">
        <v>1671</v>
      </c>
      <c r="R495" s="5"/>
      <c r="S495" s="5"/>
      <c r="T495" s="5"/>
      <c r="U495" s="5"/>
      <c r="V495" s="5"/>
      <c r="W495" s="5"/>
      <c r="X495" s="5"/>
      <c r="Y495" s="5"/>
      <c r="Z495" s="5"/>
      <c r="AA495" s="5"/>
      <c r="AB495" s="5"/>
      <c r="AC495" s="5"/>
      <c r="AD495" s="5"/>
      <c r="AE495" s="5"/>
      <c r="AF495" s="5"/>
      <c r="AG495" s="5"/>
      <c r="AH495" s="1381">
        <f>Q494-M495</f>
        <v>70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94"/>
      <c r="AI512" s="1594"/>
      <c r="AJ512" s="1594"/>
      <c r="AK512" s="159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1"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2667</v>
      </c>
      <c r="P520" s="1434"/>
      <c r="Q520" s="1434"/>
      <c r="R520" s="1434"/>
      <c r="S520" s="1434"/>
      <c r="T520" s="1434"/>
      <c r="U520" s="1434"/>
      <c r="V520" s="1434"/>
      <c r="W520" s="1434"/>
      <c r="X520" s="1434"/>
      <c r="Y520" s="1434"/>
      <c r="Z520" s="1434"/>
      <c r="AA520" s="1434"/>
      <c r="AB520" s="58"/>
      <c r="AC520" s="1355">
        <v>5</v>
      </c>
      <c r="AD520" s="1356"/>
      <c r="AE520" s="1356"/>
      <c r="AF520" s="1356"/>
      <c r="AG520" s="129" t="s">
        <v>403</v>
      </c>
      <c r="AH520" s="1427">
        <v>2026</v>
      </c>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9</v>
      </c>
      <c r="AD521" s="1390"/>
      <c r="AE521" s="1390"/>
      <c r="AF521" s="1390"/>
      <c r="AG521" s="13" t="s">
        <v>403</v>
      </c>
      <c r="AH521" s="1427">
        <v>2025</v>
      </c>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427">
        <v>2026</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2668</v>
      </c>
      <c r="D554" s="1439"/>
      <c r="E554" s="1439"/>
      <c r="F554" s="1439"/>
      <c r="G554" s="1439"/>
      <c r="H554" s="1439"/>
      <c r="I554" s="1439"/>
      <c r="J554" s="1439"/>
      <c r="K554" s="1439"/>
      <c r="L554" s="1439"/>
      <c r="M554" s="1439" t="s">
        <v>2120</v>
      </c>
      <c r="N554" s="1439"/>
      <c r="O554" s="1439"/>
      <c r="P554" s="1439"/>
      <c r="Q554" s="1425">
        <v>192</v>
      </c>
      <c r="R554" s="1425"/>
      <c r="S554" s="1426"/>
      <c r="T554" s="1424">
        <v>420</v>
      </c>
      <c r="U554" s="1425"/>
      <c r="V554" s="1426"/>
      <c r="W554" s="1421">
        <v>5.5199999999999999E-2</v>
      </c>
      <c r="X554" s="1422"/>
      <c r="Y554" s="1423"/>
      <c r="Z554" s="1430" t="s">
        <v>2691</v>
      </c>
      <c r="AA554" s="1430"/>
      <c r="AB554" s="1430"/>
      <c r="AC554" s="1430"/>
      <c r="AD554" s="1430"/>
      <c r="AE554" s="1412">
        <v>1</v>
      </c>
      <c r="AF554" s="1413"/>
      <c r="AG554" s="1413"/>
      <c r="AH554" s="1414"/>
      <c r="AI554" s="1436">
        <f>PMT(W554/12,T554,-AM554)*12</f>
        <v>1744180.6177411505</v>
      </c>
      <c r="AJ554" s="1437"/>
      <c r="AK554" s="1437"/>
      <c r="AL554" s="1438"/>
      <c r="AM554" s="1467">
        <v>27000000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2668</v>
      </c>
      <c r="D555" s="1440"/>
      <c r="E555" s="1440"/>
      <c r="F555" s="1440"/>
      <c r="G555" s="1440"/>
      <c r="H555" s="1440"/>
      <c r="I555" s="1440"/>
      <c r="J555" s="1440"/>
      <c r="K555" s="1440"/>
      <c r="L555" s="1440"/>
      <c r="M555" s="1439" t="s">
        <v>2121</v>
      </c>
      <c r="N555" s="1439"/>
      <c r="O555" s="1439"/>
      <c r="P555" s="1439"/>
      <c r="Q555" s="1424">
        <f>16*12</f>
        <v>192</v>
      </c>
      <c r="R555" s="1425"/>
      <c r="S555" s="1426"/>
      <c r="T555" s="1424">
        <v>420</v>
      </c>
      <c r="U555" s="1425"/>
      <c r="V555" s="1426"/>
      <c r="W555" s="1421">
        <v>5.5199999999999999E-2</v>
      </c>
      <c r="X555" s="1422"/>
      <c r="Y555" s="1423"/>
      <c r="Z555" s="1430" t="s">
        <v>2691</v>
      </c>
      <c r="AA555" s="1430"/>
      <c r="AB555" s="1430"/>
      <c r="AC555" s="1430"/>
      <c r="AD555" s="1430"/>
      <c r="AE555" s="1412">
        <v>1</v>
      </c>
      <c r="AF555" s="1413"/>
      <c r="AG555" s="1413"/>
      <c r="AH555" s="1414"/>
      <c r="AI555" s="1436">
        <f>PMT(W555/12,T555,-AM555)*12</f>
        <v>1291985.6427712226</v>
      </c>
      <c r="AJ555" s="1437"/>
      <c r="AK555" s="1437"/>
      <c r="AL555" s="1438"/>
      <c r="AM555" s="1467">
        <v>20000000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
        <v>2669</v>
      </c>
      <c r="D556" s="1440"/>
      <c r="E556" s="1440"/>
      <c r="F556" s="1440"/>
      <c r="G556" s="1440"/>
      <c r="H556" s="1440"/>
      <c r="I556" s="1440"/>
      <c r="J556" s="1440"/>
      <c r="K556" s="1440"/>
      <c r="L556" s="1440"/>
      <c r="M556" s="1439" t="s">
        <v>2111</v>
      </c>
      <c r="N556" s="1439"/>
      <c r="O556" s="1439"/>
      <c r="P556" s="1439"/>
      <c r="Q556" s="1424"/>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7">
        <f>AO640*0.9</f>
        <v>35438762.898607068</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582</v>
      </c>
      <c r="C557" s="1440" t="s">
        <v>2698</v>
      </c>
      <c r="D557" s="1440"/>
      <c r="E557" s="1440"/>
      <c r="F557" s="1440"/>
      <c r="G557" s="1440"/>
      <c r="H557" s="1440"/>
      <c r="I557" s="1440"/>
      <c r="J557" s="1440"/>
      <c r="K557" s="1440"/>
      <c r="L557" s="1440"/>
      <c r="M557" s="1439" t="s">
        <v>2122</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7">
        <v>2996596</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764</v>
      </c>
      <c r="C558" s="1440" t="s">
        <v>2628</v>
      </c>
      <c r="D558" s="1440"/>
      <c r="E558" s="1440"/>
      <c r="F558" s="1440"/>
      <c r="G558" s="1440"/>
      <c r="H558" s="1440"/>
      <c r="I558" s="1440"/>
      <c r="J558" s="1440"/>
      <c r="K558" s="1440"/>
      <c r="L558" s="1440"/>
      <c r="M558" s="1439" t="s">
        <v>2107</v>
      </c>
      <c r="N558" s="1439"/>
      <c r="O558" s="1439"/>
      <c r="P558" s="1439"/>
      <c r="Q558" s="1424">
        <v>120</v>
      </c>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7">
        <f>'Sources and Uses Budget'!B105-SUM(Application!AM554:AS557,Application!AM559)</f>
        <v>9472928.1013929248</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0" t="s">
        <v>2698</v>
      </c>
      <c r="D559" s="1440"/>
      <c r="E559" s="1440"/>
      <c r="F559" s="1440"/>
      <c r="G559" s="1440"/>
      <c r="H559" s="1440"/>
      <c r="I559" s="1440"/>
      <c r="J559" s="1440"/>
      <c r="K559" s="1440"/>
      <c r="L559" s="1440"/>
      <c r="M559" s="1439" t="s">
        <v>2123</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7">
        <f>AC886</f>
        <v>1969742</v>
      </c>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7"/>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96878029</v>
      </c>
      <c r="AN566" s="1475"/>
      <c r="AO566" s="1475"/>
      <c r="AP566" s="1475"/>
      <c r="AQ566" s="1475"/>
      <c r="AR566" s="1475"/>
      <c r="AS566" s="147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5" t="str">
        <f>C554</f>
        <v>Fannie Mae / Capital One</v>
      </c>
      <c r="H568" s="1485"/>
      <c r="I568" s="1485"/>
      <c r="J568" s="1485"/>
      <c r="K568" s="1485"/>
      <c r="L568" s="1485"/>
      <c r="M568" s="1485"/>
      <c r="N568" s="1485"/>
      <c r="O568" s="1485"/>
      <c r="P568" s="1485"/>
      <c r="Q568" s="1485"/>
      <c r="R568" s="1485"/>
      <c r="S568" s="8"/>
      <c r="T568" s="55" t="s">
        <v>113</v>
      </c>
      <c r="U568" t="s">
        <v>464</v>
      </c>
      <c r="Z568" s="1485" t="str">
        <f>C555</f>
        <v>Fannie Mae / Capital One</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2670</v>
      </c>
      <c r="H569" s="1407"/>
      <c r="I569" s="1407"/>
      <c r="J569" s="1407"/>
      <c r="K569" s="1407"/>
      <c r="L569" s="1407"/>
      <c r="M569" s="1407"/>
      <c r="N569" s="1407"/>
      <c r="O569" s="1407"/>
      <c r="P569" s="1407"/>
      <c r="Q569" s="1407"/>
      <c r="R569" s="1407"/>
      <c r="S569" s="8"/>
      <c r="T569" s="22"/>
      <c r="U569" t="s">
        <v>85</v>
      </c>
      <c r="Z569" s="1407" t="s">
        <v>2670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2671</v>
      </c>
      <c r="H570" s="1407"/>
      <c r="I570" s="1407"/>
      <c r="J570" s="1407"/>
      <c r="K570" s="1407"/>
      <c r="L570" s="1407"/>
      <c r="M570" s="1407"/>
      <c r="N570" s="1407"/>
      <c r="O570" s="1407"/>
      <c r="P570" s="1407"/>
      <c r="Q570" s="1407"/>
      <c r="R570" s="1407"/>
      <c r="T570" s="22"/>
      <c r="U570" t="s">
        <v>581</v>
      </c>
      <c r="Z570" s="1371" t="s">
        <v>2671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2672</v>
      </c>
      <c r="H571" s="1407"/>
      <c r="I571" s="1407"/>
      <c r="J571" s="1407"/>
      <c r="K571" s="1407"/>
      <c r="L571" s="1407"/>
      <c r="M571" s="1407"/>
      <c r="N571" s="1407"/>
      <c r="O571" s="1407"/>
      <c r="P571" s="1407"/>
      <c r="Q571" s="1407"/>
      <c r="R571" s="1407"/>
      <c r="S571" s="8"/>
      <c r="T571" s="22"/>
      <c r="U571" t="s">
        <v>17</v>
      </c>
      <c r="Z571" s="1371" t="s">
        <v>2672</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9" t="s">
        <v>2673</v>
      </c>
      <c r="H572" s="1489"/>
      <c r="I572" s="1489"/>
      <c r="J572" s="1489"/>
      <c r="K572" s="1489"/>
      <c r="L572" s="1489"/>
      <c r="O572" s="33" t="s">
        <v>206</v>
      </c>
      <c r="P572" s="1473"/>
      <c r="Q572" s="1473"/>
      <c r="R572" s="1473"/>
      <c r="S572" s="10"/>
      <c r="T572" s="22"/>
      <c r="U572" t="s">
        <v>316</v>
      </c>
      <c r="Z572" s="1489" t="s">
        <v>2673</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7" t="s">
        <v>2674</v>
      </c>
      <c r="I573" s="1407"/>
      <c r="J573" s="1407"/>
      <c r="K573" s="1407"/>
      <c r="L573" s="1407"/>
      <c r="M573" s="1407"/>
      <c r="N573" s="1407"/>
      <c r="O573" s="1407"/>
      <c r="P573" s="1407"/>
      <c r="Q573" s="1407"/>
      <c r="R573" s="1407"/>
      <c r="S573" s="8"/>
      <c r="T573" s="22"/>
      <c r="U573" t="s">
        <v>18</v>
      </c>
      <c r="AA573" s="1407" t="s">
        <v>2674</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6" t="s">
        <v>592</v>
      </c>
      <c r="N574" s="1606"/>
      <c r="O574" s="1606"/>
      <c r="P574" s="1606"/>
      <c r="Q574" s="1606"/>
      <c r="R574" s="1606"/>
      <c r="S574" s="8"/>
      <c r="T574" s="22"/>
      <c r="U574" s="320" t="s">
        <v>1186</v>
      </c>
      <c r="AA574" s="8"/>
      <c r="AB574" s="8"/>
      <c r="AC574" s="8"/>
      <c r="AD574" s="8"/>
      <c r="AE574" s="8"/>
      <c r="AF574" s="1606" t="s">
        <v>592</v>
      </c>
      <c r="AG574" s="1606"/>
      <c r="AH574" s="1606"/>
      <c r="AI574" s="1606"/>
      <c r="AJ574" s="1606"/>
      <c r="AK574" s="1606"/>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5" t="str">
        <f>C556</f>
        <v>Capital One</v>
      </c>
      <c r="H577" s="1485"/>
      <c r="I577" s="1485"/>
      <c r="J577" s="1485"/>
      <c r="K577" s="1485"/>
      <c r="L577" s="1485"/>
      <c r="M577" s="1485"/>
      <c r="N577" s="1485"/>
      <c r="O577" s="1485"/>
      <c r="P577" s="1485"/>
      <c r="Q577" s="1485"/>
      <c r="R577" s="1485"/>
      <c r="T577" s="55" t="s">
        <v>582</v>
      </c>
      <c r="U577" t="s">
        <v>464</v>
      </c>
      <c r="Z577" s="1485" t="str">
        <f>C557</f>
        <v>CT Housing Preservation, LP</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2675</v>
      </c>
      <c r="H578" s="1407"/>
      <c r="I578" s="1407"/>
      <c r="J578" s="1407"/>
      <c r="K578" s="1407"/>
      <c r="L578" s="1407"/>
      <c r="M578" s="1407"/>
      <c r="N578" s="1407"/>
      <c r="O578" s="1407"/>
      <c r="P578" s="1407"/>
      <c r="Q578" s="1407"/>
      <c r="R578" s="1407"/>
      <c r="T578" s="22"/>
      <c r="U578" t="s">
        <v>85</v>
      </c>
      <c r="Z578" s="1407" t="s">
        <v>2614</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2671</v>
      </c>
      <c r="H579" s="1371"/>
      <c r="I579" s="1371"/>
      <c r="J579" s="1371"/>
      <c r="K579" s="1371"/>
      <c r="L579" s="1371"/>
      <c r="M579" s="1371"/>
      <c r="N579" s="1371"/>
      <c r="O579" s="1371"/>
      <c r="P579" s="1371"/>
      <c r="Q579" s="1371"/>
      <c r="R579" s="1371"/>
      <c r="T579" s="22"/>
      <c r="U579" t="s">
        <v>581</v>
      </c>
      <c r="Z579" s="1371" t="s">
        <v>2671</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2651</v>
      </c>
      <c r="H580" s="1371"/>
      <c r="I580" s="1371"/>
      <c r="J580" s="1371"/>
      <c r="K580" s="1371"/>
      <c r="L580" s="1371"/>
      <c r="M580" s="1371"/>
      <c r="N580" s="1371"/>
      <c r="O580" s="1371"/>
      <c r="P580" s="1371"/>
      <c r="Q580" s="1371"/>
      <c r="R580" s="1371"/>
      <c r="T580" s="22"/>
      <c r="U580" t="s">
        <v>17</v>
      </c>
      <c r="Z580" s="1371" t="s">
        <v>2617</v>
      </c>
      <c r="AA580" s="1371"/>
      <c r="AB580" s="1371"/>
      <c r="AC580" s="1371"/>
      <c r="AD580" s="1371"/>
      <c r="AE580" s="1371"/>
      <c r="AF580" s="1371"/>
      <c r="AG580" s="1371"/>
      <c r="AH580" s="1371"/>
      <c r="AI580" s="1371"/>
      <c r="AJ580" s="1371"/>
      <c r="AK580" s="1371"/>
      <c r="BB580" s="3"/>
      <c r="BC580" s="3"/>
    </row>
    <row r="581" spans="1:55" ht="12.95" customHeight="1">
      <c r="A581" s="22"/>
      <c r="B581" t="s">
        <v>316</v>
      </c>
      <c r="G581" s="1489" t="s">
        <v>2650</v>
      </c>
      <c r="H581" s="1489"/>
      <c r="I581" s="1489"/>
      <c r="J581" s="1489"/>
      <c r="K581" s="1489"/>
      <c r="L581" s="1489"/>
      <c r="O581" s="33" t="s">
        <v>206</v>
      </c>
      <c r="P581" s="1473"/>
      <c r="Q581" s="1473"/>
      <c r="R581" s="1473"/>
      <c r="T581" s="22"/>
      <c r="U581" t="s">
        <v>316</v>
      </c>
      <c r="Z581" s="1489" t="s">
        <v>2618</v>
      </c>
      <c r="AA581" s="1489"/>
      <c r="AB581" s="1489"/>
      <c r="AC581" s="1489"/>
      <c r="AD581" s="1489"/>
      <c r="AE581" s="1489"/>
      <c r="AH581" s="33" t="s">
        <v>206</v>
      </c>
      <c r="AI581" s="1473"/>
      <c r="AJ581" s="1473"/>
      <c r="AK581" s="1473"/>
      <c r="BB581" s="3"/>
      <c r="BC581" s="3"/>
    </row>
    <row r="582" spans="1:55" ht="12.95" customHeight="1">
      <c r="A582" s="22"/>
      <c r="B582" t="s">
        <v>18</v>
      </c>
      <c r="H582" s="1407" t="s">
        <v>2676</v>
      </c>
      <c r="I582" s="1407"/>
      <c r="J582" s="1407"/>
      <c r="K582" s="1407"/>
      <c r="L582" s="1407"/>
      <c r="M582" s="1407"/>
      <c r="N582" s="1407"/>
      <c r="O582" s="1407"/>
      <c r="P582" s="1407"/>
      <c r="Q582" s="1407"/>
      <c r="R582" s="1407"/>
      <c r="T582" s="22"/>
      <c r="U582" t="s">
        <v>18</v>
      </c>
      <c r="AA582" s="1407" t="s">
        <v>2677</v>
      </c>
      <c r="AB582" s="1407"/>
      <c r="AC582" s="1407"/>
      <c r="AD582" s="1407"/>
      <c r="AE582" s="1407"/>
      <c r="AF582" s="1407"/>
      <c r="AG582" s="1407"/>
      <c r="AH582" s="1407"/>
      <c r="AI582" s="1407"/>
      <c r="AJ582" s="1407"/>
      <c r="AK582" s="1407"/>
      <c r="BB582" s="3"/>
      <c r="BC582" s="3"/>
    </row>
    <row r="583" spans="1:55" ht="12.95" customHeight="1">
      <c r="A583" s="22"/>
      <c r="B583" t="s">
        <v>20</v>
      </c>
      <c r="N583" s="1415" t="s">
        <v>670</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5" t="str">
        <f>C558</f>
        <v>Related Affordable</v>
      </c>
      <c r="H585" s="1485"/>
      <c r="I585" s="1485"/>
      <c r="J585" s="1485"/>
      <c r="K585" s="1485"/>
      <c r="L585" s="1485"/>
      <c r="M585" s="1485"/>
      <c r="N585" s="1485"/>
      <c r="O585" s="1485"/>
      <c r="P585" s="1485"/>
      <c r="Q585" s="1485"/>
      <c r="R585" s="1485"/>
      <c r="T585" s="55" t="s">
        <v>585</v>
      </c>
      <c r="U585" t="s">
        <v>464</v>
      </c>
      <c r="Z585" s="1485" t="str">
        <f>C559</f>
        <v>CT Housing Preservation, LP</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2614</v>
      </c>
      <c r="H586" s="1407"/>
      <c r="I586" s="1407"/>
      <c r="J586" s="1407"/>
      <c r="K586" s="1407"/>
      <c r="L586" s="1407"/>
      <c r="M586" s="1407"/>
      <c r="N586" s="1407"/>
      <c r="O586" s="1407"/>
      <c r="P586" s="1407"/>
      <c r="Q586" s="1407"/>
      <c r="R586" s="1407"/>
      <c r="T586" s="22"/>
      <c r="U586" t="s">
        <v>85</v>
      </c>
      <c r="Z586" s="1407" t="s">
        <v>2614</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2671</v>
      </c>
      <c r="H587" s="1407"/>
      <c r="I587" s="1407"/>
      <c r="J587" s="1407"/>
      <c r="K587" s="1407"/>
      <c r="L587" s="1407"/>
      <c r="M587" s="1407"/>
      <c r="N587" s="1407"/>
      <c r="O587" s="1407"/>
      <c r="P587" s="1407"/>
      <c r="Q587" s="1407"/>
      <c r="R587" s="1407"/>
      <c r="T587" s="22"/>
      <c r="U587" t="s">
        <v>581</v>
      </c>
      <c r="Z587" s="1371" t="s">
        <v>2671</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2617</v>
      </c>
      <c r="H588" s="1407"/>
      <c r="I588" s="1407"/>
      <c r="J588" s="1407"/>
      <c r="K588" s="1407"/>
      <c r="L588" s="1407"/>
      <c r="M588" s="1407"/>
      <c r="N588" s="1407"/>
      <c r="O588" s="1407"/>
      <c r="P588" s="1407"/>
      <c r="Q588" s="1407"/>
      <c r="R588" s="1407"/>
      <c r="T588" s="22"/>
      <c r="U588" t="s">
        <v>17</v>
      </c>
      <c r="Z588" s="1371" t="s">
        <v>2617</v>
      </c>
      <c r="AA588" s="1371"/>
      <c r="AB588" s="1371"/>
      <c r="AC588" s="1371"/>
      <c r="AD588" s="1371"/>
      <c r="AE588" s="1371"/>
      <c r="AF588" s="1371"/>
      <c r="AG588" s="1371"/>
      <c r="AH588" s="1371"/>
      <c r="AI588" s="1371"/>
      <c r="AJ588" s="1371"/>
      <c r="AK588" s="1371"/>
    </row>
    <row r="589" spans="1:55" ht="12.95" customHeight="1">
      <c r="A589" s="22"/>
      <c r="B589" t="s">
        <v>316</v>
      </c>
      <c r="G589" s="1489" t="s">
        <v>2618</v>
      </c>
      <c r="H589" s="1489"/>
      <c r="I589" s="1489"/>
      <c r="J589" s="1489"/>
      <c r="K589" s="1489"/>
      <c r="L589" s="1489"/>
      <c r="O589" s="33" t="s">
        <v>206</v>
      </c>
      <c r="P589" s="1473"/>
      <c r="Q589" s="1473"/>
      <c r="R589" s="1473"/>
      <c r="T589" s="22"/>
      <c r="U589" t="s">
        <v>316</v>
      </c>
      <c r="Z589" s="1489" t="s">
        <v>2618</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7" t="s">
        <v>2321</v>
      </c>
      <c r="I590" s="1407"/>
      <c r="J590" s="1407"/>
      <c r="K590" s="1407"/>
      <c r="L590" s="1407"/>
      <c r="M590" s="1407"/>
      <c r="N590" s="1407"/>
      <c r="O590" s="1407"/>
      <c r="P590" s="1407"/>
      <c r="Q590" s="1407"/>
      <c r="R590" s="1407"/>
      <c r="T590" s="22"/>
      <c r="U590" t="s">
        <v>18</v>
      </c>
      <c r="AA590" s="1407" t="s">
        <v>2678</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5">
        <f>C560</f>
        <v>0</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6" t="s">
        <v>2103</v>
      </c>
      <c r="C624" s="1676"/>
      <c r="D624" s="1676"/>
      <c r="E624" s="1676"/>
      <c r="F624" s="1676"/>
      <c r="G624" s="1676"/>
      <c r="H624" s="1676"/>
      <c r="I624" s="1676"/>
      <c r="J624" s="1676"/>
      <c r="K624" s="1676"/>
      <c r="L624" s="1676"/>
      <c r="M624" s="1681" t="s">
        <v>2104</v>
      </c>
      <c r="N624" s="1681"/>
      <c r="O624" s="1681"/>
      <c r="P624" s="1681"/>
      <c r="Q624" s="1681" t="s">
        <v>1853</v>
      </c>
      <c r="R624" s="1681"/>
      <c r="S624" s="1681"/>
      <c r="T624" s="1681" t="s">
        <v>1851</v>
      </c>
      <c r="U624" s="1681"/>
      <c r="V624" s="1681"/>
      <c r="W624" s="1677" t="s">
        <v>454</v>
      </c>
      <c r="X624" s="1677"/>
      <c r="Y624" s="1677"/>
      <c r="Z624" s="1397" t="s">
        <v>2133</v>
      </c>
      <c r="AA624" s="1397"/>
      <c r="AB624" s="1398"/>
      <c r="AC624" s="1682" t="s">
        <v>1677</v>
      </c>
      <c r="AD624" s="1683"/>
      <c r="AE624" s="1684"/>
      <c r="AF624" s="1396" t="s">
        <v>1931</v>
      </c>
      <c r="AG624" s="1397"/>
      <c r="AH624" s="1397"/>
      <c r="AI624" s="1397"/>
      <c r="AJ624" s="1398"/>
      <c r="AK624" s="1597" t="s">
        <v>1932</v>
      </c>
      <c r="AL624" s="1598"/>
      <c r="AM624" s="1598"/>
      <c r="AN624" s="1599"/>
      <c r="AO624" s="1681" t="s">
        <v>455</v>
      </c>
      <c r="AP624" s="1681"/>
      <c r="AQ624" s="1681"/>
      <c r="AR624" s="1681"/>
      <c r="AS624" s="1681"/>
      <c r="AU624" s="3"/>
      <c r="AZ624" s="3"/>
      <c r="BA624" s="3"/>
      <c r="BB624" s="3"/>
      <c r="BC624" s="3"/>
    </row>
    <row r="625" spans="2:157" ht="12.95" customHeight="1">
      <c r="B625" s="1676"/>
      <c r="C625" s="1676"/>
      <c r="D625" s="1676"/>
      <c r="E625" s="1676"/>
      <c r="F625" s="1676"/>
      <c r="G625" s="1676"/>
      <c r="H625" s="1676"/>
      <c r="I625" s="1676"/>
      <c r="J625" s="1676"/>
      <c r="K625" s="1676"/>
      <c r="L625" s="1676"/>
      <c r="M625" s="1681"/>
      <c r="N625" s="1681"/>
      <c r="O625" s="1681"/>
      <c r="P625" s="1681"/>
      <c r="Q625" s="1681"/>
      <c r="R625" s="1681"/>
      <c r="S625" s="1681"/>
      <c r="T625" s="1681"/>
      <c r="U625" s="1681"/>
      <c r="V625" s="1681"/>
      <c r="W625" s="1677"/>
      <c r="X625" s="1677"/>
      <c r="Y625" s="1677"/>
      <c r="Z625" s="1400"/>
      <c r="AA625" s="1400"/>
      <c r="AB625" s="1401"/>
      <c r="AC625" s="1685"/>
      <c r="AD625" s="1686"/>
      <c r="AE625" s="1687"/>
      <c r="AF625" s="1399"/>
      <c r="AG625" s="1400"/>
      <c r="AH625" s="1400"/>
      <c r="AI625" s="1400"/>
      <c r="AJ625" s="1401"/>
      <c r="AK625" s="1600"/>
      <c r="AL625" s="1601"/>
      <c r="AM625" s="1601"/>
      <c r="AN625" s="1602"/>
      <c r="AO625" s="1681"/>
      <c r="AP625" s="1681"/>
      <c r="AQ625" s="1681"/>
      <c r="AR625" s="1681"/>
      <c r="AS625" s="1681"/>
      <c r="AU625" s="3"/>
      <c r="AZ625" s="3"/>
      <c r="BA625" s="3"/>
      <c r="BB625" s="3"/>
      <c r="BC625" s="3"/>
      <c r="BD625" s="3"/>
    </row>
    <row r="626" spans="2:157" ht="12.95" customHeight="1">
      <c r="B626" s="1676"/>
      <c r="C626" s="1676"/>
      <c r="D626" s="1676"/>
      <c r="E626" s="1676"/>
      <c r="F626" s="1676"/>
      <c r="G626" s="1676"/>
      <c r="H626" s="1676"/>
      <c r="I626" s="1676"/>
      <c r="J626" s="1676"/>
      <c r="K626" s="1676"/>
      <c r="L626" s="1676"/>
      <c r="M626" s="1681"/>
      <c r="N626" s="1681"/>
      <c r="O626" s="1681"/>
      <c r="P626" s="1681"/>
      <c r="Q626" s="1681"/>
      <c r="R626" s="1681"/>
      <c r="S626" s="1681"/>
      <c r="T626" s="1681"/>
      <c r="U626" s="1681"/>
      <c r="V626" s="1681"/>
      <c r="W626" s="1677"/>
      <c r="X626" s="1677"/>
      <c r="Y626" s="1677"/>
      <c r="Z626" s="1403"/>
      <c r="AA626" s="1403"/>
      <c r="AB626" s="1404"/>
      <c r="AC626" s="1688"/>
      <c r="AD626" s="1689"/>
      <c r="AE626" s="1690"/>
      <c r="AF626" s="1402"/>
      <c r="AG626" s="1403"/>
      <c r="AH626" s="1403"/>
      <c r="AI626" s="1403"/>
      <c r="AJ626" s="1404"/>
      <c r="AK626" s="1603"/>
      <c r="AL626" s="1604"/>
      <c r="AM626" s="1604"/>
      <c r="AN626" s="1605"/>
      <c r="AO626" s="1681"/>
      <c r="AP626" s="1681"/>
      <c r="AQ626" s="1681"/>
      <c r="AR626" s="1681"/>
      <c r="AS626" s="1681"/>
      <c r="AT626" s="3"/>
      <c r="AU626" s="3"/>
      <c r="AZ626" s="3"/>
      <c r="BA626" s="3"/>
      <c r="BB626" s="3"/>
      <c r="BC626" s="3"/>
      <c r="BD626" s="3"/>
    </row>
    <row r="627" spans="2:157" ht="12.95" customHeight="1">
      <c r="B627" s="51" t="s">
        <v>112</v>
      </c>
      <c r="C627" s="1481" t="str">
        <f>C554</f>
        <v>Fannie Mae / Capital One</v>
      </c>
      <c r="D627" s="1481"/>
      <c r="E627" s="1481"/>
      <c r="F627" s="1481"/>
      <c r="G627" s="1481"/>
      <c r="H627" s="1481"/>
      <c r="I627" s="1481"/>
      <c r="J627" s="1481"/>
      <c r="K627" s="1481"/>
      <c r="L627" s="1481"/>
      <c r="M627" s="1495" t="str">
        <f>M554</f>
        <v>Loan, Tax-Exempt</v>
      </c>
      <c r="N627" s="1495"/>
      <c r="O627" s="1495"/>
      <c r="P627" s="1495"/>
      <c r="Q627" s="1512">
        <f>Q554</f>
        <v>192</v>
      </c>
      <c r="R627" s="1512"/>
      <c r="S627" s="1513"/>
      <c r="T627" s="1511">
        <v>420</v>
      </c>
      <c r="U627" s="1512"/>
      <c r="V627" s="1513"/>
      <c r="W627" s="1482">
        <v>5.5199999999999999E-2</v>
      </c>
      <c r="X627" s="1483"/>
      <c r="Y627" s="1484"/>
      <c r="Z627" s="1478" t="s">
        <v>2132</v>
      </c>
      <c r="AA627" s="1479"/>
      <c r="AB627" s="1480"/>
      <c r="AC627" s="1381">
        <f>AE554</f>
        <v>1</v>
      </c>
      <c r="AD627" s="1382"/>
      <c r="AE627" s="1383"/>
      <c r="AF627" s="1492">
        <f>AI554</f>
        <v>1744180.6177411505</v>
      </c>
      <c r="AG627" s="1493"/>
      <c r="AH627" s="1493"/>
      <c r="AI627" s="1493"/>
      <c r="AJ627" s="1494"/>
      <c r="AK627" s="1486"/>
      <c r="AL627" s="1487"/>
      <c r="AM627" s="1487"/>
      <c r="AN627" s="1488"/>
      <c r="AO627" s="1646">
        <f>AM554</f>
        <v>27000000</v>
      </c>
      <c r="AP627" s="1646"/>
      <c r="AQ627" s="1646"/>
      <c r="AR627" s="1646"/>
      <c r="AS627" s="1646"/>
      <c r="AT627" s="3"/>
      <c r="AU627" s="3"/>
      <c r="AZ627" s="3"/>
      <c r="BA627" s="3"/>
      <c r="BB627" s="3"/>
      <c r="BC627" s="3"/>
      <c r="BD627" s="3"/>
    </row>
    <row r="628" spans="2:157" ht="12.95" customHeight="1">
      <c r="B628" s="52" t="s">
        <v>113</v>
      </c>
      <c r="C628" s="1481" t="str">
        <f t="shared" ref="C628" si="1">C555</f>
        <v>Fannie Mae / Capital One</v>
      </c>
      <c r="D628" s="1481"/>
      <c r="E628" s="1481"/>
      <c r="F628" s="1481"/>
      <c r="G628" s="1481"/>
      <c r="H628" s="1481"/>
      <c r="I628" s="1481"/>
      <c r="J628" s="1481"/>
      <c r="K628" s="1481"/>
      <c r="L628" s="1481"/>
      <c r="M628" s="1495" t="str">
        <f t="shared" ref="M628" si="2">M555</f>
        <v>Loan, Tax-Exempt, Recycled</v>
      </c>
      <c r="N628" s="1495"/>
      <c r="O628" s="1495"/>
      <c r="P628" s="1495"/>
      <c r="Q628" s="1511">
        <f t="shared" ref="Q628" si="3">Q555</f>
        <v>192</v>
      </c>
      <c r="R628" s="1512"/>
      <c r="S628" s="1513"/>
      <c r="T628" s="1511">
        <v>420</v>
      </c>
      <c r="U628" s="1512"/>
      <c r="V628" s="1513"/>
      <c r="W628" s="1482">
        <v>5.5199999999999999E-2</v>
      </c>
      <c r="X628" s="1483"/>
      <c r="Y628" s="1484"/>
      <c r="Z628" s="1478" t="s">
        <v>2132</v>
      </c>
      <c r="AA628" s="1479"/>
      <c r="AB628" s="1480"/>
      <c r="AC628" s="1381">
        <f t="shared" ref="AC628:AC631" si="4">AE555</f>
        <v>1</v>
      </c>
      <c r="AD628" s="1382"/>
      <c r="AE628" s="1383"/>
      <c r="AF628" s="1492">
        <f t="shared" ref="AF628" si="5">AI555</f>
        <v>1291985.6427712226</v>
      </c>
      <c r="AG628" s="1493"/>
      <c r="AH628" s="1493"/>
      <c r="AI628" s="1493"/>
      <c r="AJ628" s="1494"/>
      <c r="AK628" s="1486"/>
      <c r="AL628" s="1487"/>
      <c r="AM628" s="1487"/>
      <c r="AN628" s="1488"/>
      <c r="AO628" s="1477">
        <f>AM555</f>
        <v>20000000</v>
      </c>
      <c r="AP628" s="1338"/>
      <c r="AQ628" s="1338"/>
      <c r="AR628" s="1338"/>
      <c r="AS628" s="1339"/>
      <c r="AT628" s="1148" t="str">
        <f>IF(AND(NOT(C627=""),C628="",NOT(C629="")),"!","")</f>
        <v/>
      </c>
      <c r="AU628" s="3"/>
      <c r="AZ628" s="3"/>
      <c r="BA628" s="3"/>
      <c r="BB628" s="3"/>
      <c r="BC628" s="3"/>
      <c r="BD628" s="3"/>
    </row>
    <row r="629" spans="2:157" ht="12.95" customHeight="1">
      <c r="B629" s="52" t="s">
        <v>119</v>
      </c>
      <c r="C629" s="1481" t="str">
        <f>C557</f>
        <v>CT Housing Preservation, LP</v>
      </c>
      <c r="D629" s="1481"/>
      <c r="E629" s="1481"/>
      <c r="F629" s="1481"/>
      <c r="G629" s="1481"/>
      <c r="H629" s="1481"/>
      <c r="I629" s="1481"/>
      <c r="J629" s="1481"/>
      <c r="K629" s="1481"/>
      <c r="L629" s="1481"/>
      <c r="M629" s="1495" t="str">
        <f>M557</f>
        <v>Net Operating Income</v>
      </c>
      <c r="N629" s="1495"/>
      <c r="O629" s="1495"/>
      <c r="P629" s="1495"/>
      <c r="Q629" s="1511">
        <f>Q557</f>
        <v>0</v>
      </c>
      <c r="R629" s="1512"/>
      <c r="S629" s="1513"/>
      <c r="T629" s="1511">
        <f t="shared" ref="T629:T631" si="6">T556</f>
        <v>0</v>
      </c>
      <c r="U629" s="1512"/>
      <c r="V629" s="1513"/>
      <c r="W629" s="1482">
        <f t="shared" ref="W629" si="7">W556</f>
        <v>0</v>
      </c>
      <c r="X629" s="1483"/>
      <c r="Y629" s="1484"/>
      <c r="Z629" s="1478" t="s">
        <v>1185</v>
      </c>
      <c r="AA629" s="1479"/>
      <c r="AB629" s="1480"/>
      <c r="AC629" s="1381">
        <f t="shared" si="4"/>
        <v>0</v>
      </c>
      <c r="AD629" s="1382"/>
      <c r="AE629" s="1383"/>
      <c r="AF629" s="1492"/>
      <c r="AG629" s="1493"/>
      <c r="AH629" s="1493"/>
      <c r="AI629" s="1493"/>
      <c r="AJ629" s="1494"/>
      <c r="AK629" s="1486"/>
      <c r="AL629" s="1487"/>
      <c r="AM629" s="1487"/>
      <c r="AN629" s="1488"/>
      <c r="AO629" s="1477">
        <f>AM557</f>
        <v>2996596</v>
      </c>
      <c r="AP629" s="1338"/>
      <c r="AQ629" s="1338"/>
      <c r="AR629" s="1338"/>
      <c r="AS629" s="1339"/>
      <c r="AT629" s="1148" t="str">
        <f t="shared" ref="AT629:AT638" si="8">IF(AND(NOT(C628=""),C629="",NOT(C630="")),"!","")</f>
        <v/>
      </c>
      <c r="AU629" s="3"/>
      <c r="AZ629" s="3"/>
      <c r="BA629" s="3"/>
      <c r="BB629" s="3"/>
      <c r="BC629" s="3"/>
      <c r="BD629" s="3"/>
    </row>
    <row r="630" spans="2:157" ht="12.95" customHeight="1">
      <c r="B630" s="52" t="s">
        <v>582</v>
      </c>
      <c r="C630" s="1491" t="str">
        <f>C558</f>
        <v>Related Affordable</v>
      </c>
      <c r="D630" s="1491"/>
      <c r="E630" s="1491"/>
      <c r="F630" s="1491"/>
      <c r="G630" s="1491"/>
      <c r="H630" s="1491"/>
      <c r="I630" s="1491"/>
      <c r="J630" s="1491"/>
      <c r="K630" s="1491"/>
      <c r="L630" s="1491"/>
      <c r="M630" s="1495" t="str">
        <f>M558</f>
        <v>Developer Fee, Deferral</v>
      </c>
      <c r="N630" s="1495"/>
      <c r="O630" s="1495"/>
      <c r="P630" s="1495"/>
      <c r="Q630" s="1511">
        <f>Q558</f>
        <v>120</v>
      </c>
      <c r="R630" s="1512"/>
      <c r="S630" s="1513"/>
      <c r="T630" s="1511">
        <f>T558</f>
        <v>0</v>
      </c>
      <c r="U630" s="1512"/>
      <c r="V630" s="1513"/>
      <c r="W630" s="1482">
        <v>0.06</v>
      </c>
      <c r="X630" s="1483"/>
      <c r="Y630" s="1484"/>
      <c r="Z630" s="1478" t="s">
        <v>459</v>
      </c>
      <c r="AA630" s="1479"/>
      <c r="AB630" s="1480"/>
      <c r="AC630" s="1381">
        <f t="shared" si="4"/>
        <v>0</v>
      </c>
      <c r="AD630" s="1382"/>
      <c r="AE630" s="1383"/>
      <c r="AF630" s="1492"/>
      <c r="AG630" s="1493"/>
      <c r="AH630" s="1493"/>
      <c r="AI630" s="1493"/>
      <c r="AJ630" s="1494"/>
      <c r="AK630" s="1486"/>
      <c r="AL630" s="1487"/>
      <c r="AM630" s="1487"/>
      <c r="AN630" s="1488"/>
      <c r="AO630" s="1477">
        <f>'Sources and Uses Budget'!B105-SUM(AO627:AS629,AO640)</f>
        <v>7505029.7793254852</v>
      </c>
      <c r="AP630" s="1338"/>
      <c r="AQ630" s="1338"/>
      <c r="AR630" s="1338"/>
      <c r="AS630" s="1339"/>
      <c r="AT630" s="1148" t="str">
        <f t="shared" si="8"/>
        <v/>
      </c>
      <c r="AU630" s="3"/>
      <c r="AZ630" s="3"/>
      <c r="BA630" s="3"/>
      <c r="BB630" s="3"/>
      <c r="BC630" s="3"/>
      <c r="BD630" s="3"/>
    </row>
    <row r="631" spans="2:157" ht="12.95" customHeight="1">
      <c r="B631" s="52" t="s">
        <v>764</v>
      </c>
      <c r="C631" s="1491"/>
      <c r="D631" s="1491"/>
      <c r="E631" s="1491"/>
      <c r="F631" s="1491"/>
      <c r="G631" s="1491"/>
      <c r="H631" s="1491"/>
      <c r="I631" s="1491"/>
      <c r="J631" s="1491"/>
      <c r="K631" s="1491"/>
      <c r="L631" s="1491"/>
      <c r="M631" s="1495" t="s">
        <v>1185</v>
      </c>
      <c r="N631" s="1495"/>
      <c r="O631" s="1495"/>
      <c r="P631" s="1495"/>
      <c r="Q631" s="1511"/>
      <c r="R631" s="1512"/>
      <c r="S631" s="1513"/>
      <c r="T631" s="1511">
        <f t="shared" si="6"/>
        <v>0</v>
      </c>
      <c r="U631" s="1512"/>
      <c r="V631" s="1513"/>
      <c r="W631" s="1482"/>
      <c r="X631" s="1483"/>
      <c r="Y631" s="1484"/>
      <c r="Z631" s="1478" t="s">
        <v>1185</v>
      </c>
      <c r="AA631" s="1479"/>
      <c r="AB631" s="1480"/>
      <c r="AC631" s="1381">
        <f t="shared" si="4"/>
        <v>0</v>
      </c>
      <c r="AD631" s="1382"/>
      <c r="AE631" s="1383"/>
      <c r="AF631" s="1492"/>
      <c r="AG631" s="1493"/>
      <c r="AH631" s="1493"/>
      <c r="AI631" s="1493"/>
      <c r="AJ631" s="1494"/>
      <c r="AK631" s="1486"/>
      <c r="AL631" s="1487"/>
      <c r="AM631" s="1487"/>
      <c r="AN631" s="1488"/>
      <c r="AO631" s="1477"/>
      <c r="AP631" s="1338"/>
      <c r="AQ631" s="1338"/>
      <c r="AR631" s="1338"/>
      <c r="AS631" s="1339"/>
      <c r="AT631" s="1148" t="str">
        <f t="shared" si="8"/>
        <v/>
      </c>
      <c r="AU631" s="3"/>
      <c r="AZ631" s="3"/>
      <c r="BA631" s="3"/>
      <c r="BB631" s="3"/>
      <c r="BC631" s="3"/>
      <c r="BD631" s="3"/>
    </row>
    <row r="632" spans="2:157" ht="12.95" customHeight="1">
      <c r="B632" s="52" t="s">
        <v>585</v>
      </c>
      <c r="C632" s="1491"/>
      <c r="D632" s="1491"/>
      <c r="E632" s="1491"/>
      <c r="F632" s="1491"/>
      <c r="G632" s="1491"/>
      <c r="H632" s="1491"/>
      <c r="I632" s="1491"/>
      <c r="J632" s="1491"/>
      <c r="K632" s="1491"/>
      <c r="L632" s="1491"/>
      <c r="M632" s="1495" t="s">
        <v>1185</v>
      </c>
      <c r="N632" s="1495"/>
      <c r="O632" s="1495"/>
      <c r="P632" s="1495"/>
      <c r="Q632" s="1511"/>
      <c r="R632" s="1512"/>
      <c r="S632" s="1513"/>
      <c r="T632" s="1511"/>
      <c r="U632" s="1512"/>
      <c r="V632" s="1513"/>
      <c r="W632" s="1482"/>
      <c r="X632" s="1483"/>
      <c r="Y632" s="1484"/>
      <c r="Z632" s="1478" t="s">
        <v>1185</v>
      </c>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8"/>
        <v/>
      </c>
      <c r="AU632" s="3"/>
      <c r="AZ632" s="3"/>
      <c r="BA632" s="3"/>
      <c r="BB632" s="3"/>
      <c r="BC632" s="3"/>
      <c r="BD632" s="3"/>
    </row>
    <row r="633" spans="2:157" ht="12.95" customHeight="1">
      <c r="B633" s="52" t="s">
        <v>456</v>
      </c>
      <c r="C633" s="1491"/>
      <c r="D633" s="1491"/>
      <c r="E633" s="1491"/>
      <c r="F633" s="1491"/>
      <c r="G633" s="1491"/>
      <c r="H633" s="1491"/>
      <c r="I633" s="1491"/>
      <c r="J633" s="1491"/>
      <c r="K633" s="1491"/>
      <c r="L633" s="1491"/>
      <c r="M633" s="1495" t="s">
        <v>1185</v>
      </c>
      <c r="N633" s="1495"/>
      <c r="O633" s="1495"/>
      <c r="P633" s="1495"/>
      <c r="Q633" s="1511"/>
      <c r="R633" s="1512"/>
      <c r="S633" s="1513"/>
      <c r="T633" s="1511"/>
      <c r="U633" s="1512"/>
      <c r="V633" s="1513"/>
      <c r="W633" s="1482"/>
      <c r="X633" s="1483"/>
      <c r="Y633" s="1484"/>
      <c r="Z633" s="1478" t="s">
        <v>1185</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8"/>
        <v/>
      </c>
      <c r="AU633" s="3"/>
      <c r="AV633" s="3"/>
      <c r="AW633" s="3"/>
      <c r="AX633" s="3"/>
      <c r="AY633" s="3"/>
      <c r="AZ633" s="3"/>
      <c r="BA633" s="3"/>
      <c r="BB633" s="3"/>
      <c r="BC633" s="3"/>
      <c r="BD633" s="3"/>
    </row>
    <row r="634" spans="2:157" ht="12.95" customHeight="1">
      <c r="B634" s="52" t="s">
        <v>457</v>
      </c>
      <c r="C634" s="1491"/>
      <c r="D634" s="1491"/>
      <c r="E634" s="1491"/>
      <c r="F634" s="1491"/>
      <c r="G634" s="1491"/>
      <c r="H634" s="1491"/>
      <c r="I634" s="1491"/>
      <c r="J634" s="1491"/>
      <c r="K634" s="1491"/>
      <c r="L634" s="1491"/>
      <c r="M634" s="1495" t="s">
        <v>1185</v>
      </c>
      <c r="N634" s="1495"/>
      <c r="O634" s="1495"/>
      <c r="P634" s="1495"/>
      <c r="Q634" s="1511"/>
      <c r="R634" s="1512"/>
      <c r="S634" s="1513"/>
      <c r="T634" s="1511"/>
      <c r="U634" s="1512"/>
      <c r="V634" s="1513"/>
      <c r="W634" s="1482"/>
      <c r="X634" s="1483"/>
      <c r="Y634" s="1484"/>
      <c r="Z634" s="1478" t="s">
        <v>1185</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8"/>
        <v/>
      </c>
      <c r="AU634" s="3"/>
      <c r="AV634" s="3"/>
      <c r="AW634" s="3"/>
      <c r="AX634" s="3"/>
      <c r="AY634" s="3"/>
      <c r="AZ634" s="3"/>
      <c r="BA634" s="3" t="s">
        <v>1185</v>
      </c>
      <c r="BB634" s="3"/>
      <c r="BC634" s="3"/>
      <c r="BD634" s="3"/>
    </row>
    <row r="635" spans="2:157" ht="12.95" customHeight="1">
      <c r="B635" s="52" t="s">
        <v>462</v>
      </c>
      <c r="C635" s="1491"/>
      <c r="D635" s="1491"/>
      <c r="E635" s="1491"/>
      <c r="F635" s="1491"/>
      <c r="G635" s="1491"/>
      <c r="H635" s="1491"/>
      <c r="I635" s="1491"/>
      <c r="J635" s="1491"/>
      <c r="K635" s="1491"/>
      <c r="L635" s="1491"/>
      <c r="M635" s="1495" t="s">
        <v>1185</v>
      </c>
      <c r="N635" s="1495"/>
      <c r="O635" s="1495"/>
      <c r="P635" s="1495"/>
      <c r="Q635" s="1511"/>
      <c r="R635" s="1512"/>
      <c r="S635" s="1513"/>
      <c r="T635" s="1511"/>
      <c r="U635" s="1512"/>
      <c r="V635" s="1513"/>
      <c r="W635" s="1482"/>
      <c r="X635" s="1483"/>
      <c r="Y635" s="1484"/>
      <c r="Z635" s="1478" t="s">
        <v>1185</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8"/>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9">EZ718*(CP718/$CP$753)</f>
        <v>432.21212121212119</v>
      </c>
      <c r="DY635" s="1369"/>
      <c r="DZ635" s="1369"/>
      <c r="EA635" s="1369"/>
      <c r="EB635" s="1369"/>
      <c r="EC635" s="1369" t="e">
        <f t="shared" ref="EC635:EC669" si="10">FE718*(CU718/$CU$753)</f>
        <v>#VALUE!</v>
      </c>
      <c r="ED635" s="1369"/>
      <c r="EE635" s="1369"/>
      <c r="EF635" s="1369"/>
      <c r="EG635" s="1369"/>
      <c r="EH635" s="1369" t="e">
        <f t="shared" ref="EH635:EH669" si="11">FJ718*(CZ718/$CZ$753)</f>
        <v>#VALUE!</v>
      </c>
      <c r="EI635" s="1369"/>
      <c r="EJ635" s="1369"/>
      <c r="EK635" s="1369"/>
      <c r="EL635" s="1369"/>
      <c r="EM635" s="1369" t="e">
        <f t="shared" ref="EM635:EM669" si="12">FO718*(DE718/$DE$753)</f>
        <v>#VALUE!</v>
      </c>
      <c r="EN635" s="1369"/>
      <c r="EO635" s="1369"/>
      <c r="EP635" s="1369"/>
      <c r="EQ635" s="1369"/>
      <c r="ER635" s="1369" t="e">
        <f t="shared" ref="ER635:ER669" si="13">FT718*(DJ718/$DJ$753)</f>
        <v>#VALUE!</v>
      </c>
      <c r="ES635" s="1369"/>
      <c r="ET635" s="1369"/>
      <c r="EU635" s="1369"/>
      <c r="EV635" s="1369"/>
      <c r="EW635" s="1369" t="e">
        <f t="shared" ref="EW635:EW669" si="14">FY718*(DO718/$DO$753)</f>
        <v>#VALUE!</v>
      </c>
      <c r="EX635" s="1369"/>
      <c r="EY635" s="1369"/>
      <c r="EZ635" s="1369"/>
      <c r="FA635" s="1369"/>
    </row>
    <row r="636" spans="2:157" ht="12.95" customHeight="1">
      <c r="B636" s="52" t="s">
        <v>647</v>
      </c>
      <c r="C636" s="1491"/>
      <c r="D636" s="1491"/>
      <c r="E636" s="1491"/>
      <c r="F636" s="1491"/>
      <c r="G636" s="1491"/>
      <c r="H636" s="1491"/>
      <c r="I636" s="1491"/>
      <c r="J636" s="1491"/>
      <c r="K636" s="1491"/>
      <c r="L636" s="1491"/>
      <c r="M636" s="1495" t="s">
        <v>1185</v>
      </c>
      <c r="N636" s="1495"/>
      <c r="O636" s="1495"/>
      <c r="P636" s="1495"/>
      <c r="Q636" s="1511"/>
      <c r="R636" s="1512"/>
      <c r="S636" s="1513"/>
      <c r="T636" s="1511"/>
      <c r="U636" s="1512"/>
      <c r="V636" s="1513"/>
      <c r="W636" s="1482"/>
      <c r="X636" s="1483"/>
      <c r="Y636" s="1484"/>
      <c r="Z636" s="1478" t="s">
        <v>1185</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8"/>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9"/>
        <v>813.57575757575762</v>
      </c>
      <c r="DY636" s="1369"/>
      <c r="DZ636" s="1369"/>
      <c r="EA636" s="1369"/>
      <c r="EB636" s="1369"/>
      <c r="EC636" s="1369" t="e">
        <f t="shared" si="10"/>
        <v>#VALUE!</v>
      </c>
      <c r="ED636" s="1369"/>
      <c r="EE636" s="1369"/>
      <c r="EF636" s="1369"/>
      <c r="EG636" s="1369"/>
      <c r="EH636" s="1369" t="e">
        <f t="shared" si="11"/>
        <v>#VALUE!</v>
      </c>
      <c r="EI636" s="1369"/>
      <c r="EJ636" s="1369"/>
      <c r="EK636" s="1369"/>
      <c r="EL636" s="1369"/>
      <c r="EM636" s="1369" t="e">
        <f t="shared" si="12"/>
        <v>#VALUE!</v>
      </c>
      <c r="EN636" s="1369"/>
      <c r="EO636" s="1369"/>
      <c r="EP636" s="1369"/>
      <c r="EQ636" s="1369"/>
      <c r="ER636" s="1369" t="e">
        <f t="shared" si="13"/>
        <v>#VALUE!</v>
      </c>
      <c r="ES636" s="1369"/>
      <c r="ET636" s="1369"/>
      <c r="EU636" s="1369"/>
      <c r="EV636" s="1369"/>
      <c r="EW636" s="1369" t="e">
        <f t="shared" si="14"/>
        <v>#VALUE!</v>
      </c>
      <c r="EX636" s="1369"/>
      <c r="EY636" s="1369"/>
      <c r="EZ636" s="1369"/>
      <c r="FA636" s="1369"/>
    </row>
    <row r="637" spans="2:157" ht="12.95" customHeight="1">
      <c r="B637" s="52" t="s">
        <v>362</v>
      </c>
      <c r="C637" s="1491"/>
      <c r="D637" s="1491"/>
      <c r="E637" s="1491"/>
      <c r="F637" s="1491"/>
      <c r="G637" s="1491"/>
      <c r="H637" s="1491"/>
      <c r="I637" s="1491"/>
      <c r="J637" s="1491"/>
      <c r="K637" s="1491"/>
      <c r="L637" s="1491"/>
      <c r="M637" s="1495" t="s">
        <v>1185</v>
      </c>
      <c r="N637" s="1495"/>
      <c r="O637" s="1495"/>
      <c r="P637" s="1495"/>
      <c r="Q637" s="1511"/>
      <c r="R637" s="1512"/>
      <c r="S637" s="1513"/>
      <c r="T637" s="1511"/>
      <c r="U637" s="1512"/>
      <c r="V637" s="1513"/>
      <c r="W637" s="1482"/>
      <c r="X637" s="1483"/>
      <c r="Y637" s="1484"/>
      <c r="Z637" s="1478" t="s">
        <v>1185</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8"/>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9"/>
        <v>#VALUE!</v>
      </c>
      <c r="DY637" s="1369"/>
      <c r="DZ637" s="1369"/>
      <c r="EA637" s="1369"/>
      <c r="EB637" s="1369"/>
      <c r="EC637" s="1369">
        <f t="shared" si="10"/>
        <v>449</v>
      </c>
      <c r="ED637" s="1369"/>
      <c r="EE637" s="1369"/>
      <c r="EF637" s="1369"/>
      <c r="EG637" s="1369"/>
      <c r="EH637" s="1369" t="e">
        <f t="shared" si="11"/>
        <v>#VALUE!</v>
      </c>
      <c r="EI637" s="1369"/>
      <c r="EJ637" s="1369"/>
      <c r="EK637" s="1369"/>
      <c r="EL637" s="1369"/>
      <c r="EM637" s="1369" t="e">
        <f t="shared" si="12"/>
        <v>#VALUE!</v>
      </c>
      <c r="EN637" s="1369"/>
      <c r="EO637" s="1369"/>
      <c r="EP637" s="1369"/>
      <c r="EQ637" s="1369"/>
      <c r="ER637" s="1369" t="e">
        <f t="shared" si="13"/>
        <v>#VALUE!</v>
      </c>
      <c r="ES637" s="1369"/>
      <c r="ET637" s="1369"/>
      <c r="EU637" s="1369"/>
      <c r="EV637" s="1369"/>
      <c r="EW637" s="1369" t="e">
        <f t="shared" si="14"/>
        <v>#VALUE!</v>
      </c>
      <c r="EX637" s="1369"/>
      <c r="EY637" s="1369"/>
      <c r="EZ637" s="1369"/>
      <c r="FA637" s="1369"/>
    </row>
    <row r="638" spans="2:157" ht="12.95" customHeight="1">
      <c r="B638" s="52" t="s">
        <v>363</v>
      </c>
      <c r="C638" s="1491"/>
      <c r="D638" s="1491"/>
      <c r="E638" s="1491"/>
      <c r="F638" s="1491"/>
      <c r="G638" s="1491"/>
      <c r="H638" s="1491"/>
      <c r="I638" s="1491"/>
      <c r="J638" s="1491"/>
      <c r="K638" s="1491"/>
      <c r="L638" s="1491"/>
      <c r="M638" s="1495" t="s">
        <v>1185</v>
      </c>
      <c r="N638" s="1495"/>
      <c r="O638" s="1495"/>
      <c r="P638" s="1495"/>
      <c r="Q638" s="1511"/>
      <c r="R638" s="1512"/>
      <c r="S638" s="1513"/>
      <c r="T638" s="1511"/>
      <c r="U638" s="1512"/>
      <c r="V638" s="1513"/>
      <c r="W638" s="1482"/>
      <c r="X638" s="1483"/>
      <c r="Y638" s="1484"/>
      <c r="Z638" s="1478" t="s">
        <v>1185</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8"/>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9"/>
        <v>#VALUE!</v>
      </c>
      <c r="DY638" s="1369"/>
      <c r="DZ638" s="1369"/>
      <c r="EA638" s="1369"/>
      <c r="EB638" s="1369"/>
      <c r="EC638" s="1369">
        <f t="shared" si="10"/>
        <v>898.5</v>
      </c>
      <c r="ED638" s="1369"/>
      <c r="EE638" s="1369"/>
      <c r="EF638" s="1369"/>
      <c r="EG638" s="1369"/>
      <c r="EH638" s="1369" t="e">
        <f t="shared" si="11"/>
        <v>#VALUE!</v>
      </c>
      <c r="EI638" s="1369"/>
      <c r="EJ638" s="1369"/>
      <c r="EK638" s="1369"/>
      <c r="EL638" s="1369"/>
      <c r="EM638" s="1369" t="e">
        <f t="shared" si="12"/>
        <v>#VALUE!</v>
      </c>
      <c r="EN638" s="1369"/>
      <c r="EO638" s="1369"/>
      <c r="EP638" s="1369"/>
      <c r="EQ638" s="1369"/>
      <c r="ER638" s="1369" t="e">
        <f t="shared" si="13"/>
        <v>#VALUE!</v>
      </c>
      <c r="ES638" s="1369"/>
      <c r="ET638" s="1369"/>
      <c r="EU638" s="1369"/>
      <c r="EV638" s="1369"/>
      <c r="EW638" s="1369" t="e">
        <f t="shared" si="14"/>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57501625.779325485</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9"/>
        <v>#VALUE!</v>
      </c>
      <c r="DY639" s="1369"/>
      <c r="DZ639" s="1369"/>
      <c r="EA639" s="1369"/>
      <c r="EB639" s="1369"/>
      <c r="EC639" s="1369" t="e">
        <f t="shared" si="10"/>
        <v>#VALUE!</v>
      </c>
      <c r="ED639" s="1369"/>
      <c r="EE639" s="1369"/>
      <c r="EF639" s="1369"/>
      <c r="EG639" s="1369"/>
      <c r="EH639" s="1369">
        <f t="shared" si="11"/>
        <v>539</v>
      </c>
      <c r="EI639" s="1369"/>
      <c r="EJ639" s="1369"/>
      <c r="EK639" s="1369"/>
      <c r="EL639" s="1369"/>
      <c r="EM639" s="1369" t="e">
        <f t="shared" si="12"/>
        <v>#VALUE!</v>
      </c>
      <c r="EN639" s="1369"/>
      <c r="EO639" s="1369"/>
      <c r="EP639" s="1369"/>
      <c r="EQ639" s="1369"/>
      <c r="ER639" s="1369" t="e">
        <f t="shared" si="13"/>
        <v>#VALUE!</v>
      </c>
      <c r="ES639" s="1369"/>
      <c r="ET639" s="1369"/>
      <c r="EU639" s="1369"/>
      <c r="EV639" s="1369"/>
      <c r="EW639" s="1369" t="e">
        <f t="shared" si="14"/>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f>('Basis &amp; Credits'!T28+'Basis &amp; Credits'!AD28)*0.9999*10*0.04*0.91</f>
        <v>39376403.220674522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9"/>
        <v>#VALUE!</v>
      </c>
      <c r="DY640" s="1369"/>
      <c r="DZ640" s="1369"/>
      <c r="EA640" s="1369"/>
      <c r="EB640" s="1369"/>
      <c r="EC640" s="1369" t="e">
        <f t="shared" si="10"/>
        <v>#VALUE!</v>
      </c>
      <c r="ED640" s="1369"/>
      <c r="EE640" s="1369"/>
      <c r="EF640" s="1369"/>
      <c r="EG640" s="1369"/>
      <c r="EH640" s="1369">
        <f t="shared" si="11"/>
        <v>1078.5</v>
      </c>
      <c r="EI640" s="1369"/>
      <c r="EJ640" s="1369"/>
      <c r="EK640" s="1369"/>
      <c r="EL640" s="1369"/>
      <c r="EM640" s="1369" t="e">
        <f t="shared" si="12"/>
        <v>#VALUE!</v>
      </c>
      <c r="EN640" s="1369"/>
      <c r="EO640" s="1369"/>
      <c r="EP640" s="1369"/>
      <c r="EQ640" s="1369"/>
      <c r="ER640" s="1369" t="e">
        <f t="shared" si="13"/>
        <v>#VALUE!</v>
      </c>
      <c r="ES640" s="1369"/>
      <c r="ET640" s="1369"/>
      <c r="EU640" s="1369"/>
      <c r="EV640" s="1369"/>
      <c r="EW640" s="1369" t="e">
        <f t="shared" si="14"/>
        <v>#VALUE!</v>
      </c>
      <c r="EX640" s="1369"/>
      <c r="EY640" s="1369"/>
      <c r="EZ640" s="1369"/>
      <c r="FA640" s="1369"/>
    </row>
    <row r="641" spans="1:157" ht="12.95" customHeight="1">
      <c r="B641" s="1839"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0"/>
      <c r="AO641" s="1474">
        <f>AO639+AO640</f>
        <v>96878029</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9"/>
        <v>#VALUE!</v>
      </c>
      <c r="DY641" s="1369"/>
      <c r="DZ641" s="1369"/>
      <c r="EA641" s="1369"/>
      <c r="EB641" s="1369"/>
      <c r="EC641" s="1369" t="e">
        <f t="shared" si="10"/>
        <v>#VALUE!</v>
      </c>
      <c r="ED641" s="1369"/>
      <c r="EE641" s="1369"/>
      <c r="EF641" s="1369"/>
      <c r="EG641" s="1369"/>
      <c r="EH641" s="1369" t="e">
        <f t="shared" si="11"/>
        <v>#VALUE!</v>
      </c>
      <c r="EI641" s="1369"/>
      <c r="EJ641" s="1369"/>
      <c r="EK641" s="1369"/>
      <c r="EL641" s="1369"/>
      <c r="EM641" s="1369" t="e">
        <f t="shared" si="12"/>
        <v>#VALUE!</v>
      </c>
      <c r="EN641" s="1369"/>
      <c r="EO641" s="1369"/>
      <c r="EP641" s="1369"/>
      <c r="EQ641" s="1369"/>
      <c r="ER641" s="1369" t="e">
        <f t="shared" si="13"/>
        <v>#VALUE!</v>
      </c>
      <c r="ES641" s="1369"/>
      <c r="ET641" s="1369"/>
      <c r="EU641" s="1369"/>
      <c r="EV641" s="1369"/>
      <c r="EW641" s="1369" t="e">
        <f t="shared" si="14"/>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9"/>
        <v>#VALUE!</v>
      </c>
      <c r="DY642" s="1369"/>
      <c r="DZ642" s="1369"/>
      <c r="EA642" s="1369"/>
      <c r="EB642" s="1369"/>
      <c r="EC642" s="1369" t="e">
        <f t="shared" si="10"/>
        <v>#VALUE!</v>
      </c>
      <c r="ED642" s="1369"/>
      <c r="EE642" s="1369"/>
      <c r="EF642" s="1369"/>
      <c r="EG642" s="1369"/>
      <c r="EH642" s="1369" t="e">
        <f t="shared" si="11"/>
        <v>#VALUE!</v>
      </c>
      <c r="EI642" s="1369"/>
      <c r="EJ642" s="1369"/>
      <c r="EK642" s="1369"/>
      <c r="EL642" s="1369"/>
      <c r="EM642" s="1369" t="e">
        <f t="shared" si="12"/>
        <v>#VALUE!</v>
      </c>
      <c r="EN642" s="1369"/>
      <c r="EO642" s="1369"/>
      <c r="EP642" s="1369"/>
      <c r="EQ642" s="1369"/>
      <c r="ER642" s="1369" t="e">
        <f t="shared" si="13"/>
        <v>#VALUE!</v>
      </c>
      <c r="ES642" s="1369"/>
      <c r="ET642" s="1369"/>
      <c r="EU642" s="1369"/>
      <c r="EV642" s="1369"/>
      <c r="EW642" s="1369" t="e">
        <f t="shared" si="14"/>
        <v>#VALUE!</v>
      </c>
      <c r="EX642" s="1369"/>
      <c r="EY642" s="1369"/>
      <c r="EZ642" s="1369"/>
      <c r="FA642" s="1369"/>
    </row>
    <row r="643" spans="1:157" ht="12.95" customHeight="1">
      <c r="A643" s="55" t="s">
        <v>112</v>
      </c>
      <c r="B643" t="s">
        <v>464</v>
      </c>
      <c r="G643" s="1485" t="str">
        <f>C627</f>
        <v>Fannie Mae / Capital One</v>
      </c>
      <c r="H643" s="1485"/>
      <c r="I643" s="1485"/>
      <c r="J643" s="1485"/>
      <c r="K643" s="1485"/>
      <c r="L643" s="1485"/>
      <c r="M643" s="1485"/>
      <c r="N643" s="1485"/>
      <c r="O643" s="1485"/>
      <c r="P643" s="1485"/>
      <c r="Q643" s="1485"/>
      <c r="R643" s="1485"/>
      <c r="S643" s="8"/>
      <c r="T643" s="55" t="s">
        <v>113</v>
      </c>
      <c r="U643" t="s">
        <v>464</v>
      </c>
      <c r="Z643" s="1485" t="str">
        <f>C628</f>
        <v>Fannie Mae / Capital One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9"/>
        <v>#VALUE!</v>
      </c>
      <c r="DY643" s="1369"/>
      <c r="DZ643" s="1369"/>
      <c r="EA643" s="1369"/>
      <c r="EB643" s="1369"/>
      <c r="EC643" s="1369" t="e">
        <f t="shared" si="10"/>
        <v>#VALUE!</v>
      </c>
      <c r="ED643" s="1369"/>
      <c r="EE643" s="1369"/>
      <c r="EF643" s="1369"/>
      <c r="EG643" s="1369"/>
      <c r="EH643" s="1369" t="e">
        <f t="shared" si="11"/>
        <v>#VALUE!</v>
      </c>
      <c r="EI643" s="1369"/>
      <c r="EJ643" s="1369"/>
      <c r="EK643" s="1369"/>
      <c r="EL643" s="1369"/>
      <c r="EM643" s="1369" t="e">
        <f t="shared" si="12"/>
        <v>#VALUE!</v>
      </c>
      <c r="EN643" s="1369"/>
      <c r="EO643" s="1369"/>
      <c r="EP643" s="1369"/>
      <c r="EQ643" s="1369"/>
      <c r="ER643" s="1369" t="e">
        <f t="shared" si="13"/>
        <v>#VALUE!</v>
      </c>
      <c r="ES643" s="1369"/>
      <c r="ET643" s="1369"/>
      <c r="EU643" s="1369"/>
      <c r="EV643" s="1369"/>
      <c r="EW643" s="1369" t="e">
        <f t="shared" si="14"/>
        <v>#VALUE!</v>
      </c>
      <c r="EX643" s="1369"/>
      <c r="EY643" s="1369"/>
      <c r="EZ643" s="1369"/>
      <c r="FA643" s="1369"/>
    </row>
    <row r="644" spans="1:157" ht="12.95" customHeight="1">
      <c r="A644" s="22"/>
      <c r="B644" t="s">
        <v>85</v>
      </c>
      <c r="G644" s="1407" t="s">
        <v>2670</v>
      </c>
      <c r="H644" s="1407"/>
      <c r="I644" s="1407"/>
      <c r="J644" s="1407"/>
      <c r="K644" s="1407"/>
      <c r="L644" s="1407"/>
      <c r="M644" s="1407"/>
      <c r="N644" s="1407"/>
      <c r="O644" s="1407"/>
      <c r="P644" s="1407"/>
      <c r="Q644" s="1407"/>
      <c r="R644" s="1407"/>
      <c r="S644" s="8"/>
      <c r="T644" s="22"/>
      <c r="U644" t="s">
        <v>85</v>
      </c>
      <c r="Z644" s="1407" t="s">
        <v>2670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9"/>
        <v>#VALUE!</v>
      </c>
      <c r="DY644" s="1369"/>
      <c r="DZ644" s="1369"/>
      <c r="EA644" s="1369"/>
      <c r="EB644" s="1369"/>
      <c r="EC644" s="1369" t="e">
        <f t="shared" si="10"/>
        <v>#VALUE!</v>
      </c>
      <c r="ED644" s="1369"/>
      <c r="EE644" s="1369"/>
      <c r="EF644" s="1369"/>
      <c r="EG644" s="1369"/>
      <c r="EH644" s="1369" t="e">
        <f t="shared" si="11"/>
        <v>#VALUE!</v>
      </c>
      <c r="EI644" s="1369"/>
      <c r="EJ644" s="1369"/>
      <c r="EK644" s="1369"/>
      <c r="EL644" s="1369"/>
      <c r="EM644" s="1369" t="e">
        <f t="shared" si="12"/>
        <v>#VALUE!</v>
      </c>
      <c r="EN644" s="1369"/>
      <c r="EO644" s="1369"/>
      <c r="EP644" s="1369"/>
      <c r="EQ644" s="1369"/>
      <c r="ER644" s="1369" t="e">
        <f t="shared" si="13"/>
        <v>#VALUE!</v>
      </c>
      <c r="ES644" s="1369"/>
      <c r="ET644" s="1369"/>
      <c r="EU644" s="1369"/>
      <c r="EV644" s="1369"/>
      <c r="EW644" s="1369" t="e">
        <f t="shared" si="14"/>
        <v>#VALUE!</v>
      </c>
      <c r="EX644" s="1369"/>
      <c r="EY644" s="1369"/>
      <c r="EZ644" s="1369"/>
      <c r="FA644" s="1369"/>
    </row>
    <row r="645" spans="1:157" ht="12.95" customHeight="1">
      <c r="A645" s="22"/>
      <c r="B645" t="s">
        <v>581</v>
      </c>
      <c r="G645" s="1407" t="s">
        <v>2671</v>
      </c>
      <c r="H645" s="1407"/>
      <c r="I645" s="1407"/>
      <c r="J645" s="1407"/>
      <c r="K645" s="1407"/>
      <c r="L645" s="1407"/>
      <c r="M645" s="1407"/>
      <c r="N645" s="1407"/>
      <c r="O645" s="1407"/>
      <c r="P645" s="1407"/>
      <c r="Q645" s="1407"/>
      <c r="R645" s="1407"/>
      <c r="T645" s="22"/>
      <c r="U645" t="s">
        <v>581</v>
      </c>
      <c r="Z645" s="1371" t="s">
        <v>2671</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9"/>
        <v>#VALUE!</v>
      </c>
      <c r="DY645" s="1369"/>
      <c r="DZ645" s="1369"/>
      <c r="EA645" s="1369"/>
      <c r="EB645" s="1369"/>
      <c r="EC645" s="1369" t="e">
        <f t="shared" si="10"/>
        <v>#VALUE!</v>
      </c>
      <c r="ED645" s="1369"/>
      <c r="EE645" s="1369"/>
      <c r="EF645" s="1369"/>
      <c r="EG645" s="1369"/>
      <c r="EH645" s="1369" t="e">
        <f t="shared" si="11"/>
        <v>#VALUE!</v>
      </c>
      <c r="EI645" s="1369"/>
      <c r="EJ645" s="1369"/>
      <c r="EK645" s="1369"/>
      <c r="EL645" s="1369"/>
      <c r="EM645" s="1369" t="e">
        <f t="shared" si="12"/>
        <v>#VALUE!</v>
      </c>
      <c r="EN645" s="1369"/>
      <c r="EO645" s="1369"/>
      <c r="EP645" s="1369"/>
      <c r="EQ645" s="1369"/>
      <c r="ER645" s="1369" t="e">
        <f t="shared" si="13"/>
        <v>#VALUE!</v>
      </c>
      <c r="ES645" s="1369"/>
      <c r="ET645" s="1369"/>
      <c r="EU645" s="1369"/>
      <c r="EV645" s="1369"/>
      <c r="EW645" s="1369" t="e">
        <f t="shared" si="14"/>
        <v>#VALUE!</v>
      </c>
      <c r="EX645" s="1369"/>
      <c r="EY645" s="1369"/>
      <c r="EZ645" s="1369"/>
      <c r="FA645" s="1369"/>
    </row>
    <row r="646" spans="1:157" ht="12.95" customHeight="1">
      <c r="A646" s="22"/>
      <c r="B646" t="s">
        <v>17</v>
      </c>
      <c r="G646" s="1407" t="s">
        <v>2672</v>
      </c>
      <c r="H646" s="1407"/>
      <c r="I646" s="1407"/>
      <c r="J646" s="1407"/>
      <c r="K646" s="1407"/>
      <c r="L646" s="1407"/>
      <c r="M646" s="1407"/>
      <c r="N646" s="1407"/>
      <c r="O646" s="1407"/>
      <c r="P646" s="1407"/>
      <c r="Q646" s="1407"/>
      <c r="R646" s="1407"/>
      <c r="S646" s="8"/>
      <c r="T646" s="22"/>
      <c r="U646" t="s">
        <v>17</v>
      </c>
      <c r="Z646" s="1371" t="s">
        <v>2672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9"/>
        <v>#VALUE!</v>
      </c>
      <c r="DY646" s="1369"/>
      <c r="DZ646" s="1369"/>
      <c r="EA646" s="1369"/>
      <c r="EB646" s="1369"/>
      <c r="EC646" s="1369" t="e">
        <f t="shared" si="10"/>
        <v>#VALUE!</v>
      </c>
      <c r="ED646" s="1369"/>
      <c r="EE646" s="1369"/>
      <c r="EF646" s="1369"/>
      <c r="EG646" s="1369"/>
      <c r="EH646" s="1369" t="e">
        <f t="shared" si="11"/>
        <v>#VALUE!</v>
      </c>
      <c r="EI646" s="1369"/>
      <c r="EJ646" s="1369"/>
      <c r="EK646" s="1369"/>
      <c r="EL646" s="1369"/>
      <c r="EM646" s="1369" t="e">
        <f t="shared" si="12"/>
        <v>#VALUE!</v>
      </c>
      <c r="EN646" s="1369"/>
      <c r="EO646" s="1369"/>
      <c r="EP646" s="1369"/>
      <c r="EQ646" s="1369"/>
      <c r="ER646" s="1369" t="e">
        <f t="shared" si="13"/>
        <v>#VALUE!</v>
      </c>
      <c r="ES646" s="1369"/>
      <c r="ET646" s="1369"/>
      <c r="EU646" s="1369"/>
      <c r="EV646" s="1369"/>
      <c r="EW646" s="1369" t="e">
        <f t="shared" si="14"/>
        <v>#VALUE!</v>
      </c>
      <c r="EX646" s="1369"/>
      <c r="EY646" s="1369"/>
      <c r="EZ646" s="1369"/>
      <c r="FA646" s="1369"/>
    </row>
    <row r="647" spans="1:157" ht="12.95" customHeight="1">
      <c r="A647" s="22"/>
      <c r="B647" t="s">
        <v>316</v>
      </c>
      <c r="G647" s="1489" t="s">
        <v>2673</v>
      </c>
      <c r="H647" s="1489"/>
      <c r="I647" s="1489"/>
      <c r="J647" s="1489"/>
      <c r="K647" s="1489"/>
      <c r="L647" s="1489"/>
      <c r="O647" s="33" t="s">
        <v>206</v>
      </c>
      <c r="P647" s="1473"/>
      <c r="Q647" s="1473"/>
      <c r="R647" s="1473"/>
      <c r="S647" s="10"/>
      <c r="T647" s="22"/>
      <c r="U647" t="s">
        <v>316</v>
      </c>
      <c r="Z647" s="1489" t="s">
        <v>2673</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9"/>
        <v>#VALUE!</v>
      </c>
      <c r="DY647" s="1369"/>
      <c r="DZ647" s="1369"/>
      <c r="EA647" s="1369"/>
      <c r="EB647" s="1369"/>
      <c r="EC647" s="1369" t="e">
        <f t="shared" si="10"/>
        <v>#VALUE!</v>
      </c>
      <c r="ED647" s="1369"/>
      <c r="EE647" s="1369"/>
      <c r="EF647" s="1369"/>
      <c r="EG647" s="1369"/>
      <c r="EH647" s="1369" t="e">
        <f t="shared" si="11"/>
        <v>#VALUE!</v>
      </c>
      <c r="EI647" s="1369"/>
      <c r="EJ647" s="1369"/>
      <c r="EK647" s="1369"/>
      <c r="EL647" s="1369"/>
      <c r="EM647" s="1369" t="e">
        <f t="shared" si="12"/>
        <v>#VALUE!</v>
      </c>
      <c r="EN647" s="1369"/>
      <c r="EO647" s="1369"/>
      <c r="EP647" s="1369"/>
      <c r="EQ647" s="1369"/>
      <c r="ER647" s="1369" t="e">
        <f t="shared" si="13"/>
        <v>#VALUE!</v>
      </c>
      <c r="ES647" s="1369"/>
      <c r="ET647" s="1369"/>
      <c r="EU647" s="1369"/>
      <c r="EV647" s="1369"/>
      <c r="EW647" s="1369" t="e">
        <f t="shared" si="14"/>
        <v>#VALUE!</v>
      </c>
      <c r="EX647" s="1369"/>
      <c r="EY647" s="1369"/>
      <c r="EZ647" s="1369"/>
      <c r="FA647" s="1369"/>
    </row>
    <row r="648" spans="1:157" ht="12.95" customHeight="1">
      <c r="A648" s="22"/>
      <c r="B648" t="s">
        <v>18</v>
      </c>
      <c r="H648" s="1407" t="s">
        <v>2674</v>
      </c>
      <c r="I648" s="1407"/>
      <c r="J648" s="1407"/>
      <c r="K648" s="1407"/>
      <c r="L648" s="1407"/>
      <c r="M648" s="1407"/>
      <c r="N648" s="1407"/>
      <c r="O648" s="1407"/>
      <c r="P648" s="1407"/>
      <c r="Q648" s="1407"/>
      <c r="R648" s="1407"/>
      <c r="S648" s="8"/>
      <c r="T648" s="22"/>
      <c r="U648" t="s">
        <v>18</v>
      </c>
      <c r="AA648" s="1407" t="s">
        <v>2674</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9"/>
        <v>#VALUE!</v>
      </c>
      <c r="DY648" s="1369"/>
      <c r="DZ648" s="1369"/>
      <c r="EA648" s="1369"/>
      <c r="EB648" s="1369"/>
      <c r="EC648" s="1369" t="e">
        <f t="shared" si="10"/>
        <v>#VALUE!</v>
      </c>
      <c r="ED648" s="1369"/>
      <c r="EE648" s="1369"/>
      <c r="EF648" s="1369"/>
      <c r="EG648" s="1369"/>
      <c r="EH648" s="1369" t="e">
        <f t="shared" si="11"/>
        <v>#VALUE!</v>
      </c>
      <c r="EI648" s="1369"/>
      <c r="EJ648" s="1369"/>
      <c r="EK648" s="1369"/>
      <c r="EL648" s="1369"/>
      <c r="EM648" s="1369" t="e">
        <f t="shared" si="12"/>
        <v>#VALUE!</v>
      </c>
      <c r="EN648" s="1369"/>
      <c r="EO648" s="1369"/>
      <c r="EP648" s="1369"/>
      <c r="EQ648" s="1369"/>
      <c r="ER648" s="1369" t="e">
        <f t="shared" si="13"/>
        <v>#VALUE!</v>
      </c>
      <c r="ES648" s="1369"/>
      <c r="ET648" s="1369"/>
      <c r="EU648" s="1369"/>
      <c r="EV648" s="1369"/>
      <c r="EW648" s="1369" t="e">
        <f t="shared" si="14"/>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9"/>
        <v>#VALUE!</v>
      </c>
      <c r="DY649" s="1369"/>
      <c r="DZ649" s="1369"/>
      <c r="EA649" s="1369"/>
      <c r="EB649" s="1369"/>
      <c r="EC649" s="1369" t="e">
        <f t="shared" si="10"/>
        <v>#VALUE!</v>
      </c>
      <c r="ED649" s="1369"/>
      <c r="EE649" s="1369"/>
      <c r="EF649" s="1369"/>
      <c r="EG649" s="1369"/>
      <c r="EH649" s="1369" t="e">
        <f t="shared" si="11"/>
        <v>#VALUE!</v>
      </c>
      <c r="EI649" s="1369"/>
      <c r="EJ649" s="1369"/>
      <c r="EK649" s="1369"/>
      <c r="EL649" s="1369"/>
      <c r="EM649" s="1369" t="e">
        <f t="shared" si="12"/>
        <v>#VALUE!</v>
      </c>
      <c r="EN649" s="1369"/>
      <c r="EO649" s="1369"/>
      <c r="EP649" s="1369"/>
      <c r="EQ649" s="1369"/>
      <c r="ER649" s="1369" t="e">
        <f t="shared" si="13"/>
        <v>#VALUE!</v>
      </c>
      <c r="ES649" s="1369"/>
      <c r="ET649" s="1369"/>
      <c r="EU649" s="1369"/>
      <c r="EV649" s="1369"/>
      <c r="EW649" s="1369" t="e">
        <f t="shared" si="14"/>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9"/>
        <v>#VALUE!</v>
      </c>
      <c r="DY650" s="1369"/>
      <c r="DZ650" s="1369"/>
      <c r="EA650" s="1369"/>
      <c r="EB650" s="1369"/>
      <c r="EC650" s="1369" t="e">
        <f t="shared" si="10"/>
        <v>#VALUE!</v>
      </c>
      <c r="ED650" s="1369"/>
      <c r="EE650" s="1369"/>
      <c r="EF650" s="1369"/>
      <c r="EG650" s="1369"/>
      <c r="EH650" s="1369" t="e">
        <f t="shared" si="11"/>
        <v>#VALUE!</v>
      </c>
      <c r="EI650" s="1369"/>
      <c r="EJ650" s="1369"/>
      <c r="EK650" s="1369"/>
      <c r="EL650" s="1369"/>
      <c r="EM650" s="1369" t="e">
        <f t="shared" si="12"/>
        <v>#VALUE!</v>
      </c>
      <c r="EN650" s="1369"/>
      <c r="EO650" s="1369"/>
      <c r="EP650" s="1369"/>
      <c r="EQ650" s="1369"/>
      <c r="ER650" s="1369" t="e">
        <f t="shared" si="13"/>
        <v>#VALUE!</v>
      </c>
      <c r="ES650" s="1369"/>
      <c r="ET650" s="1369"/>
      <c r="EU650" s="1369"/>
      <c r="EV650" s="1369"/>
      <c r="EW650" s="1369" t="e">
        <f t="shared" si="14"/>
        <v>#VALUE!</v>
      </c>
      <c r="EX650" s="1369"/>
      <c r="EY650" s="1369"/>
      <c r="EZ650" s="1369"/>
      <c r="FA650" s="1369"/>
    </row>
    <row r="651" spans="1:157" ht="12.95" customHeight="1">
      <c r="A651" s="55" t="s">
        <v>119</v>
      </c>
      <c r="B651" t="s">
        <v>464</v>
      </c>
      <c r="G651" s="1485" t="str">
        <f>C629</f>
        <v>CT Housing Preservation, LP</v>
      </c>
      <c r="H651" s="1485"/>
      <c r="I651" s="1485"/>
      <c r="J651" s="1485"/>
      <c r="K651" s="1485"/>
      <c r="L651" s="1485"/>
      <c r="M651" s="1485"/>
      <c r="N651" s="1485"/>
      <c r="O651" s="1485"/>
      <c r="P651" s="1485"/>
      <c r="Q651" s="1485"/>
      <c r="R651" s="1485"/>
      <c r="T651" s="55" t="s">
        <v>582</v>
      </c>
      <c r="U651" t="s">
        <v>464</v>
      </c>
      <c r="Z651" s="1485" t="str">
        <f>C630</f>
        <v>Related Affordable</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9"/>
        <v>#VALUE!</v>
      </c>
      <c r="DY651" s="1369"/>
      <c r="DZ651" s="1369"/>
      <c r="EA651" s="1369"/>
      <c r="EB651" s="1369"/>
      <c r="EC651" s="1369" t="e">
        <f t="shared" si="10"/>
        <v>#VALUE!</v>
      </c>
      <c r="ED651" s="1369"/>
      <c r="EE651" s="1369"/>
      <c r="EF651" s="1369"/>
      <c r="EG651" s="1369"/>
      <c r="EH651" s="1369" t="e">
        <f t="shared" si="11"/>
        <v>#VALUE!</v>
      </c>
      <c r="EI651" s="1369"/>
      <c r="EJ651" s="1369"/>
      <c r="EK651" s="1369"/>
      <c r="EL651" s="1369"/>
      <c r="EM651" s="1369" t="e">
        <f t="shared" si="12"/>
        <v>#VALUE!</v>
      </c>
      <c r="EN651" s="1369"/>
      <c r="EO651" s="1369"/>
      <c r="EP651" s="1369"/>
      <c r="EQ651" s="1369"/>
      <c r="ER651" s="1369" t="e">
        <f t="shared" si="13"/>
        <v>#VALUE!</v>
      </c>
      <c r="ES651" s="1369"/>
      <c r="ET651" s="1369"/>
      <c r="EU651" s="1369"/>
      <c r="EV651" s="1369"/>
      <c r="EW651" s="1369" t="e">
        <f t="shared" si="14"/>
        <v>#VALUE!</v>
      </c>
      <c r="EX651" s="1369"/>
      <c r="EY651" s="1369"/>
      <c r="EZ651" s="1369"/>
      <c r="FA651" s="1369"/>
    </row>
    <row r="652" spans="1:157" ht="12.95" customHeight="1">
      <c r="A652" s="22"/>
      <c r="B652" t="s">
        <v>85</v>
      </c>
      <c r="G652" s="1407" t="s">
        <v>2675</v>
      </c>
      <c r="H652" s="1407"/>
      <c r="I652" s="1407"/>
      <c r="J652" s="1407"/>
      <c r="K652" s="1407"/>
      <c r="L652" s="1407"/>
      <c r="M652" s="1407"/>
      <c r="N652" s="1407"/>
      <c r="O652" s="1407"/>
      <c r="P652" s="1407"/>
      <c r="Q652" s="1407"/>
      <c r="R652" s="1407"/>
      <c r="T652" s="22"/>
      <c r="U652" t="s">
        <v>85</v>
      </c>
      <c r="Z652" s="1407" t="s">
        <v>2614</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9"/>
        <v>#VALUE!</v>
      </c>
      <c r="DY652" s="1369"/>
      <c r="DZ652" s="1369"/>
      <c r="EA652" s="1369"/>
      <c r="EB652" s="1369"/>
      <c r="EC652" s="1369" t="e">
        <f t="shared" si="10"/>
        <v>#VALUE!</v>
      </c>
      <c r="ED652" s="1369"/>
      <c r="EE652" s="1369"/>
      <c r="EF652" s="1369"/>
      <c r="EG652" s="1369"/>
      <c r="EH652" s="1369" t="e">
        <f t="shared" si="11"/>
        <v>#VALUE!</v>
      </c>
      <c r="EI652" s="1369"/>
      <c r="EJ652" s="1369"/>
      <c r="EK652" s="1369"/>
      <c r="EL652" s="1369"/>
      <c r="EM652" s="1369" t="e">
        <f t="shared" si="12"/>
        <v>#VALUE!</v>
      </c>
      <c r="EN652" s="1369"/>
      <c r="EO652" s="1369"/>
      <c r="EP652" s="1369"/>
      <c r="EQ652" s="1369"/>
      <c r="ER652" s="1369" t="e">
        <f t="shared" si="13"/>
        <v>#VALUE!</v>
      </c>
      <c r="ES652" s="1369"/>
      <c r="ET652" s="1369"/>
      <c r="EU652" s="1369"/>
      <c r="EV652" s="1369"/>
      <c r="EW652" s="1369" t="e">
        <f t="shared" si="14"/>
        <v>#VALUE!</v>
      </c>
      <c r="EX652" s="1369"/>
      <c r="EY652" s="1369"/>
      <c r="EZ652" s="1369"/>
      <c r="FA652" s="1369"/>
    </row>
    <row r="653" spans="1:157" ht="12.95" customHeight="1">
      <c r="A653" s="22"/>
      <c r="B653" t="s">
        <v>581</v>
      </c>
      <c r="G653" s="1371" t="s">
        <v>2671</v>
      </c>
      <c r="H653" s="1371"/>
      <c r="I653" s="1371"/>
      <c r="J653" s="1371"/>
      <c r="K653" s="1371"/>
      <c r="L653" s="1371"/>
      <c r="M653" s="1371"/>
      <c r="N653" s="1371"/>
      <c r="O653" s="1371"/>
      <c r="P653" s="1371"/>
      <c r="Q653" s="1371"/>
      <c r="R653" s="1371"/>
      <c r="T653" s="22"/>
      <c r="U653" t="s">
        <v>581</v>
      </c>
      <c r="Z653" s="1371" t="s">
        <v>2671</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9"/>
        <v>#VALUE!</v>
      </c>
      <c r="DY653" s="1369"/>
      <c r="DZ653" s="1369"/>
      <c r="EA653" s="1369"/>
      <c r="EB653" s="1369"/>
      <c r="EC653" s="1369" t="e">
        <f t="shared" si="10"/>
        <v>#VALUE!</v>
      </c>
      <c r="ED653" s="1369"/>
      <c r="EE653" s="1369"/>
      <c r="EF653" s="1369"/>
      <c r="EG653" s="1369"/>
      <c r="EH653" s="1369" t="e">
        <f t="shared" si="11"/>
        <v>#VALUE!</v>
      </c>
      <c r="EI653" s="1369"/>
      <c r="EJ653" s="1369"/>
      <c r="EK653" s="1369"/>
      <c r="EL653" s="1369"/>
      <c r="EM653" s="1369" t="e">
        <f t="shared" si="12"/>
        <v>#VALUE!</v>
      </c>
      <c r="EN653" s="1369"/>
      <c r="EO653" s="1369"/>
      <c r="EP653" s="1369"/>
      <c r="EQ653" s="1369"/>
      <c r="ER653" s="1369" t="e">
        <f t="shared" si="13"/>
        <v>#VALUE!</v>
      </c>
      <c r="ES653" s="1369"/>
      <c r="ET653" s="1369"/>
      <c r="EU653" s="1369"/>
      <c r="EV653" s="1369"/>
      <c r="EW653" s="1369" t="e">
        <f t="shared" si="14"/>
        <v>#VALUE!</v>
      </c>
      <c r="EX653" s="1369"/>
      <c r="EY653" s="1369"/>
      <c r="EZ653" s="1369"/>
      <c r="FA653" s="1369"/>
    </row>
    <row r="654" spans="1:157" ht="12.95" customHeight="1">
      <c r="A654" s="22"/>
      <c r="B654" t="s">
        <v>17</v>
      </c>
      <c r="G654" s="1371" t="s">
        <v>2651</v>
      </c>
      <c r="H654" s="1371"/>
      <c r="I654" s="1371"/>
      <c r="J654" s="1371"/>
      <c r="K654" s="1371"/>
      <c r="L654" s="1371"/>
      <c r="M654" s="1371"/>
      <c r="N654" s="1371"/>
      <c r="O654" s="1371"/>
      <c r="P654" s="1371"/>
      <c r="Q654" s="1371"/>
      <c r="R654" s="1371"/>
      <c r="T654" s="22"/>
      <c r="U654" t="s">
        <v>17</v>
      </c>
      <c r="Z654" s="1371" t="s">
        <v>2617</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9"/>
        <v>#VALUE!</v>
      </c>
      <c r="DY654" s="1369"/>
      <c r="DZ654" s="1369"/>
      <c r="EA654" s="1369"/>
      <c r="EB654" s="1369"/>
      <c r="EC654" s="1369" t="e">
        <f t="shared" si="10"/>
        <v>#VALUE!</v>
      </c>
      <c r="ED654" s="1369"/>
      <c r="EE654" s="1369"/>
      <c r="EF654" s="1369"/>
      <c r="EG654" s="1369"/>
      <c r="EH654" s="1369" t="e">
        <f t="shared" si="11"/>
        <v>#VALUE!</v>
      </c>
      <c r="EI654" s="1369"/>
      <c r="EJ654" s="1369"/>
      <c r="EK654" s="1369"/>
      <c r="EL654" s="1369"/>
      <c r="EM654" s="1369" t="e">
        <f t="shared" si="12"/>
        <v>#VALUE!</v>
      </c>
      <c r="EN654" s="1369"/>
      <c r="EO654" s="1369"/>
      <c r="EP654" s="1369"/>
      <c r="EQ654" s="1369"/>
      <c r="ER654" s="1369" t="e">
        <f t="shared" si="13"/>
        <v>#VALUE!</v>
      </c>
      <c r="ES654" s="1369"/>
      <c r="ET654" s="1369"/>
      <c r="EU654" s="1369"/>
      <c r="EV654" s="1369"/>
      <c r="EW654" s="1369" t="e">
        <f t="shared" si="14"/>
        <v>#VALUE!</v>
      </c>
      <c r="EX654" s="1369"/>
      <c r="EY654" s="1369"/>
      <c r="EZ654" s="1369"/>
      <c r="FA654" s="1369"/>
    </row>
    <row r="655" spans="1:157" ht="12.95" customHeight="1">
      <c r="A655" s="22"/>
      <c r="B655" t="s">
        <v>316</v>
      </c>
      <c r="G655" s="1489" t="s">
        <v>2650</v>
      </c>
      <c r="H655" s="1489"/>
      <c r="I655" s="1489"/>
      <c r="J655" s="1489"/>
      <c r="K655" s="1489"/>
      <c r="L655" s="1489"/>
      <c r="O655" s="33" t="s">
        <v>206</v>
      </c>
      <c r="P655" s="1473"/>
      <c r="Q655" s="1473"/>
      <c r="R655" s="1473"/>
      <c r="T655" s="22"/>
      <c r="U655" t="s">
        <v>316</v>
      </c>
      <c r="Z655" s="1489" t="s">
        <v>2618</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9"/>
        <v>#VALUE!</v>
      </c>
      <c r="DY655" s="1369"/>
      <c r="DZ655" s="1369"/>
      <c r="EA655" s="1369"/>
      <c r="EB655" s="1369"/>
      <c r="EC655" s="1369" t="e">
        <f t="shared" si="10"/>
        <v>#VALUE!</v>
      </c>
      <c r="ED655" s="1369"/>
      <c r="EE655" s="1369"/>
      <c r="EF655" s="1369"/>
      <c r="EG655" s="1369"/>
      <c r="EH655" s="1369" t="e">
        <f t="shared" si="11"/>
        <v>#VALUE!</v>
      </c>
      <c r="EI655" s="1369"/>
      <c r="EJ655" s="1369"/>
      <c r="EK655" s="1369"/>
      <c r="EL655" s="1369"/>
      <c r="EM655" s="1369" t="e">
        <f t="shared" si="12"/>
        <v>#VALUE!</v>
      </c>
      <c r="EN655" s="1369"/>
      <c r="EO655" s="1369"/>
      <c r="EP655" s="1369"/>
      <c r="EQ655" s="1369"/>
      <c r="ER655" s="1369" t="e">
        <f t="shared" si="13"/>
        <v>#VALUE!</v>
      </c>
      <c r="ES655" s="1369"/>
      <c r="ET655" s="1369"/>
      <c r="EU655" s="1369"/>
      <c r="EV655" s="1369"/>
      <c r="EW655" s="1369" t="e">
        <f t="shared" si="14"/>
        <v>#VALUE!</v>
      </c>
      <c r="EX655" s="1369"/>
      <c r="EY655" s="1369"/>
      <c r="EZ655" s="1369"/>
      <c r="FA655" s="1369"/>
    </row>
    <row r="656" spans="1:157" ht="12.95" customHeight="1">
      <c r="A656" s="22"/>
      <c r="B656" t="s">
        <v>18</v>
      </c>
      <c r="H656" s="1407" t="s">
        <v>2676</v>
      </c>
      <c r="I656" s="1407"/>
      <c r="J656" s="1407"/>
      <c r="K656" s="1407"/>
      <c r="L656" s="1407"/>
      <c r="M656" s="1407"/>
      <c r="N656" s="1407"/>
      <c r="O656" s="1407"/>
      <c r="P656" s="1407"/>
      <c r="Q656" s="1407"/>
      <c r="R656" s="1407"/>
      <c r="T656" s="22"/>
      <c r="U656" t="s">
        <v>18</v>
      </c>
      <c r="AA656" s="1407" t="s">
        <v>2677</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9"/>
        <v>#VALUE!</v>
      </c>
      <c r="DY656" s="1369"/>
      <c r="DZ656" s="1369"/>
      <c r="EA656" s="1369"/>
      <c r="EB656" s="1369"/>
      <c r="EC656" s="1369" t="e">
        <f t="shared" si="10"/>
        <v>#VALUE!</v>
      </c>
      <c r="ED656" s="1369"/>
      <c r="EE656" s="1369"/>
      <c r="EF656" s="1369"/>
      <c r="EG656" s="1369"/>
      <c r="EH656" s="1369" t="e">
        <f t="shared" si="11"/>
        <v>#VALUE!</v>
      </c>
      <c r="EI656" s="1369"/>
      <c r="EJ656" s="1369"/>
      <c r="EK656" s="1369"/>
      <c r="EL656" s="1369"/>
      <c r="EM656" s="1369" t="e">
        <f t="shared" si="12"/>
        <v>#VALUE!</v>
      </c>
      <c r="EN656" s="1369"/>
      <c r="EO656" s="1369"/>
      <c r="EP656" s="1369"/>
      <c r="EQ656" s="1369"/>
      <c r="ER656" s="1369" t="e">
        <f t="shared" si="13"/>
        <v>#VALUE!</v>
      </c>
      <c r="ES656" s="1369"/>
      <c r="ET656" s="1369"/>
      <c r="EU656" s="1369"/>
      <c r="EV656" s="1369"/>
      <c r="EW656" s="1369" t="e">
        <f t="shared" si="14"/>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9"/>
        <v>#VALUE!</v>
      </c>
      <c r="DY657" s="1369"/>
      <c r="DZ657" s="1369"/>
      <c r="EA657" s="1369"/>
      <c r="EB657" s="1369"/>
      <c r="EC657" s="1369" t="e">
        <f t="shared" si="10"/>
        <v>#VALUE!</v>
      </c>
      <c r="ED657" s="1369"/>
      <c r="EE657" s="1369"/>
      <c r="EF657" s="1369"/>
      <c r="EG657" s="1369"/>
      <c r="EH657" s="1369" t="e">
        <f t="shared" si="11"/>
        <v>#VALUE!</v>
      </c>
      <c r="EI657" s="1369"/>
      <c r="EJ657" s="1369"/>
      <c r="EK657" s="1369"/>
      <c r="EL657" s="1369"/>
      <c r="EM657" s="1369" t="e">
        <f t="shared" si="12"/>
        <v>#VALUE!</v>
      </c>
      <c r="EN657" s="1369"/>
      <c r="EO657" s="1369"/>
      <c r="EP657" s="1369"/>
      <c r="EQ657" s="1369"/>
      <c r="ER657" s="1369" t="e">
        <f t="shared" si="13"/>
        <v>#VALUE!</v>
      </c>
      <c r="ES657" s="1369"/>
      <c r="ET657" s="1369"/>
      <c r="EU657" s="1369"/>
      <c r="EV657" s="1369"/>
      <c r="EW657" s="1369" t="e">
        <f t="shared" si="14"/>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9"/>
        <v>#VALUE!</v>
      </c>
      <c r="DY658" s="1369"/>
      <c r="DZ658" s="1369"/>
      <c r="EA658" s="1369"/>
      <c r="EB658" s="1369"/>
      <c r="EC658" s="1369" t="e">
        <f t="shared" si="10"/>
        <v>#VALUE!</v>
      </c>
      <c r="ED658" s="1369"/>
      <c r="EE658" s="1369"/>
      <c r="EF658" s="1369"/>
      <c r="EG658" s="1369"/>
      <c r="EH658" s="1369" t="e">
        <f t="shared" si="11"/>
        <v>#VALUE!</v>
      </c>
      <c r="EI658" s="1369"/>
      <c r="EJ658" s="1369"/>
      <c r="EK658" s="1369"/>
      <c r="EL658" s="1369"/>
      <c r="EM658" s="1369" t="e">
        <f t="shared" si="12"/>
        <v>#VALUE!</v>
      </c>
      <c r="EN658" s="1369"/>
      <c r="EO658" s="1369"/>
      <c r="EP658" s="1369"/>
      <c r="EQ658" s="1369"/>
      <c r="ER658" s="1369" t="e">
        <f t="shared" si="13"/>
        <v>#VALUE!</v>
      </c>
      <c r="ES658" s="1369"/>
      <c r="ET658" s="1369"/>
      <c r="EU658" s="1369"/>
      <c r="EV658" s="1369"/>
      <c r="EW658" s="1369" t="e">
        <f t="shared" si="14"/>
        <v>#VALUE!</v>
      </c>
      <c r="EX658" s="1369"/>
      <c r="EY658" s="1369"/>
      <c r="EZ658" s="1369"/>
      <c r="FA658" s="1369"/>
    </row>
    <row r="659" spans="1:157" ht="12.95" customHeight="1">
      <c r="A659" s="55" t="s">
        <v>764</v>
      </c>
      <c r="B659" t="s">
        <v>464</v>
      </c>
      <c r="G659" s="1485">
        <f>C631</f>
        <v>0</v>
      </c>
      <c r="H659" s="1485"/>
      <c r="I659" s="1485"/>
      <c r="J659" s="1485"/>
      <c r="K659" s="1485"/>
      <c r="L659" s="1485"/>
      <c r="M659" s="1485"/>
      <c r="N659" s="1485"/>
      <c r="O659" s="1485"/>
      <c r="P659" s="1485"/>
      <c r="Q659" s="1485"/>
      <c r="R659" s="1485"/>
      <c r="T659" s="55" t="s">
        <v>585</v>
      </c>
      <c r="U659" t="s">
        <v>464</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9"/>
        <v>#VALUE!</v>
      </c>
      <c r="DY659" s="1369"/>
      <c r="DZ659" s="1369"/>
      <c r="EA659" s="1369"/>
      <c r="EB659" s="1369"/>
      <c r="EC659" s="1369" t="e">
        <f t="shared" si="10"/>
        <v>#VALUE!</v>
      </c>
      <c r="ED659" s="1369"/>
      <c r="EE659" s="1369"/>
      <c r="EF659" s="1369"/>
      <c r="EG659" s="1369"/>
      <c r="EH659" s="1369" t="e">
        <f t="shared" si="11"/>
        <v>#VALUE!</v>
      </c>
      <c r="EI659" s="1369"/>
      <c r="EJ659" s="1369"/>
      <c r="EK659" s="1369"/>
      <c r="EL659" s="1369"/>
      <c r="EM659" s="1369" t="e">
        <f t="shared" si="12"/>
        <v>#VALUE!</v>
      </c>
      <c r="EN659" s="1369"/>
      <c r="EO659" s="1369"/>
      <c r="EP659" s="1369"/>
      <c r="EQ659" s="1369"/>
      <c r="ER659" s="1369" t="e">
        <f t="shared" si="13"/>
        <v>#VALUE!</v>
      </c>
      <c r="ES659" s="1369"/>
      <c r="ET659" s="1369"/>
      <c r="EU659" s="1369"/>
      <c r="EV659" s="1369"/>
      <c r="EW659" s="1369" t="e">
        <f t="shared" si="14"/>
        <v>#VALUE!</v>
      </c>
      <c r="EX659" s="1369"/>
      <c r="EY659" s="1369"/>
      <c r="EZ659" s="1369"/>
      <c r="FA659" s="1369"/>
    </row>
    <row r="660" spans="1:157" ht="12.95" customHeight="1">
      <c r="A660" s="22"/>
      <c r="B660" t="s">
        <v>85</v>
      </c>
      <c r="G660" s="1407" t="s">
        <v>2614</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9"/>
        <v>#VALUE!</v>
      </c>
      <c r="DY660" s="1369"/>
      <c r="DZ660" s="1369"/>
      <c r="EA660" s="1369"/>
      <c r="EB660" s="1369"/>
      <c r="EC660" s="1369" t="e">
        <f t="shared" si="10"/>
        <v>#VALUE!</v>
      </c>
      <c r="ED660" s="1369"/>
      <c r="EE660" s="1369"/>
      <c r="EF660" s="1369"/>
      <c r="EG660" s="1369"/>
      <c r="EH660" s="1369" t="e">
        <f t="shared" si="11"/>
        <v>#VALUE!</v>
      </c>
      <c r="EI660" s="1369"/>
      <c r="EJ660" s="1369"/>
      <c r="EK660" s="1369"/>
      <c r="EL660" s="1369"/>
      <c r="EM660" s="1369" t="e">
        <f t="shared" si="12"/>
        <v>#VALUE!</v>
      </c>
      <c r="EN660" s="1369"/>
      <c r="EO660" s="1369"/>
      <c r="EP660" s="1369"/>
      <c r="EQ660" s="1369"/>
      <c r="ER660" s="1369" t="e">
        <f t="shared" si="13"/>
        <v>#VALUE!</v>
      </c>
      <c r="ES660" s="1369"/>
      <c r="ET660" s="1369"/>
      <c r="EU660" s="1369"/>
      <c r="EV660" s="1369"/>
      <c r="EW660" s="1369" t="e">
        <f t="shared" si="14"/>
        <v>#VALUE!</v>
      </c>
      <c r="EX660" s="1369"/>
      <c r="EY660" s="1369"/>
      <c r="EZ660" s="1369"/>
      <c r="FA660" s="1369"/>
    </row>
    <row r="661" spans="1:157" ht="12.95" customHeight="1">
      <c r="A661" s="22"/>
      <c r="B661" t="s">
        <v>581</v>
      </c>
      <c r="G661" s="1407" t="s">
        <v>2671</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9"/>
        <v>#VALUE!</v>
      </c>
      <c r="DY661" s="1369"/>
      <c r="DZ661" s="1369"/>
      <c r="EA661" s="1369"/>
      <c r="EB661" s="1369"/>
      <c r="EC661" s="1369" t="e">
        <f t="shared" si="10"/>
        <v>#VALUE!</v>
      </c>
      <c r="ED661" s="1369"/>
      <c r="EE661" s="1369"/>
      <c r="EF661" s="1369"/>
      <c r="EG661" s="1369"/>
      <c r="EH661" s="1369" t="e">
        <f t="shared" si="11"/>
        <v>#VALUE!</v>
      </c>
      <c r="EI661" s="1369"/>
      <c r="EJ661" s="1369"/>
      <c r="EK661" s="1369"/>
      <c r="EL661" s="1369"/>
      <c r="EM661" s="1369" t="e">
        <f t="shared" si="12"/>
        <v>#VALUE!</v>
      </c>
      <c r="EN661" s="1369"/>
      <c r="EO661" s="1369"/>
      <c r="EP661" s="1369"/>
      <c r="EQ661" s="1369"/>
      <c r="ER661" s="1369" t="e">
        <f t="shared" si="13"/>
        <v>#VALUE!</v>
      </c>
      <c r="ES661" s="1369"/>
      <c r="ET661" s="1369"/>
      <c r="EU661" s="1369"/>
      <c r="EV661" s="1369"/>
      <c r="EW661" s="1369" t="e">
        <f t="shared" si="14"/>
        <v>#VALUE!</v>
      </c>
      <c r="EX661" s="1369"/>
      <c r="EY661" s="1369"/>
      <c r="EZ661" s="1369"/>
      <c r="FA661" s="1369"/>
    </row>
    <row r="662" spans="1:157" ht="12.95" customHeight="1">
      <c r="A662" s="22"/>
      <c r="B662" t="s">
        <v>17</v>
      </c>
      <c r="G662" s="1407" t="s">
        <v>2617</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9"/>
        <v>#VALUE!</v>
      </c>
      <c r="DY662" s="1369"/>
      <c r="DZ662" s="1369"/>
      <c r="EA662" s="1369"/>
      <c r="EB662" s="1369"/>
      <c r="EC662" s="1369" t="e">
        <f t="shared" si="10"/>
        <v>#VALUE!</v>
      </c>
      <c r="ED662" s="1369"/>
      <c r="EE662" s="1369"/>
      <c r="EF662" s="1369"/>
      <c r="EG662" s="1369"/>
      <c r="EH662" s="1369" t="e">
        <f t="shared" si="11"/>
        <v>#VALUE!</v>
      </c>
      <c r="EI662" s="1369"/>
      <c r="EJ662" s="1369"/>
      <c r="EK662" s="1369"/>
      <c r="EL662" s="1369"/>
      <c r="EM662" s="1369" t="e">
        <f t="shared" si="12"/>
        <v>#VALUE!</v>
      </c>
      <c r="EN662" s="1369"/>
      <c r="EO662" s="1369"/>
      <c r="EP662" s="1369"/>
      <c r="EQ662" s="1369"/>
      <c r="ER662" s="1369" t="e">
        <f t="shared" si="13"/>
        <v>#VALUE!</v>
      </c>
      <c r="ES662" s="1369"/>
      <c r="ET662" s="1369"/>
      <c r="EU662" s="1369"/>
      <c r="EV662" s="1369"/>
      <c r="EW662" s="1369" t="e">
        <f t="shared" si="14"/>
        <v>#VALUE!</v>
      </c>
      <c r="EX662" s="1369"/>
      <c r="EY662" s="1369"/>
      <c r="EZ662" s="1369"/>
      <c r="FA662" s="1369"/>
    </row>
    <row r="663" spans="1:157" ht="12.95" customHeight="1">
      <c r="A663" s="22"/>
      <c r="B663" t="s">
        <v>316</v>
      </c>
      <c r="G663" s="1489" t="s">
        <v>2618</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9"/>
        <v>#VALUE!</v>
      </c>
      <c r="DY663" s="1369"/>
      <c r="DZ663" s="1369"/>
      <c r="EA663" s="1369"/>
      <c r="EB663" s="1369"/>
      <c r="EC663" s="1369" t="e">
        <f t="shared" si="10"/>
        <v>#VALUE!</v>
      </c>
      <c r="ED663" s="1369"/>
      <c r="EE663" s="1369"/>
      <c r="EF663" s="1369"/>
      <c r="EG663" s="1369"/>
      <c r="EH663" s="1369" t="e">
        <f t="shared" si="11"/>
        <v>#VALUE!</v>
      </c>
      <c r="EI663" s="1369"/>
      <c r="EJ663" s="1369"/>
      <c r="EK663" s="1369"/>
      <c r="EL663" s="1369"/>
      <c r="EM663" s="1369" t="e">
        <f t="shared" si="12"/>
        <v>#VALUE!</v>
      </c>
      <c r="EN663" s="1369"/>
      <c r="EO663" s="1369"/>
      <c r="EP663" s="1369"/>
      <c r="EQ663" s="1369"/>
      <c r="ER663" s="1369" t="e">
        <f t="shared" si="13"/>
        <v>#VALUE!</v>
      </c>
      <c r="ES663" s="1369"/>
      <c r="ET663" s="1369"/>
      <c r="EU663" s="1369"/>
      <c r="EV663" s="1369"/>
      <c r="EW663" s="1369" t="e">
        <f t="shared" si="14"/>
        <v>#VALUE!</v>
      </c>
      <c r="EX663" s="1369"/>
      <c r="EY663" s="1369"/>
      <c r="EZ663" s="1369"/>
      <c r="FA663" s="1369"/>
    </row>
    <row r="664" spans="1:157" ht="12.95" customHeight="1">
      <c r="A664" s="22"/>
      <c r="B664" t="s">
        <v>18</v>
      </c>
      <c r="H664" s="1407" t="s">
        <v>2321</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9"/>
        <v>#VALUE!</v>
      </c>
      <c r="DY664" s="1369"/>
      <c r="DZ664" s="1369"/>
      <c r="EA664" s="1369"/>
      <c r="EB664" s="1369"/>
      <c r="EC664" s="1369" t="e">
        <f t="shared" si="10"/>
        <v>#VALUE!</v>
      </c>
      <c r="ED664" s="1369"/>
      <c r="EE664" s="1369"/>
      <c r="EF664" s="1369"/>
      <c r="EG664" s="1369"/>
      <c r="EH664" s="1369" t="e">
        <f t="shared" si="11"/>
        <v>#VALUE!</v>
      </c>
      <c r="EI664" s="1369"/>
      <c r="EJ664" s="1369"/>
      <c r="EK664" s="1369"/>
      <c r="EL664" s="1369"/>
      <c r="EM664" s="1369" t="e">
        <f t="shared" si="12"/>
        <v>#VALUE!</v>
      </c>
      <c r="EN664" s="1369"/>
      <c r="EO664" s="1369"/>
      <c r="EP664" s="1369"/>
      <c r="EQ664" s="1369"/>
      <c r="ER664" s="1369" t="e">
        <f t="shared" si="13"/>
        <v>#VALUE!</v>
      </c>
      <c r="ES664" s="1369"/>
      <c r="ET664" s="1369"/>
      <c r="EU664" s="1369"/>
      <c r="EV664" s="1369"/>
      <c r="EW664" s="1369" t="e">
        <f t="shared" si="14"/>
        <v>#VALUE!</v>
      </c>
      <c r="EX664" s="1369"/>
      <c r="EY664" s="1369"/>
      <c r="EZ664" s="1369"/>
      <c r="FA664" s="1369"/>
    </row>
    <row r="665" spans="1:157" ht="12.95" customHeight="1">
      <c r="A665" s="22"/>
      <c r="B665" t="s">
        <v>20</v>
      </c>
      <c r="N665" s="1415" t="s">
        <v>546</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9"/>
        <v>#VALUE!</v>
      </c>
      <c r="DY665" s="1369"/>
      <c r="DZ665" s="1369"/>
      <c r="EA665" s="1369"/>
      <c r="EB665" s="1369"/>
      <c r="EC665" s="1369" t="e">
        <f t="shared" si="10"/>
        <v>#VALUE!</v>
      </c>
      <c r="ED665" s="1369"/>
      <c r="EE665" s="1369"/>
      <c r="EF665" s="1369"/>
      <c r="EG665" s="1369"/>
      <c r="EH665" s="1369" t="e">
        <f t="shared" si="11"/>
        <v>#VALUE!</v>
      </c>
      <c r="EI665" s="1369"/>
      <c r="EJ665" s="1369"/>
      <c r="EK665" s="1369"/>
      <c r="EL665" s="1369"/>
      <c r="EM665" s="1369" t="e">
        <f t="shared" si="12"/>
        <v>#VALUE!</v>
      </c>
      <c r="EN665" s="1369"/>
      <c r="EO665" s="1369"/>
      <c r="EP665" s="1369"/>
      <c r="EQ665" s="1369"/>
      <c r="ER665" s="1369" t="e">
        <f t="shared" si="13"/>
        <v>#VALUE!</v>
      </c>
      <c r="ES665" s="1369"/>
      <c r="ET665" s="1369"/>
      <c r="EU665" s="1369"/>
      <c r="EV665" s="1369"/>
      <c r="EW665" s="1369" t="e">
        <f t="shared" si="14"/>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9"/>
        <v>#VALUE!</v>
      </c>
      <c r="DY666" s="1369"/>
      <c r="DZ666" s="1369"/>
      <c r="EA666" s="1369"/>
      <c r="EB666" s="1369"/>
      <c r="EC666" s="1369" t="e">
        <f t="shared" si="10"/>
        <v>#VALUE!</v>
      </c>
      <c r="ED666" s="1369"/>
      <c r="EE666" s="1369"/>
      <c r="EF666" s="1369"/>
      <c r="EG666" s="1369"/>
      <c r="EH666" s="1369" t="e">
        <f t="shared" si="11"/>
        <v>#VALUE!</v>
      </c>
      <c r="EI666" s="1369"/>
      <c r="EJ666" s="1369"/>
      <c r="EK666" s="1369"/>
      <c r="EL666" s="1369"/>
      <c r="EM666" s="1369" t="e">
        <f t="shared" si="12"/>
        <v>#VALUE!</v>
      </c>
      <c r="EN666" s="1369"/>
      <c r="EO666" s="1369"/>
      <c r="EP666" s="1369"/>
      <c r="EQ666" s="1369"/>
      <c r="ER666" s="1369" t="e">
        <f t="shared" si="13"/>
        <v>#VALUE!</v>
      </c>
      <c r="ES666" s="1369"/>
      <c r="ET666" s="1369"/>
      <c r="EU666" s="1369"/>
      <c r="EV666" s="1369"/>
      <c r="EW666" s="1369" t="e">
        <f t="shared" si="14"/>
        <v>#VALUE!</v>
      </c>
      <c r="EX666" s="1369"/>
      <c r="EY666" s="1369"/>
      <c r="EZ666" s="1369"/>
      <c r="FA666" s="1369"/>
    </row>
    <row r="667" spans="1:157" ht="12.95"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9"/>
        <v>#VALUE!</v>
      </c>
      <c r="DY667" s="1369"/>
      <c r="DZ667" s="1369"/>
      <c r="EA667" s="1369"/>
      <c r="EB667" s="1369"/>
      <c r="EC667" s="1369" t="e">
        <f t="shared" si="10"/>
        <v>#VALUE!</v>
      </c>
      <c r="ED667" s="1369"/>
      <c r="EE667" s="1369"/>
      <c r="EF667" s="1369"/>
      <c r="EG667" s="1369"/>
      <c r="EH667" s="1369" t="e">
        <f t="shared" si="11"/>
        <v>#VALUE!</v>
      </c>
      <c r="EI667" s="1369"/>
      <c r="EJ667" s="1369"/>
      <c r="EK667" s="1369"/>
      <c r="EL667" s="1369"/>
      <c r="EM667" s="1369" t="e">
        <f t="shared" si="12"/>
        <v>#VALUE!</v>
      </c>
      <c r="EN667" s="1369"/>
      <c r="EO667" s="1369"/>
      <c r="EP667" s="1369"/>
      <c r="EQ667" s="1369"/>
      <c r="ER667" s="1369" t="e">
        <f t="shared" si="13"/>
        <v>#VALUE!</v>
      </c>
      <c r="ES667" s="1369"/>
      <c r="ET667" s="1369"/>
      <c r="EU667" s="1369"/>
      <c r="EV667" s="1369"/>
      <c r="EW667" s="1369" t="e">
        <f t="shared" si="14"/>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9"/>
        <v>#VALUE!</v>
      </c>
      <c r="DY668" s="1369"/>
      <c r="DZ668" s="1369"/>
      <c r="EA668" s="1369"/>
      <c r="EB668" s="1369"/>
      <c r="EC668" s="1369" t="e">
        <f t="shared" si="10"/>
        <v>#VALUE!</v>
      </c>
      <c r="ED668" s="1369"/>
      <c r="EE668" s="1369"/>
      <c r="EF668" s="1369"/>
      <c r="EG668" s="1369"/>
      <c r="EH668" s="1369" t="e">
        <f t="shared" si="11"/>
        <v>#VALUE!</v>
      </c>
      <c r="EI668" s="1369"/>
      <c r="EJ668" s="1369"/>
      <c r="EK668" s="1369"/>
      <c r="EL668" s="1369"/>
      <c r="EM668" s="1369" t="e">
        <f t="shared" si="12"/>
        <v>#VALUE!</v>
      </c>
      <c r="EN668" s="1369"/>
      <c r="EO668" s="1369"/>
      <c r="EP668" s="1369"/>
      <c r="EQ668" s="1369"/>
      <c r="ER668" s="1369" t="e">
        <f t="shared" si="13"/>
        <v>#VALUE!</v>
      </c>
      <c r="ES668" s="1369"/>
      <c r="ET668" s="1369"/>
      <c r="EU668" s="1369"/>
      <c r="EV668" s="1369"/>
      <c r="EW668" s="1369" t="e">
        <f t="shared" si="14"/>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9"/>
        <v>#VALUE!</v>
      </c>
      <c r="DY669" s="1369"/>
      <c r="DZ669" s="1369"/>
      <c r="EA669" s="1369"/>
      <c r="EB669" s="1369"/>
      <c r="EC669" s="1369" t="e">
        <f t="shared" si="10"/>
        <v>#VALUE!</v>
      </c>
      <c r="ED669" s="1369"/>
      <c r="EE669" s="1369"/>
      <c r="EF669" s="1369"/>
      <c r="EG669" s="1369"/>
      <c r="EH669" s="1369" t="e">
        <f t="shared" si="11"/>
        <v>#VALUE!</v>
      </c>
      <c r="EI669" s="1369"/>
      <c r="EJ669" s="1369"/>
      <c r="EK669" s="1369"/>
      <c r="EL669" s="1369"/>
      <c r="EM669" s="1369" t="e">
        <f t="shared" si="12"/>
        <v>#VALUE!</v>
      </c>
      <c r="EN669" s="1369"/>
      <c r="EO669" s="1369"/>
      <c r="EP669" s="1369"/>
      <c r="EQ669" s="1369"/>
      <c r="ER669" s="1369" t="e">
        <f t="shared" si="13"/>
        <v>#VALUE!</v>
      </c>
      <c r="ES669" s="1369"/>
      <c r="ET669" s="1369"/>
      <c r="EU669" s="1369"/>
      <c r="EV669" s="1369"/>
      <c r="EW669" s="1369" t="e">
        <f t="shared" si="14"/>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1245.7878787878788</v>
      </c>
      <c r="DY670" s="1369"/>
      <c r="DZ670" s="1369"/>
      <c r="EA670" s="1369"/>
      <c r="EB670" s="1369"/>
      <c r="EC670" s="1369">
        <f>SUMIF(EC635:EG669,"&gt;0")</f>
        <v>1347.5</v>
      </c>
      <c r="ED670" s="1369"/>
      <c r="EE670" s="1369"/>
      <c r="EF670" s="1369"/>
      <c r="EG670" s="1369"/>
      <c r="EH670" s="1369">
        <f>SUMIF(EH635:EL669,"&gt;0")</f>
        <v>1617.5</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9">
        <v>45909</v>
      </c>
      <c r="AF695" s="1509"/>
      <c r="AG695" s="1509"/>
      <c r="AH695" s="1509"/>
      <c r="AI695" s="1509"/>
    </row>
    <row r="696" spans="1:67" ht="12.95" customHeight="1">
      <c r="B696" s="135"/>
      <c r="C696" s="135"/>
      <c r="D696" s="317" t="s">
        <v>984</v>
      </c>
      <c r="E696" s="135"/>
      <c r="F696" s="135"/>
      <c r="G696" s="135"/>
      <c r="H696" s="135"/>
      <c r="AE696" s="1672">
        <v>46022</v>
      </c>
      <c r="AF696" s="1672"/>
      <c r="AG696" s="1672"/>
      <c r="AH696" s="1672"/>
      <c r="AI696" s="1672"/>
    </row>
    <row r="697" spans="1:67" ht="12.95" customHeight="1">
      <c r="B697" s="135"/>
      <c r="C697" s="135"/>
    </row>
    <row r="698" spans="1:67" ht="12.95" customHeight="1">
      <c r="B698" s="135"/>
      <c r="C698" s="135"/>
      <c r="D698" s="136" t="s">
        <v>817</v>
      </c>
      <c r="E698" s="135"/>
      <c r="F698" s="135"/>
      <c r="G698" s="135"/>
      <c r="H698" s="135"/>
      <c r="AE698" s="1509">
        <v>46172</v>
      </c>
      <c r="AF698" s="1509"/>
      <c r="AG698" s="1509"/>
      <c r="AH698" s="1509"/>
      <c r="AI698" s="1509"/>
    </row>
    <row r="699" spans="1:67" ht="12.95" customHeight="1">
      <c r="B699" s="135"/>
      <c r="C699" s="135"/>
      <c r="D699" s="136" t="s">
        <v>436</v>
      </c>
      <c r="E699" s="135"/>
      <c r="F699" s="135"/>
      <c r="G699" s="135"/>
      <c r="H699" s="135"/>
      <c r="AE699" s="1692">
        <f>AO627/('Sources and Uses Budget'!S107+'Sources and Uses Budget'!T107+1120000)</f>
        <v>0.29009982141454993</v>
      </c>
      <c r="AF699" s="1692"/>
      <c r="AG699" s="1692"/>
      <c r="AH699" s="1692"/>
      <c r="AI699" s="1692"/>
    </row>
    <row r="700" spans="1:67" ht="12.9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546</v>
      </c>
      <c r="AF702" s="1415"/>
      <c r="AZ702" s="4" t="s">
        <v>324</v>
      </c>
    </row>
    <row r="703" spans="1:67" ht="12.95" customHeight="1">
      <c r="B703" s="135"/>
      <c r="C703" s="135"/>
      <c r="D703" s="136" t="s">
        <v>443</v>
      </c>
      <c r="E703" s="135"/>
      <c r="F703" s="135"/>
      <c r="G703" s="135"/>
      <c r="H703" s="135"/>
      <c r="W703" s="1521" t="s">
        <v>2679</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521" t="s">
        <v>2672</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51" t="s">
        <v>2673</v>
      </c>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300</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521" t="s">
        <v>2680</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4" t="s">
        <v>1680</v>
      </c>
      <c r="L714" s="1515"/>
      <c r="M714" s="1515"/>
      <c r="N714" s="1516"/>
      <c r="O714" s="1496" t="s">
        <v>448</v>
      </c>
      <c r="P714" s="1497"/>
      <c r="Q714" s="1497"/>
      <c r="R714" s="1497"/>
      <c r="S714" s="1498"/>
      <c r="T714" s="1510" t="s">
        <v>1950</v>
      </c>
      <c r="U714" s="1497"/>
      <c r="V714" s="1497"/>
      <c r="W714" s="1498"/>
      <c r="X714" s="1510" t="s">
        <v>1952</v>
      </c>
      <c r="Y714" s="1497"/>
      <c r="Z714" s="1497"/>
      <c r="AA714" s="1497"/>
      <c r="AB714" s="1498"/>
      <c r="AC714" s="1510" t="s">
        <v>1951</v>
      </c>
      <c r="AD714" s="1497"/>
      <c r="AE714" s="1497"/>
      <c r="AF714" s="1497"/>
      <c r="AG714" s="1498"/>
      <c r="AH714" s="1510" t="s">
        <v>1953</v>
      </c>
      <c r="AI714" s="1497"/>
      <c r="AJ714" s="1498"/>
      <c r="AK714" s="1510"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802" t="s">
        <v>634</v>
      </c>
      <c r="CQ717" s="1803"/>
      <c r="CR717" s="1803"/>
      <c r="CS717" s="1803"/>
      <c r="CT717" s="1804"/>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17</v>
      </c>
      <c r="H718" s="1365"/>
      <c r="I718" s="1365"/>
      <c r="J718" s="1366"/>
      <c r="K718" s="1611">
        <v>536</v>
      </c>
      <c r="L718" s="1612"/>
      <c r="M718" s="1612"/>
      <c r="N718" s="1613"/>
      <c r="O718" s="1470">
        <v>839</v>
      </c>
      <c r="P718" s="1471"/>
      <c r="Q718" s="1471"/>
      <c r="R718" s="1471"/>
      <c r="S718" s="1472"/>
      <c r="T718" s="1470">
        <v>0</v>
      </c>
      <c r="U718" s="1471"/>
      <c r="V718" s="1471"/>
      <c r="W718" s="1472"/>
      <c r="X718" s="1358">
        <f t="shared" ref="X718:X741" si="15">O718+T718</f>
        <v>839</v>
      </c>
      <c r="Y718" s="1359"/>
      <c r="Z718" s="1359"/>
      <c r="AA718" s="1359"/>
      <c r="AB718" s="1360"/>
      <c r="AC718" s="1620">
        <v>0.3</v>
      </c>
      <c r="AD718" s="1621"/>
      <c r="AE718" s="1621"/>
      <c r="AF718" s="1621"/>
      <c r="AG718" s="1622"/>
      <c r="AH718" s="1361">
        <f>IF($AC718&gt;0,($X718/$AZ718), "")</f>
        <v>0.30007153075822601</v>
      </c>
      <c r="AI718" s="1362"/>
      <c r="AJ718" s="1363"/>
      <c r="AK718" s="1355" t="s">
        <v>592</v>
      </c>
      <c r="AL718" s="1356"/>
      <c r="AM718" s="1356"/>
      <c r="AN718" s="1356"/>
      <c r="AO718" s="1357"/>
      <c r="AP718" s="3"/>
      <c r="AQ718" s="3"/>
      <c r="AR718" s="3"/>
      <c r="AS718" s="3"/>
      <c r="AZ718" s="118">
        <f t="shared" ref="AZ718:AZ752" si="16">IF($G718=0,"N/A",VLOOKUP($T$189,TC_Rent,(MATCH($B718,bedrooms,FALSE)),FALSE))</f>
        <v>2796</v>
      </c>
      <c r="BA718" s="3"/>
      <c r="BB718" s="3"/>
      <c r="BC718" s="3"/>
      <c r="BD718" s="3"/>
      <c r="BE718" s="204"/>
      <c r="BF718" s="293">
        <f t="shared" ref="BF718:BF752" si="17">G718</f>
        <v>17</v>
      </c>
      <c r="BG718" s="297">
        <f t="shared" ref="BG718:BG752" si="18">IF($BF$753=0,0,BF718/$BF$753)</f>
        <v>7.4235807860262015E-2</v>
      </c>
      <c r="BH718" s="298">
        <f t="shared" ref="BH718:BH752" si="19">IF(BG718=0,"",BG718*AC718)</f>
        <v>2.2270742358078605E-2</v>
      </c>
      <c r="BI718" s="3"/>
      <c r="BJ718" s="3"/>
      <c r="BK718" s="3"/>
      <c r="BL718" s="3"/>
      <c r="BM718" s="3"/>
      <c r="BN718" s="3"/>
      <c r="BS718" s="293">
        <f t="shared" ref="BS718:BS752" si="20">G718</f>
        <v>17</v>
      </c>
      <c r="BT718" s="297">
        <f t="shared" ref="BT718:BT752" si="21">IF($BS$753=0,0,BS718/$BS$753)</f>
        <v>7.4235807860262015E-2</v>
      </c>
      <c r="BU718" s="298">
        <f t="shared" ref="BU718:BU752" si="22">IF(BT718=0,"",BT718*AH718)</f>
        <v>2.2276052501702368E-2</v>
      </c>
      <c r="CC718" s="3"/>
      <c r="CD718" s="3"/>
      <c r="CE718" s="3"/>
      <c r="CF718" s="3"/>
      <c r="CG718" s="1351">
        <f>IF(AND(AC718&lt;=0.5,AC718&gt;=0.36),1,0)</f>
        <v>0</v>
      </c>
      <c r="CH718" s="1353"/>
      <c r="CI718" s="1335">
        <f>IF(CG718=1,G718,0)</f>
        <v>0</v>
      </c>
      <c r="CJ718" s="1337"/>
      <c r="CK718" s="1351">
        <f t="shared" ref="CK718:CK752" si="23">IF(AND(AC718&lt;=0.35,AC718&gt;0),1,0)</f>
        <v>1</v>
      </c>
      <c r="CL718" s="1353"/>
      <c r="CM718" s="1335">
        <f t="shared" ref="CM718:CM752" si="24">IF(CK718=1,G718,0)</f>
        <v>17</v>
      </c>
      <c r="CN718" s="1337"/>
      <c r="CO718" s="3"/>
      <c r="CP718" s="1332">
        <f t="shared" ref="CP718:CP752" si="25">IF(B718="SRO/Studio",G718,0)</f>
        <v>17</v>
      </c>
      <c r="CQ718" s="1333"/>
      <c r="CR718" s="1333"/>
      <c r="CS718" s="1333"/>
      <c r="CT718" s="1334"/>
      <c r="CU718" s="1354">
        <f t="shared" ref="CU718:CU752" si="26">IF(B718="1 Bedroom",G718,0)</f>
        <v>0</v>
      </c>
      <c r="CV718" s="1354"/>
      <c r="CW718" s="1354"/>
      <c r="CX718" s="1354"/>
      <c r="CY718" s="1354"/>
      <c r="CZ718" s="1354">
        <f t="shared" ref="CZ718:CZ752" si="27">IF(B718="2 Bedrooms",G718,0)</f>
        <v>0</v>
      </c>
      <c r="DA718" s="1354"/>
      <c r="DB718" s="1354"/>
      <c r="DC718" s="1354"/>
      <c r="DD718" s="1354"/>
      <c r="DE718" s="1354">
        <f t="shared" ref="DE718:DE752" si="28">IF(B718="3 Bedrooms",G718,0)</f>
        <v>0</v>
      </c>
      <c r="DF718" s="1354"/>
      <c r="DG718" s="1354"/>
      <c r="DH718" s="1354"/>
      <c r="DI718" s="1354"/>
      <c r="DJ718" s="1354">
        <f t="shared" ref="DJ718:DJ752" si="29">IF(B718="4 Bedrooms",G718,0)</f>
        <v>0</v>
      </c>
      <c r="DK718" s="1354"/>
      <c r="DL718" s="1354"/>
      <c r="DM718" s="1354"/>
      <c r="DN718" s="1354"/>
      <c r="DO718" s="1354">
        <f t="shared" ref="DO718:DO752" si="30">IF(B718="5 Bedrooms",G718,0)</f>
        <v>0</v>
      </c>
      <c r="DP718" s="1354"/>
      <c r="DQ718" s="1354"/>
      <c r="DR718" s="1354"/>
      <c r="DS718" s="1354"/>
      <c r="DT718" s="6"/>
      <c r="DU718" s="1368">
        <f t="shared" ref="DU718:DU752" si="31">IF(AND(B718="SRO/Studio",AC718&lt;=0.3),G718,0)</f>
        <v>17</v>
      </c>
      <c r="DV718" s="1368"/>
      <c r="DW718" s="1368"/>
      <c r="DX718" s="1368"/>
      <c r="DY718" s="1368"/>
      <c r="DZ718" s="1368">
        <f t="shared" ref="DZ718:DZ752" si="32">IF(AND(B718="1 Bedroom",AC718&lt;=0.3),G718,0)</f>
        <v>0</v>
      </c>
      <c r="EA718" s="1368"/>
      <c r="EB718" s="1368"/>
      <c r="EC718" s="1368"/>
      <c r="ED718" s="1368"/>
      <c r="EE718" s="1368">
        <f t="shared" ref="EE718:EE752" si="33">IF(AND(B718="2 Bedrooms",AC718&lt;=0.3),G718,0)</f>
        <v>0</v>
      </c>
      <c r="EF718" s="1368"/>
      <c r="EG718" s="1368"/>
      <c r="EH718" s="1368"/>
      <c r="EI718" s="1368"/>
      <c r="EJ718" s="1368">
        <f t="shared" ref="EJ718:EJ752" si="34">IF(AND(B718="3 Bedrooms",AC718&lt;=0.3),G718,0)</f>
        <v>0</v>
      </c>
      <c r="EK718" s="1368"/>
      <c r="EL718" s="1368"/>
      <c r="EM718" s="1368"/>
      <c r="EN718" s="1368"/>
      <c r="EO718" s="1368">
        <f t="shared" ref="EO718:EO752" si="35">IF(AND(B718="4 Bedrooms",AC718&lt;=0.3),G718,0)</f>
        <v>0</v>
      </c>
      <c r="EP718" s="1368"/>
      <c r="EQ718" s="1368"/>
      <c r="ER718" s="1368"/>
      <c r="ES718" s="1368"/>
      <c r="ET718" s="1368">
        <f t="shared" ref="ET718:ET752" si="36">IF(AND(B718="5 Bedrooms",AC718&lt;=0.3),G718,0)</f>
        <v>0</v>
      </c>
      <c r="EU718" s="1368"/>
      <c r="EV718" s="1368"/>
      <c r="EW718" s="1368"/>
      <c r="EX718" s="1368"/>
      <c r="EY718" s="4"/>
      <c r="EZ718" s="1351">
        <f t="shared" ref="EZ718:EZ752" si="37">IF(CP718&gt;0,O718,"")</f>
        <v>839</v>
      </c>
      <c r="FA718" s="1352"/>
      <c r="FB718" s="1352"/>
      <c r="FC718" s="1352"/>
      <c r="FD718" s="1353"/>
      <c r="FE718" s="1351" t="str">
        <f t="shared" ref="FE718:FE752" si="38">IF(CU718&gt;0,O718,"")</f>
        <v/>
      </c>
      <c r="FF718" s="1352"/>
      <c r="FG718" s="1352"/>
      <c r="FH718" s="1352"/>
      <c r="FI718" s="1353"/>
      <c r="FJ718" s="1351" t="str">
        <f t="shared" ref="FJ718:FJ752" si="39">IF(CZ718&gt;0,O718,"")</f>
        <v/>
      </c>
      <c r="FK718" s="1352"/>
      <c r="FL718" s="1352"/>
      <c r="FM718" s="1352"/>
      <c r="FN718" s="1353"/>
      <c r="FO718" s="1351" t="str">
        <f t="shared" ref="FO718:FO752" si="40">IF(DE718&gt;0,O718,"")</f>
        <v/>
      </c>
      <c r="FP718" s="1352"/>
      <c r="FQ718" s="1352"/>
      <c r="FR718" s="1352"/>
      <c r="FS718" s="1353"/>
      <c r="FT718" s="1351" t="str">
        <f t="shared" ref="FT718:FT752" si="41">IF(DJ718&gt;0,O718,"")</f>
        <v/>
      </c>
      <c r="FU718" s="1352"/>
      <c r="FV718" s="1352"/>
      <c r="FW718" s="1352"/>
      <c r="FX718" s="1353"/>
      <c r="FY718" s="1351" t="str">
        <f t="shared" ref="FY718:FY752" si="42">IF(DO718&gt;0,O718,"")</f>
        <v/>
      </c>
      <c r="FZ718" s="1352"/>
      <c r="GA718" s="1352"/>
      <c r="GB718" s="1352"/>
      <c r="GC718" s="1353"/>
    </row>
    <row r="719" spans="1:185" ht="12.95" customHeight="1">
      <c r="A719" s="4"/>
      <c r="B719" s="1355" t="s">
        <v>324</v>
      </c>
      <c r="C719" s="1356"/>
      <c r="D719" s="1356"/>
      <c r="E719" s="1356"/>
      <c r="F719" s="1357"/>
      <c r="G719" s="1364">
        <v>16</v>
      </c>
      <c r="H719" s="1365"/>
      <c r="I719" s="1365"/>
      <c r="J719" s="1366"/>
      <c r="K719" s="1611">
        <v>396</v>
      </c>
      <c r="L719" s="1612"/>
      <c r="M719" s="1612"/>
      <c r="N719" s="1613"/>
      <c r="O719" s="1470">
        <v>1678</v>
      </c>
      <c r="P719" s="1471"/>
      <c r="Q719" s="1471"/>
      <c r="R719" s="1471"/>
      <c r="S719" s="1472"/>
      <c r="T719" s="1470">
        <v>0</v>
      </c>
      <c r="U719" s="1471"/>
      <c r="V719" s="1471"/>
      <c r="W719" s="1472"/>
      <c r="X719" s="1358">
        <f t="shared" si="15"/>
        <v>1678</v>
      </c>
      <c r="Y719" s="1359"/>
      <c r="Z719" s="1359"/>
      <c r="AA719" s="1359"/>
      <c r="AB719" s="1360"/>
      <c r="AC719" s="1620">
        <v>0.6</v>
      </c>
      <c r="AD719" s="1621"/>
      <c r="AE719" s="1621"/>
      <c r="AF719" s="1621"/>
      <c r="AG719" s="1622"/>
      <c r="AH719" s="1361">
        <f t="shared" ref="AH719:AH752" si="43">IF($AC719&gt;0,($X719/$AZ719), "")</f>
        <v>0.60014306151645203</v>
      </c>
      <c r="AI719" s="1362"/>
      <c r="AJ719" s="1363"/>
      <c r="AK719" s="1355" t="s">
        <v>592</v>
      </c>
      <c r="AL719" s="1356"/>
      <c r="AM719" s="1356"/>
      <c r="AN719" s="1356"/>
      <c r="AO719" s="1357"/>
      <c r="AP719" s="3"/>
      <c r="AQ719" s="3"/>
      <c r="AR719" s="3"/>
      <c r="AS719" s="3"/>
      <c r="AZ719" s="118">
        <f t="shared" si="16"/>
        <v>2796</v>
      </c>
      <c r="BA719" s="3"/>
      <c r="BB719" s="3"/>
      <c r="BC719" s="3"/>
      <c r="BD719" s="3"/>
      <c r="BE719" s="204"/>
      <c r="BF719" s="294">
        <f t="shared" si="17"/>
        <v>16</v>
      </c>
      <c r="BG719" s="297">
        <f t="shared" si="18"/>
        <v>6.9868995633187769E-2</v>
      </c>
      <c r="BH719" s="298">
        <f t="shared" si="19"/>
        <v>4.1921397379912663E-2</v>
      </c>
      <c r="BI719" s="3"/>
      <c r="BJ719" s="3"/>
      <c r="BK719" s="3"/>
      <c r="BL719" s="3"/>
      <c r="BM719" s="3"/>
      <c r="BN719" s="3"/>
      <c r="BS719" s="294">
        <f t="shared" si="20"/>
        <v>16</v>
      </c>
      <c r="BT719" s="297">
        <f t="shared" si="21"/>
        <v>6.9868995633187769E-2</v>
      </c>
      <c r="BU719" s="298">
        <f t="shared" si="22"/>
        <v>4.1931392944380926E-2</v>
      </c>
      <c r="CC719" s="3"/>
      <c r="CD719" s="3"/>
      <c r="CE719" s="3"/>
      <c r="CF719" s="3"/>
      <c r="CG719" s="1351">
        <f t="shared" ref="CG719:CG752" si="44">IF(AND(AC719&lt;=0.5,AC719&gt;=0.36),1,0)</f>
        <v>0</v>
      </c>
      <c r="CH719" s="1353"/>
      <c r="CI719" s="1335">
        <f t="shared" ref="CI719:CI752" si="45">IF(CG719=1,G719,0)</f>
        <v>0</v>
      </c>
      <c r="CJ719" s="1337"/>
      <c r="CK719" s="1351">
        <f t="shared" si="23"/>
        <v>0</v>
      </c>
      <c r="CL719" s="1353"/>
      <c r="CM719" s="1335">
        <f t="shared" si="24"/>
        <v>0</v>
      </c>
      <c r="CN719" s="1337"/>
      <c r="CO719" s="3"/>
      <c r="CP719" s="1332">
        <f t="shared" si="25"/>
        <v>16</v>
      </c>
      <c r="CQ719" s="1333"/>
      <c r="CR719" s="1333"/>
      <c r="CS719" s="1333"/>
      <c r="CT719" s="1334"/>
      <c r="CU719" s="1354">
        <f t="shared" si="26"/>
        <v>0</v>
      </c>
      <c r="CV719" s="1354"/>
      <c r="CW719" s="1354"/>
      <c r="CX719" s="1354"/>
      <c r="CY719" s="1354"/>
      <c r="CZ719" s="1354">
        <f t="shared" si="27"/>
        <v>0</v>
      </c>
      <c r="DA719" s="1354"/>
      <c r="DB719" s="1354"/>
      <c r="DC719" s="1354"/>
      <c r="DD719" s="1354"/>
      <c r="DE719" s="1354">
        <f t="shared" si="28"/>
        <v>0</v>
      </c>
      <c r="DF719" s="1354"/>
      <c r="DG719" s="1354"/>
      <c r="DH719" s="1354"/>
      <c r="DI719" s="1354"/>
      <c r="DJ719" s="1354">
        <f t="shared" si="29"/>
        <v>0</v>
      </c>
      <c r="DK719" s="1354"/>
      <c r="DL719" s="1354"/>
      <c r="DM719" s="1354"/>
      <c r="DN719" s="1354"/>
      <c r="DO719" s="1354">
        <f t="shared" si="30"/>
        <v>0</v>
      </c>
      <c r="DP719" s="1354"/>
      <c r="DQ719" s="1354"/>
      <c r="DR719" s="1354"/>
      <c r="DS719" s="1354"/>
      <c r="DT719" s="6"/>
      <c r="DU719" s="1368">
        <f t="shared" si="31"/>
        <v>0</v>
      </c>
      <c r="DV719" s="1368"/>
      <c r="DW719" s="1368"/>
      <c r="DX719" s="1368"/>
      <c r="DY719" s="1368"/>
      <c r="DZ719" s="1368">
        <f t="shared" si="32"/>
        <v>0</v>
      </c>
      <c r="EA719" s="1368"/>
      <c r="EB719" s="1368"/>
      <c r="EC719" s="1368"/>
      <c r="ED719" s="1368"/>
      <c r="EE719" s="1368">
        <f t="shared" si="33"/>
        <v>0</v>
      </c>
      <c r="EF719" s="1368"/>
      <c r="EG719" s="1368"/>
      <c r="EH719" s="1368"/>
      <c r="EI719" s="1368"/>
      <c r="EJ719" s="1368">
        <f t="shared" si="34"/>
        <v>0</v>
      </c>
      <c r="EK719" s="1368"/>
      <c r="EL719" s="1368"/>
      <c r="EM719" s="1368"/>
      <c r="EN719" s="1368"/>
      <c r="EO719" s="1368">
        <f t="shared" si="35"/>
        <v>0</v>
      </c>
      <c r="EP719" s="1368"/>
      <c r="EQ719" s="1368"/>
      <c r="ER719" s="1368"/>
      <c r="ES719" s="1368"/>
      <c r="ET719" s="1368">
        <f t="shared" si="36"/>
        <v>0</v>
      </c>
      <c r="EU719" s="1368"/>
      <c r="EV719" s="1368"/>
      <c r="EW719" s="1368"/>
      <c r="EX719" s="1368"/>
      <c r="EY719" s="4"/>
      <c r="EZ719" s="1351">
        <f t="shared" si="37"/>
        <v>1678</v>
      </c>
      <c r="FA719" s="1352"/>
      <c r="FB719" s="1352"/>
      <c r="FC719" s="1352"/>
      <c r="FD719" s="1353"/>
      <c r="FE719" s="1351" t="str">
        <f t="shared" si="38"/>
        <v/>
      </c>
      <c r="FF719" s="1352"/>
      <c r="FG719" s="1352"/>
      <c r="FH719" s="1352"/>
      <c r="FI719" s="1353"/>
      <c r="FJ719" s="1351" t="str">
        <f t="shared" si="39"/>
        <v/>
      </c>
      <c r="FK719" s="1352"/>
      <c r="FL719" s="1352"/>
      <c r="FM719" s="1352"/>
      <c r="FN719" s="1353"/>
      <c r="FO719" s="1351" t="str">
        <f t="shared" si="40"/>
        <v/>
      </c>
      <c r="FP719" s="1352"/>
      <c r="FQ719" s="1352"/>
      <c r="FR719" s="1352"/>
      <c r="FS719" s="1353"/>
      <c r="FT719" s="1351" t="str">
        <f t="shared" si="41"/>
        <v/>
      </c>
      <c r="FU719" s="1352"/>
      <c r="FV719" s="1352"/>
      <c r="FW719" s="1352"/>
      <c r="FX719" s="1353"/>
      <c r="FY719" s="1351" t="str">
        <f t="shared" si="42"/>
        <v/>
      </c>
      <c r="FZ719" s="1352"/>
      <c r="GA719" s="1352"/>
      <c r="GB719" s="1352"/>
      <c r="GC719" s="1353"/>
    </row>
    <row r="720" spans="1:185" ht="12.95" customHeight="1">
      <c r="A720" s="4"/>
      <c r="B720" s="1355" t="s">
        <v>325</v>
      </c>
      <c r="C720" s="1356"/>
      <c r="D720" s="1356"/>
      <c r="E720" s="1356"/>
      <c r="F720" s="1357"/>
      <c r="G720" s="1364">
        <v>33</v>
      </c>
      <c r="H720" s="1365"/>
      <c r="I720" s="1365"/>
      <c r="J720" s="1366"/>
      <c r="K720" s="1611">
        <v>532</v>
      </c>
      <c r="L720" s="1612"/>
      <c r="M720" s="1612"/>
      <c r="N720" s="1613"/>
      <c r="O720" s="1470">
        <v>898</v>
      </c>
      <c r="P720" s="1471"/>
      <c r="Q720" s="1471"/>
      <c r="R720" s="1471"/>
      <c r="S720" s="1472"/>
      <c r="T720" s="1470">
        <v>0</v>
      </c>
      <c r="U720" s="1471"/>
      <c r="V720" s="1471"/>
      <c r="W720" s="1472"/>
      <c r="X720" s="1358">
        <f t="shared" si="15"/>
        <v>898</v>
      </c>
      <c r="Y720" s="1359"/>
      <c r="Z720" s="1359"/>
      <c r="AA720" s="1359"/>
      <c r="AB720" s="1360"/>
      <c r="AC720" s="1620">
        <v>0.3</v>
      </c>
      <c r="AD720" s="1621"/>
      <c r="AE720" s="1621"/>
      <c r="AF720" s="1621"/>
      <c r="AG720" s="1622"/>
      <c r="AH720" s="1361">
        <f t="shared" si="43"/>
        <v>0.29973297730307075</v>
      </c>
      <c r="AI720" s="1362"/>
      <c r="AJ720" s="1363"/>
      <c r="AK720" s="1355" t="s">
        <v>592</v>
      </c>
      <c r="AL720" s="1356"/>
      <c r="AM720" s="1356"/>
      <c r="AN720" s="1356"/>
      <c r="AO720" s="1357"/>
      <c r="AP720" s="3"/>
      <c r="AQ720" s="3"/>
      <c r="AR720" s="3"/>
      <c r="AS720" s="3"/>
      <c r="AZ720" s="118">
        <f t="shared" si="16"/>
        <v>2996</v>
      </c>
      <c r="BA720" s="3"/>
      <c r="BB720" s="3"/>
      <c r="BC720" s="3"/>
      <c r="BD720" s="3"/>
      <c r="BE720" s="204"/>
      <c r="BF720" s="294">
        <f t="shared" si="17"/>
        <v>33</v>
      </c>
      <c r="BG720" s="297">
        <f t="shared" si="18"/>
        <v>0.14410480349344978</v>
      </c>
      <c r="BH720" s="298">
        <f t="shared" si="19"/>
        <v>4.3231441048034933E-2</v>
      </c>
      <c r="BI720" s="3"/>
      <c r="BJ720" s="3"/>
      <c r="BK720" s="3"/>
      <c r="BL720" s="3"/>
      <c r="BM720" s="3"/>
      <c r="BN720" s="3"/>
      <c r="BS720" s="294">
        <f t="shared" si="20"/>
        <v>33</v>
      </c>
      <c r="BT720" s="297">
        <f t="shared" si="21"/>
        <v>0.14410480349344978</v>
      </c>
      <c r="BU720" s="298">
        <f t="shared" si="22"/>
        <v>4.3192961794765651E-2</v>
      </c>
      <c r="CC720" s="3"/>
      <c r="CD720" s="3"/>
      <c r="CE720" s="3"/>
      <c r="CF720" s="3"/>
      <c r="CG720" s="1351">
        <f t="shared" si="44"/>
        <v>0</v>
      </c>
      <c r="CH720" s="1353"/>
      <c r="CI720" s="1335">
        <f t="shared" si="45"/>
        <v>0</v>
      </c>
      <c r="CJ720" s="1337"/>
      <c r="CK720" s="1351">
        <f t="shared" si="23"/>
        <v>1</v>
      </c>
      <c r="CL720" s="1353"/>
      <c r="CM720" s="1335">
        <f t="shared" si="24"/>
        <v>33</v>
      </c>
      <c r="CN720" s="1337"/>
      <c r="CO720" s="3"/>
      <c r="CP720" s="1332">
        <f t="shared" si="25"/>
        <v>0</v>
      </c>
      <c r="CQ720" s="1333"/>
      <c r="CR720" s="1333"/>
      <c r="CS720" s="1333"/>
      <c r="CT720" s="1334"/>
      <c r="CU720" s="1354">
        <f t="shared" si="26"/>
        <v>33</v>
      </c>
      <c r="CV720" s="1354"/>
      <c r="CW720" s="1354"/>
      <c r="CX720" s="1354"/>
      <c r="CY720" s="1354"/>
      <c r="CZ720" s="1354">
        <f t="shared" si="27"/>
        <v>0</v>
      </c>
      <c r="DA720" s="1354"/>
      <c r="DB720" s="1354"/>
      <c r="DC720" s="1354"/>
      <c r="DD720" s="1354"/>
      <c r="DE720" s="1354">
        <f t="shared" si="28"/>
        <v>0</v>
      </c>
      <c r="DF720" s="1354"/>
      <c r="DG720" s="1354"/>
      <c r="DH720" s="1354"/>
      <c r="DI720" s="1354"/>
      <c r="DJ720" s="1354">
        <f t="shared" si="29"/>
        <v>0</v>
      </c>
      <c r="DK720" s="1354"/>
      <c r="DL720" s="1354"/>
      <c r="DM720" s="1354"/>
      <c r="DN720" s="1354"/>
      <c r="DO720" s="1354">
        <f t="shared" si="30"/>
        <v>0</v>
      </c>
      <c r="DP720" s="1354"/>
      <c r="DQ720" s="1354"/>
      <c r="DR720" s="1354"/>
      <c r="DS720" s="1354"/>
      <c r="DT720" s="6"/>
      <c r="DU720" s="1368">
        <f t="shared" si="31"/>
        <v>0</v>
      </c>
      <c r="DV720" s="1368"/>
      <c r="DW720" s="1368"/>
      <c r="DX720" s="1368"/>
      <c r="DY720" s="1368"/>
      <c r="DZ720" s="1368">
        <f t="shared" si="32"/>
        <v>33</v>
      </c>
      <c r="EA720" s="1368"/>
      <c r="EB720" s="1368"/>
      <c r="EC720" s="1368"/>
      <c r="ED720" s="1368"/>
      <c r="EE720" s="1368">
        <f t="shared" si="33"/>
        <v>0</v>
      </c>
      <c r="EF720" s="1368"/>
      <c r="EG720" s="1368"/>
      <c r="EH720" s="1368"/>
      <c r="EI720" s="1368"/>
      <c r="EJ720" s="1368">
        <f t="shared" si="34"/>
        <v>0</v>
      </c>
      <c r="EK720" s="1368"/>
      <c r="EL720" s="1368"/>
      <c r="EM720" s="1368"/>
      <c r="EN720" s="1368"/>
      <c r="EO720" s="1368">
        <f t="shared" si="35"/>
        <v>0</v>
      </c>
      <c r="EP720" s="1368"/>
      <c r="EQ720" s="1368"/>
      <c r="ER720" s="1368"/>
      <c r="ES720" s="1368"/>
      <c r="ET720" s="1368">
        <f t="shared" si="36"/>
        <v>0</v>
      </c>
      <c r="EU720" s="1368"/>
      <c r="EV720" s="1368"/>
      <c r="EW720" s="1368"/>
      <c r="EX720" s="1368"/>
      <c r="EZ720" s="1351" t="str">
        <f t="shared" si="37"/>
        <v/>
      </c>
      <c r="FA720" s="1352"/>
      <c r="FB720" s="1352"/>
      <c r="FC720" s="1352"/>
      <c r="FD720" s="1353"/>
      <c r="FE720" s="1351">
        <f t="shared" si="38"/>
        <v>898</v>
      </c>
      <c r="FF720" s="1352"/>
      <c r="FG720" s="1352"/>
      <c r="FH720" s="1352"/>
      <c r="FI720" s="1353"/>
      <c r="FJ720" s="1351" t="str">
        <f t="shared" si="39"/>
        <v/>
      </c>
      <c r="FK720" s="1352"/>
      <c r="FL720" s="1352"/>
      <c r="FM720" s="1352"/>
      <c r="FN720" s="1353"/>
      <c r="FO720" s="1351" t="str">
        <f t="shared" si="40"/>
        <v/>
      </c>
      <c r="FP720" s="1352"/>
      <c r="FQ720" s="1352"/>
      <c r="FR720" s="1352"/>
      <c r="FS720" s="1353"/>
      <c r="FT720" s="1351" t="str">
        <f t="shared" si="41"/>
        <v/>
      </c>
      <c r="FU720" s="1352"/>
      <c r="FV720" s="1352"/>
      <c r="FW720" s="1352"/>
      <c r="FX720" s="1353"/>
      <c r="FY720" s="1351" t="str">
        <f t="shared" si="42"/>
        <v/>
      </c>
      <c r="FZ720" s="1352"/>
      <c r="GA720" s="1352"/>
      <c r="GB720" s="1352"/>
      <c r="GC720" s="1353"/>
    </row>
    <row r="721" spans="1:185" ht="12.95" customHeight="1">
      <c r="B721" s="1355" t="s">
        <v>325</v>
      </c>
      <c r="C721" s="1356"/>
      <c r="D721" s="1356"/>
      <c r="E721" s="1356"/>
      <c r="F721" s="1357"/>
      <c r="G721" s="1364">
        <v>33</v>
      </c>
      <c r="H721" s="1365"/>
      <c r="I721" s="1365"/>
      <c r="J721" s="1366"/>
      <c r="K721" s="1611">
        <v>566</v>
      </c>
      <c r="L721" s="1612"/>
      <c r="M721" s="1612"/>
      <c r="N721" s="1613"/>
      <c r="O721" s="1470">
        <v>1797</v>
      </c>
      <c r="P721" s="1471"/>
      <c r="Q721" s="1471"/>
      <c r="R721" s="1471"/>
      <c r="S721" s="1472"/>
      <c r="T721" s="1470">
        <v>0</v>
      </c>
      <c r="U721" s="1471"/>
      <c r="V721" s="1471"/>
      <c r="W721" s="1472"/>
      <c r="X721" s="1358">
        <f t="shared" si="15"/>
        <v>1797</v>
      </c>
      <c r="Y721" s="1359"/>
      <c r="Z721" s="1359"/>
      <c r="AA721" s="1359"/>
      <c r="AB721" s="1360"/>
      <c r="AC721" s="1620">
        <v>0.6</v>
      </c>
      <c r="AD721" s="1621"/>
      <c r="AE721" s="1621"/>
      <c r="AF721" s="1621"/>
      <c r="AG721" s="1622"/>
      <c r="AH721" s="1361">
        <f t="shared" si="43"/>
        <v>0.59979973297730305</v>
      </c>
      <c r="AI721" s="1362"/>
      <c r="AJ721" s="1363"/>
      <c r="AK721" s="1355" t="s">
        <v>592</v>
      </c>
      <c r="AL721" s="1356"/>
      <c r="AM721" s="1356"/>
      <c r="AN721" s="1356"/>
      <c r="AO721" s="1357"/>
      <c r="AP721" s="3"/>
      <c r="AQ721" s="3"/>
      <c r="AR721" s="3"/>
      <c r="AS721" s="3"/>
      <c r="AY721" s="116"/>
      <c r="AZ721" s="118">
        <f t="shared" si="16"/>
        <v>2996</v>
      </c>
      <c r="BA721" s="3"/>
      <c r="BB721" s="3"/>
      <c r="BC721" s="3"/>
      <c r="BD721" s="3"/>
      <c r="BE721" s="204"/>
      <c r="BF721" s="294">
        <f t="shared" si="17"/>
        <v>33</v>
      </c>
      <c r="BG721" s="297">
        <f t="shared" si="18"/>
        <v>0.14410480349344978</v>
      </c>
      <c r="BH721" s="298">
        <f t="shared" si="19"/>
        <v>8.6462882096069865E-2</v>
      </c>
      <c r="BI721" s="3"/>
      <c r="BJ721" s="3"/>
      <c r="BK721" s="3"/>
      <c r="BL721" s="3"/>
      <c r="BM721" s="3"/>
      <c r="BN721" s="3"/>
      <c r="BS721" s="294">
        <f t="shared" si="20"/>
        <v>33</v>
      </c>
      <c r="BT721" s="297">
        <f t="shared" si="21"/>
        <v>0.14410480349344978</v>
      </c>
      <c r="BU721" s="298">
        <f t="shared" si="22"/>
        <v>8.6434022656117909E-2</v>
      </c>
      <c r="CC721" s="3"/>
      <c r="CD721" s="3"/>
      <c r="CE721" s="3"/>
      <c r="CF721" s="3"/>
      <c r="CG721" s="1351">
        <f t="shared" si="44"/>
        <v>0</v>
      </c>
      <c r="CH721" s="1353"/>
      <c r="CI721" s="1335">
        <f t="shared" si="45"/>
        <v>0</v>
      </c>
      <c r="CJ721" s="1337"/>
      <c r="CK721" s="1351">
        <f t="shared" si="23"/>
        <v>0</v>
      </c>
      <c r="CL721" s="1353"/>
      <c r="CM721" s="1335">
        <f t="shared" si="24"/>
        <v>0</v>
      </c>
      <c r="CN721" s="1337"/>
      <c r="CO721" s="3"/>
      <c r="CP721" s="1332">
        <f t="shared" si="25"/>
        <v>0</v>
      </c>
      <c r="CQ721" s="1333"/>
      <c r="CR721" s="1333"/>
      <c r="CS721" s="1333"/>
      <c r="CT721" s="1334"/>
      <c r="CU721" s="1354">
        <f t="shared" si="26"/>
        <v>33</v>
      </c>
      <c r="CV721" s="1354"/>
      <c r="CW721" s="1354"/>
      <c r="CX721" s="1354"/>
      <c r="CY721" s="1354"/>
      <c r="CZ721" s="1354">
        <f t="shared" si="27"/>
        <v>0</v>
      </c>
      <c r="DA721" s="1354"/>
      <c r="DB721" s="1354"/>
      <c r="DC721" s="1354"/>
      <c r="DD721" s="1354"/>
      <c r="DE721" s="1354">
        <f t="shared" si="28"/>
        <v>0</v>
      </c>
      <c r="DF721" s="1354"/>
      <c r="DG721" s="1354"/>
      <c r="DH721" s="1354"/>
      <c r="DI721" s="1354"/>
      <c r="DJ721" s="1354">
        <f t="shared" si="29"/>
        <v>0</v>
      </c>
      <c r="DK721" s="1354"/>
      <c r="DL721" s="1354"/>
      <c r="DM721" s="1354"/>
      <c r="DN721" s="1354"/>
      <c r="DO721" s="1354">
        <f t="shared" si="30"/>
        <v>0</v>
      </c>
      <c r="DP721" s="1354"/>
      <c r="DQ721" s="1354"/>
      <c r="DR721" s="1354"/>
      <c r="DS721" s="1354"/>
      <c r="DT721" s="6"/>
      <c r="DU721" s="1368">
        <f t="shared" si="31"/>
        <v>0</v>
      </c>
      <c r="DV721" s="1368"/>
      <c r="DW721" s="1368"/>
      <c r="DX721" s="1368"/>
      <c r="DY721" s="1368"/>
      <c r="DZ721" s="1368">
        <f t="shared" si="32"/>
        <v>0</v>
      </c>
      <c r="EA721" s="1368"/>
      <c r="EB721" s="1368"/>
      <c r="EC721" s="1368"/>
      <c r="ED721" s="1368"/>
      <c r="EE721" s="1368">
        <f t="shared" si="33"/>
        <v>0</v>
      </c>
      <c r="EF721" s="1368"/>
      <c r="EG721" s="1368"/>
      <c r="EH721" s="1368"/>
      <c r="EI721" s="1368"/>
      <c r="EJ721" s="1368">
        <f t="shared" si="34"/>
        <v>0</v>
      </c>
      <c r="EK721" s="1368"/>
      <c r="EL721" s="1368"/>
      <c r="EM721" s="1368"/>
      <c r="EN721" s="1368"/>
      <c r="EO721" s="1368">
        <f t="shared" si="35"/>
        <v>0</v>
      </c>
      <c r="EP721" s="1368"/>
      <c r="EQ721" s="1368"/>
      <c r="ER721" s="1368"/>
      <c r="ES721" s="1368"/>
      <c r="ET721" s="1368">
        <f t="shared" si="36"/>
        <v>0</v>
      </c>
      <c r="EU721" s="1368"/>
      <c r="EV721" s="1368"/>
      <c r="EW721" s="1368"/>
      <c r="EX721" s="1368"/>
      <c r="EZ721" s="1351" t="str">
        <f t="shared" si="37"/>
        <v/>
      </c>
      <c r="FA721" s="1352"/>
      <c r="FB721" s="1352"/>
      <c r="FC721" s="1352"/>
      <c r="FD721" s="1353"/>
      <c r="FE721" s="1351">
        <f t="shared" si="38"/>
        <v>1797</v>
      </c>
      <c r="FF721" s="1352"/>
      <c r="FG721" s="1352"/>
      <c r="FH721" s="1352"/>
      <c r="FI721" s="1353"/>
      <c r="FJ721" s="1351" t="str">
        <f t="shared" si="39"/>
        <v/>
      </c>
      <c r="FK721" s="1352"/>
      <c r="FL721" s="1352"/>
      <c r="FM721" s="1352"/>
      <c r="FN721" s="1353"/>
      <c r="FO721" s="1351" t="str">
        <f t="shared" si="40"/>
        <v/>
      </c>
      <c r="FP721" s="1352"/>
      <c r="FQ721" s="1352"/>
      <c r="FR721" s="1352"/>
      <c r="FS721" s="1353"/>
      <c r="FT721" s="1351" t="str">
        <f t="shared" si="41"/>
        <v/>
      </c>
      <c r="FU721" s="1352"/>
      <c r="FV721" s="1352"/>
      <c r="FW721" s="1352"/>
      <c r="FX721" s="1353"/>
      <c r="FY721" s="1351" t="str">
        <f t="shared" si="42"/>
        <v/>
      </c>
      <c r="FZ721" s="1352"/>
      <c r="GA721" s="1352"/>
      <c r="GB721" s="1352"/>
      <c r="GC721" s="1353"/>
    </row>
    <row r="722" spans="1:185" ht="12.95" customHeight="1">
      <c r="B722" s="1355" t="s">
        <v>163</v>
      </c>
      <c r="C722" s="1356"/>
      <c r="D722" s="1356"/>
      <c r="E722" s="1356"/>
      <c r="F722" s="1357"/>
      <c r="G722" s="1364">
        <v>65</v>
      </c>
      <c r="H722" s="1365"/>
      <c r="I722" s="1365"/>
      <c r="J722" s="1366"/>
      <c r="K722" s="1611">
        <v>631</v>
      </c>
      <c r="L722" s="1612"/>
      <c r="M722" s="1612"/>
      <c r="N722" s="1613"/>
      <c r="O722" s="1470">
        <v>1078</v>
      </c>
      <c r="P722" s="1471"/>
      <c r="Q722" s="1471"/>
      <c r="R722" s="1471"/>
      <c r="S722" s="1472"/>
      <c r="T722" s="1470">
        <v>0</v>
      </c>
      <c r="U722" s="1471"/>
      <c r="V722" s="1471"/>
      <c r="W722" s="1472"/>
      <c r="X722" s="1358">
        <f t="shared" si="15"/>
        <v>1078</v>
      </c>
      <c r="Y722" s="1359"/>
      <c r="Z722" s="1359"/>
      <c r="AA722" s="1359"/>
      <c r="AB722" s="1360"/>
      <c r="AC722" s="1620">
        <v>0.3</v>
      </c>
      <c r="AD722" s="1621"/>
      <c r="AE722" s="1621"/>
      <c r="AF722" s="1621"/>
      <c r="AG722" s="1622"/>
      <c r="AH722" s="1361">
        <f t="shared" si="43"/>
        <v>0.29977753058954393</v>
      </c>
      <c r="AI722" s="1362"/>
      <c r="AJ722" s="1363"/>
      <c r="AK722" s="1355" t="s">
        <v>592</v>
      </c>
      <c r="AL722" s="1356"/>
      <c r="AM722" s="1356"/>
      <c r="AN722" s="1356"/>
      <c r="AO722" s="1357"/>
      <c r="AP722" s="3"/>
      <c r="AQ722" s="3"/>
      <c r="AR722" s="3"/>
      <c r="AS722" s="3"/>
      <c r="AY722" s="116"/>
      <c r="AZ722" s="118">
        <f t="shared" si="16"/>
        <v>3596</v>
      </c>
      <c r="BA722" s="3"/>
      <c r="BB722" s="3"/>
      <c r="BC722" s="3"/>
      <c r="BD722" s="3"/>
      <c r="BE722" s="204"/>
      <c r="BF722" s="294">
        <f t="shared" si="17"/>
        <v>65</v>
      </c>
      <c r="BG722" s="297">
        <f t="shared" si="18"/>
        <v>0.28384279475982532</v>
      </c>
      <c r="BH722" s="298">
        <f t="shared" si="19"/>
        <v>8.5152838427947589E-2</v>
      </c>
      <c r="BI722" s="3"/>
      <c r="BJ722" s="3"/>
      <c r="BK722" s="3"/>
      <c r="BL722" s="3"/>
      <c r="BM722" s="3"/>
      <c r="BN722" s="3"/>
      <c r="BS722" s="294">
        <f t="shared" si="20"/>
        <v>65</v>
      </c>
      <c r="BT722" s="297">
        <f t="shared" si="21"/>
        <v>0.28384279475982532</v>
      </c>
      <c r="BU722" s="298">
        <f t="shared" si="22"/>
        <v>8.508969208873518E-2</v>
      </c>
      <c r="CC722" s="3"/>
      <c r="CD722" s="3"/>
      <c r="CE722" s="3"/>
      <c r="CF722" s="3"/>
      <c r="CG722" s="1351">
        <f t="shared" si="44"/>
        <v>0</v>
      </c>
      <c r="CH722" s="1353"/>
      <c r="CI722" s="1335">
        <f t="shared" si="45"/>
        <v>0</v>
      </c>
      <c r="CJ722" s="1337"/>
      <c r="CK722" s="1351">
        <f t="shared" si="23"/>
        <v>1</v>
      </c>
      <c r="CL722" s="1353"/>
      <c r="CM722" s="1335">
        <f t="shared" si="24"/>
        <v>65</v>
      </c>
      <c r="CN722" s="1337"/>
      <c r="CO722" s="3"/>
      <c r="CP722" s="1332">
        <f t="shared" si="25"/>
        <v>0</v>
      </c>
      <c r="CQ722" s="1333"/>
      <c r="CR722" s="1333"/>
      <c r="CS722" s="1333"/>
      <c r="CT722" s="1334"/>
      <c r="CU722" s="1354">
        <f t="shared" si="26"/>
        <v>0</v>
      </c>
      <c r="CV722" s="1354"/>
      <c r="CW722" s="1354"/>
      <c r="CX722" s="1354"/>
      <c r="CY722" s="1354"/>
      <c r="CZ722" s="1354">
        <f t="shared" si="27"/>
        <v>65</v>
      </c>
      <c r="DA722" s="1354"/>
      <c r="DB722" s="1354"/>
      <c r="DC722" s="1354"/>
      <c r="DD722" s="1354"/>
      <c r="DE722" s="1354">
        <f t="shared" si="28"/>
        <v>0</v>
      </c>
      <c r="DF722" s="1354"/>
      <c r="DG722" s="1354"/>
      <c r="DH722" s="1354"/>
      <c r="DI722" s="1354"/>
      <c r="DJ722" s="1354">
        <f t="shared" si="29"/>
        <v>0</v>
      </c>
      <c r="DK722" s="1354"/>
      <c r="DL722" s="1354"/>
      <c r="DM722" s="1354"/>
      <c r="DN722" s="1354"/>
      <c r="DO722" s="1354">
        <f t="shared" si="30"/>
        <v>0</v>
      </c>
      <c r="DP722" s="1354"/>
      <c r="DQ722" s="1354"/>
      <c r="DR722" s="1354"/>
      <c r="DS722" s="1354"/>
      <c r="DT722" s="6"/>
      <c r="DU722" s="1368">
        <f t="shared" si="31"/>
        <v>0</v>
      </c>
      <c r="DV722" s="1368"/>
      <c r="DW722" s="1368"/>
      <c r="DX722" s="1368"/>
      <c r="DY722" s="1368"/>
      <c r="DZ722" s="1368">
        <f t="shared" si="32"/>
        <v>0</v>
      </c>
      <c r="EA722" s="1368"/>
      <c r="EB722" s="1368"/>
      <c r="EC722" s="1368"/>
      <c r="ED722" s="1368"/>
      <c r="EE722" s="1368">
        <f t="shared" si="33"/>
        <v>65</v>
      </c>
      <c r="EF722" s="1368"/>
      <c r="EG722" s="1368"/>
      <c r="EH722" s="1368"/>
      <c r="EI722" s="1368"/>
      <c r="EJ722" s="1368">
        <f t="shared" si="34"/>
        <v>0</v>
      </c>
      <c r="EK722" s="1368"/>
      <c r="EL722" s="1368"/>
      <c r="EM722" s="1368"/>
      <c r="EN722" s="1368"/>
      <c r="EO722" s="1368">
        <f t="shared" si="35"/>
        <v>0</v>
      </c>
      <c r="EP722" s="1368"/>
      <c r="EQ722" s="1368"/>
      <c r="ER722" s="1368"/>
      <c r="ES722" s="1368"/>
      <c r="ET722" s="1368">
        <f t="shared" si="36"/>
        <v>0</v>
      </c>
      <c r="EU722" s="1368"/>
      <c r="EV722" s="1368"/>
      <c r="EW722" s="1368"/>
      <c r="EX722" s="1368"/>
      <c r="EZ722" s="1351" t="str">
        <f t="shared" si="37"/>
        <v/>
      </c>
      <c r="FA722" s="1352"/>
      <c r="FB722" s="1352"/>
      <c r="FC722" s="1352"/>
      <c r="FD722" s="1353"/>
      <c r="FE722" s="1351" t="str">
        <f t="shared" si="38"/>
        <v/>
      </c>
      <c r="FF722" s="1352"/>
      <c r="FG722" s="1352"/>
      <c r="FH722" s="1352"/>
      <c r="FI722" s="1353"/>
      <c r="FJ722" s="1351">
        <f t="shared" si="39"/>
        <v>1078</v>
      </c>
      <c r="FK722" s="1352"/>
      <c r="FL722" s="1352"/>
      <c r="FM722" s="1352"/>
      <c r="FN722" s="1353"/>
      <c r="FO722" s="1351" t="str">
        <f t="shared" si="40"/>
        <v/>
      </c>
      <c r="FP722" s="1352"/>
      <c r="FQ722" s="1352"/>
      <c r="FR722" s="1352"/>
      <c r="FS722" s="1353"/>
      <c r="FT722" s="1351" t="str">
        <f t="shared" si="41"/>
        <v/>
      </c>
      <c r="FU722" s="1352"/>
      <c r="FV722" s="1352"/>
      <c r="FW722" s="1352"/>
      <c r="FX722" s="1353"/>
      <c r="FY722" s="1351" t="str">
        <f t="shared" si="42"/>
        <v/>
      </c>
      <c r="FZ722" s="1352"/>
      <c r="GA722" s="1352"/>
      <c r="GB722" s="1352"/>
      <c r="GC722" s="1353"/>
    </row>
    <row r="723" spans="1:185" ht="12.95" customHeight="1">
      <c r="B723" s="1355" t="s">
        <v>163</v>
      </c>
      <c r="C723" s="1356"/>
      <c r="D723" s="1356"/>
      <c r="E723" s="1356"/>
      <c r="F723" s="1357"/>
      <c r="G723" s="1364">
        <v>65</v>
      </c>
      <c r="H723" s="1365"/>
      <c r="I723" s="1365"/>
      <c r="J723" s="1366"/>
      <c r="K723" s="1611">
        <v>619</v>
      </c>
      <c r="L723" s="1612"/>
      <c r="M723" s="1612"/>
      <c r="N723" s="1613"/>
      <c r="O723" s="1470">
        <v>2157</v>
      </c>
      <c r="P723" s="1471"/>
      <c r="Q723" s="1471"/>
      <c r="R723" s="1471"/>
      <c r="S723" s="1472"/>
      <c r="T723" s="1470">
        <v>0</v>
      </c>
      <c r="U723" s="1471"/>
      <c r="V723" s="1471"/>
      <c r="W723" s="1472"/>
      <c r="X723" s="1358">
        <f t="shared" si="15"/>
        <v>2157</v>
      </c>
      <c r="Y723" s="1359"/>
      <c r="Z723" s="1359"/>
      <c r="AA723" s="1359"/>
      <c r="AB723" s="1360"/>
      <c r="AC723" s="1620">
        <v>0.6</v>
      </c>
      <c r="AD723" s="1621"/>
      <c r="AE723" s="1621"/>
      <c r="AF723" s="1621"/>
      <c r="AG723" s="1622"/>
      <c r="AH723" s="1361">
        <f t="shared" si="43"/>
        <v>0.59983314794215792</v>
      </c>
      <c r="AI723" s="1362"/>
      <c r="AJ723" s="1363"/>
      <c r="AK723" s="1355" t="s">
        <v>592</v>
      </c>
      <c r="AL723" s="1356"/>
      <c r="AM723" s="1356"/>
      <c r="AN723" s="1356"/>
      <c r="AO723" s="1357"/>
      <c r="AP723" s="3"/>
      <c r="AQ723" s="3"/>
      <c r="AR723" s="3"/>
      <c r="AS723" s="3"/>
      <c r="AY723" s="116"/>
      <c r="AZ723" s="118">
        <f t="shared" si="16"/>
        <v>3596</v>
      </c>
      <c r="BA723" s="3"/>
      <c r="BB723" s="3"/>
      <c r="BC723" s="3"/>
      <c r="BD723" s="3"/>
      <c r="BE723" s="204"/>
      <c r="BF723" s="294">
        <f t="shared" si="17"/>
        <v>65</v>
      </c>
      <c r="BG723" s="297">
        <f t="shared" si="18"/>
        <v>0.28384279475982532</v>
      </c>
      <c r="BH723" s="298">
        <f t="shared" si="19"/>
        <v>0.17030567685589518</v>
      </c>
      <c r="BI723" s="3"/>
      <c r="BJ723" s="3"/>
      <c r="BK723" s="3"/>
      <c r="BL723" s="3"/>
      <c r="BM723" s="3"/>
      <c r="BN723" s="3"/>
      <c r="BS723" s="294">
        <f t="shared" si="20"/>
        <v>65</v>
      </c>
      <c r="BT723" s="297">
        <f t="shared" si="21"/>
        <v>0.28384279475982532</v>
      </c>
      <c r="BU723" s="298">
        <f t="shared" si="22"/>
        <v>0.17025831710148587</v>
      </c>
      <c r="CC723" s="3"/>
      <c r="CD723" s="3"/>
      <c r="CE723" s="3"/>
      <c r="CF723" s="3"/>
      <c r="CG723" s="1351">
        <f t="shared" si="44"/>
        <v>0</v>
      </c>
      <c r="CH723" s="1353"/>
      <c r="CI723" s="1335">
        <f t="shared" si="45"/>
        <v>0</v>
      </c>
      <c r="CJ723" s="1337"/>
      <c r="CK723" s="1351">
        <f t="shared" si="23"/>
        <v>0</v>
      </c>
      <c r="CL723" s="1353"/>
      <c r="CM723" s="1335">
        <f t="shared" si="24"/>
        <v>0</v>
      </c>
      <c r="CN723" s="1337"/>
      <c r="CO723" s="3"/>
      <c r="CP723" s="1332">
        <f t="shared" si="25"/>
        <v>0</v>
      </c>
      <c r="CQ723" s="1333"/>
      <c r="CR723" s="1333"/>
      <c r="CS723" s="1333"/>
      <c r="CT723" s="1334"/>
      <c r="CU723" s="1354">
        <f t="shared" si="26"/>
        <v>0</v>
      </c>
      <c r="CV723" s="1354"/>
      <c r="CW723" s="1354"/>
      <c r="CX723" s="1354"/>
      <c r="CY723" s="1354"/>
      <c r="CZ723" s="1354">
        <f t="shared" si="27"/>
        <v>65</v>
      </c>
      <c r="DA723" s="1354"/>
      <c r="DB723" s="1354"/>
      <c r="DC723" s="1354"/>
      <c r="DD723" s="1354"/>
      <c r="DE723" s="1354">
        <f t="shared" si="28"/>
        <v>0</v>
      </c>
      <c r="DF723" s="1354"/>
      <c r="DG723" s="1354"/>
      <c r="DH723" s="1354"/>
      <c r="DI723" s="1354"/>
      <c r="DJ723" s="1354">
        <f t="shared" si="29"/>
        <v>0</v>
      </c>
      <c r="DK723" s="1354"/>
      <c r="DL723" s="1354"/>
      <c r="DM723" s="1354"/>
      <c r="DN723" s="1354"/>
      <c r="DO723" s="1354">
        <f t="shared" si="30"/>
        <v>0</v>
      </c>
      <c r="DP723" s="1354"/>
      <c r="DQ723" s="1354"/>
      <c r="DR723" s="1354"/>
      <c r="DS723" s="1354"/>
      <c r="DT723" s="6"/>
      <c r="DU723" s="1368">
        <f t="shared" si="31"/>
        <v>0</v>
      </c>
      <c r="DV723" s="1368"/>
      <c r="DW723" s="1368"/>
      <c r="DX723" s="1368"/>
      <c r="DY723" s="1368"/>
      <c r="DZ723" s="1368">
        <f t="shared" si="32"/>
        <v>0</v>
      </c>
      <c r="EA723" s="1368"/>
      <c r="EB723" s="1368"/>
      <c r="EC723" s="1368"/>
      <c r="ED723" s="1368"/>
      <c r="EE723" s="1368">
        <f t="shared" si="33"/>
        <v>0</v>
      </c>
      <c r="EF723" s="1368"/>
      <c r="EG723" s="1368"/>
      <c r="EH723" s="1368"/>
      <c r="EI723" s="1368"/>
      <c r="EJ723" s="1368">
        <f t="shared" si="34"/>
        <v>0</v>
      </c>
      <c r="EK723" s="1368"/>
      <c r="EL723" s="1368"/>
      <c r="EM723" s="1368"/>
      <c r="EN723" s="1368"/>
      <c r="EO723" s="1368">
        <f t="shared" si="35"/>
        <v>0</v>
      </c>
      <c r="EP723" s="1368"/>
      <c r="EQ723" s="1368"/>
      <c r="ER723" s="1368"/>
      <c r="ES723" s="1368"/>
      <c r="ET723" s="1368">
        <f t="shared" si="36"/>
        <v>0</v>
      </c>
      <c r="EU723" s="1368"/>
      <c r="EV723" s="1368"/>
      <c r="EW723" s="1368"/>
      <c r="EX723" s="1368"/>
      <c r="EZ723" s="1351" t="str">
        <f t="shared" si="37"/>
        <v/>
      </c>
      <c r="FA723" s="1352"/>
      <c r="FB723" s="1352"/>
      <c r="FC723" s="1352"/>
      <c r="FD723" s="1353"/>
      <c r="FE723" s="1351" t="str">
        <f t="shared" si="38"/>
        <v/>
      </c>
      <c r="FF723" s="1352"/>
      <c r="FG723" s="1352"/>
      <c r="FH723" s="1352"/>
      <c r="FI723" s="1353"/>
      <c r="FJ723" s="1351">
        <f t="shared" si="39"/>
        <v>2157</v>
      </c>
      <c r="FK723" s="1352"/>
      <c r="FL723" s="1352"/>
      <c r="FM723" s="1352"/>
      <c r="FN723" s="1353"/>
      <c r="FO723" s="1351" t="str">
        <f t="shared" si="40"/>
        <v/>
      </c>
      <c r="FP723" s="1352"/>
      <c r="FQ723" s="1352"/>
      <c r="FR723" s="1352"/>
      <c r="FS723" s="1353"/>
      <c r="FT723" s="1351" t="str">
        <f t="shared" si="41"/>
        <v/>
      </c>
      <c r="FU723" s="1352"/>
      <c r="FV723" s="1352"/>
      <c r="FW723" s="1352"/>
      <c r="FX723" s="1353"/>
      <c r="FY723" s="1351" t="str">
        <f t="shared" si="42"/>
        <v/>
      </c>
      <c r="FZ723" s="1352"/>
      <c r="GA723" s="1352"/>
      <c r="GB723" s="1352"/>
      <c r="GC723" s="1353"/>
    </row>
    <row r="724" spans="1:185" ht="12.95" customHeight="1">
      <c r="B724" s="1355"/>
      <c r="C724" s="1356"/>
      <c r="D724" s="1356"/>
      <c r="E724" s="1356"/>
      <c r="F724" s="1357"/>
      <c r="G724" s="1364"/>
      <c r="H724" s="1365"/>
      <c r="I724" s="1365"/>
      <c r="J724" s="1366"/>
      <c r="K724" s="1611"/>
      <c r="L724" s="1612"/>
      <c r="M724" s="1612"/>
      <c r="N724" s="1613"/>
      <c r="O724" s="1470"/>
      <c r="P724" s="1471"/>
      <c r="Q724" s="1471"/>
      <c r="R724" s="1471"/>
      <c r="S724" s="1472"/>
      <c r="T724" s="1470"/>
      <c r="U724" s="1471"/>
      <c r="V724" s="1471"/>
      <c r="W724" s="1472"/>
      <c r="X724" s="1358">
        <f t="shared" si="15"/>
        <v>0</v>
      </c>
      <c r="Y724" s="1359"/>
      <c r="Z724" s="1359"/>
      <c r="AA724" s="1359"/>
      <c r="AB724" s="1360"/>
      <c r="AC724" s="1620"/>
      <c r="AD724" s="1621"/>
      <c r="AE724" s="1621"/>
      <c r="AF724" s="1621"/>
      <c r="AG724" s="1622"/>
      <c r="AH724" s="1361" t="str">
        <f t="shared" si="43"/>
        <v/>
      </c>
      <c r="AI724" s="1362"/>
      <c r="AJ724" s="1363"/>
      <c r="AK724" s="1355" t="s">
        <v>592</v>
      </c>
      <c r="AL724" s="1356"/>
      <c r="AM724" s="1356"/>
      <c r="AN724" s="1356"/>
      <c r="AO724" s="1357"/>
      <c r="AP724" s="3"/>
      <c r="AQ724" s="3"/>
      <c r="AR724" s="3"/>
      <c r="AS724" s="3"/>
      <c r="AY724" s="116"/>
      <c r="AZ724" s="118" t="str">
        <f t="shared" si="16"/>
        <v>N/A</v>
      </c>
      <c r="BA724" s="3"/>
      <c r="BB724" s="3"/>
      <c r="BC724" s="3"/>
      <c r="BD724" s="3"/>
      <c r="BE724" s="204"/>
      <c r="BF724" s="294">
        <f t="shared" si="17"/>
        <v>0</v>
      </c>
      <c r="BG724" s="297">
        <f t="shared" si="18"/>
        <v>0</v>
      </c>
      <c r="BH724" s="298" t="str">
        <f t="shared" si="19"/>
        <v/>
      </c>
      <c r="BI724" s="3"/>
      <c r="BJ724" s="3"/>
      <c r="BK724" s="3"/>
      <c r="BL724" s="3"/>
      <c r="BM724" s="3"/>
      <c r="BN724" s="3"/>
      <c r="BS724" s="294">
        <f t="shared" si="20"/>
        <v>0</v>
      </c>
      <c r="BT724" s="297">
        <f t="shared" si="21"/>
        <v>0</v>
      </c>
      <c r="BU724" s="298" t="str">
        <f t="shared" si="22"/>
        <v/>
      </c>
      <c r="CC724" s="3"/>
      <c r="CE724" s="3"/>
      <c r="CF724" s="3"/>
      <c r="CG724" s="1351">
        <f t="shared" si="44"/>
        <v>0</v>
      </c>
      <c r="CH724" s="1353"/>
      <c r="CI724" s="1335">
        <f t="shared" si="45"/>
        <v>0</v>
      </c>
      <c r="CJ724" s="1337"/>
      <c r="CK724" s="1351">
        <f t="shared" si="23"/>
        <v>0</v>
      </c>
      <c r="CL724" s="1353"/>
      <c r="CM724" s="1335">
        <f t="shared" si="24"/>
        <v>0</v>
      </c>
      <c r="CN724" s="1337"/>
      <c r="CO724" s="3"/>
      <c r="CP724" s="1332">
        <f t="shared" si="25"/>
        <v>0</v>
      </c>
      <c r="CQ724" s="1333"/>
      <c r="CR724" s="1333"/>
      <c r="CS724" s="1333"/>
      <c r="CT724" s="1334"/>
      <c r="CU724" s="1354">
        <f t="shared" si="26"/>
        <v>0</v>
      </c>
      <c r="CV724" s="1354"/>
      <c r="CW724" s="1354"/>
      <c r="CX724" s="1354"/>
      <c r="CY724" s="1354"/>
      <c r="CZ724" s="1354">
        <f t="shared" si="27"/>
        <v>0</v>
      </c>
      <c r="DA724" s="1354"/>
      <c r="DB724" s="1354"/>
      <c r="DC724" s="1354"/>
      <c r="DD724" s="1354"/>
      <c r="DE724" s="1354">
        <f t="shared" si="28"/>
        <v>0</v>
      </c>
      <c r="DF724" s="1354"/>
      <c r="DG724" s="1354"/>
      <c r="DH724" s="1354"/>
      <c r="DI724" s="1354"/>
      <c r="DJ724" s="1354">
        <f t="shared" si="29"/>
        <v>0</v>
      </c>
      <c r="DK724" s="1354"/>
      <c r="DL724" s="1354"/>
      <c r="DM724" s="1354"/>
      <c r="DN724" s="1354"/>
      <c r="DO724" s="1354">
        <f t="shared" si="30"/>
        <v>0</v>
      </c>
      <c r="DP724" s="1354"/>
      <c r="DQ724" s="1354"/>
      <c r="DR724" s="1354"/>
      <c r="DS724" s="1354"/>
      <c r="DT724" s="6"/>
      <c r="DU724" s="1368">
        <f t="shared" si="31"/>
        <v>0</v>
      </c>
      <c r="DV724" s="1368"/>
      <c r="DW724" s="1368"/>
      <c r="DX724" s="1368"/>
      <c r="DY724" s="1368"/>
      <c r="DZ724" s="1368">
        <f t="shared" si="32"/>
        <v>0</v>
      </c>
      <c r="EA724" s="1368"/>
      <c r="EB724" s="1368"/>
      <c r="EC724" s="1368"/>
      <c r="ED724" s="1368"/>
      <c r="EE724" s="1368">
        <f t="shared" si="33"/>
        <v>0</v>
      </c>
      <c r="EF724" s="1368"/>
      <c r="EG724" s="1368"/>
      <c r="EH724" s="1368"/>
      <c r="EI724" s="1368"/>
      <c r="EJ724" s="1368">
        <f t="shared" si="34"/>
        <v>0</v>
      </c>
      <c r="EK724" s="1368"/>
      <c r="EL724" s="1368"/>
      <c r="EM724" s="1368"/>
      <c r="EN724" s="1368"/>
      <c r="EO724" s="1368">
        <f t="shared" si="35"/>
        <v>0</v>
      </c>
      <c r="EP724" s="1368"/>
      <c r="EQ724" s="1368"/>
      <c r="ER724" s="1368"/>
      <c r="ES724" s="1368"/>
      <c r="ET724" s="1368">
        <f t="shared" si="36"/>
        <v>0</v>
      </c>
      <c r="EU724" s="1368"/>
      <c r="EV724" s="1368"/>
      <c r="EW724" s="1368"/>
      <c r="EX724" s="1368"/>
      <c r="EZ724" s="1351" t="str">
        <f t="shared" si="37"/>
        <v/>
      </c>
      <c r="FA724" s="1352"/>
      <c r="FB724" s="1352"/>
      <c r="FC724" s="1352"/>
      <c r="FD724" s="1353"/>
      <c r="FE724" s="1351" t="str">
        <f t="shared" si="38"/>
        <v/>
      </c>
      <c r="FF724" s="1352"/>
      <c r="FG724" s="1352"/>
      <c r="FH724" s="1352"/>
      <c r="FI724" s="1353"/>
      <c r="FJ724" s="1351" t="str">
        <f t="shared" si="39"/>
        <v/>
      </c>
      <c r="FK724" s="1352"/>
      <c r="FL724" s="1352"/>
      <c r="FM724" s="1352"/>
      <c r="FN724" s="1353"/>
      <c r="FO724" s="1351" t="str">
        <f t="shared" si="40"/>
        <v/>
      </c>
      <c r="FP724" s="1352"/>
      <c r="FQ724" s="1352"/>
      <c r="FR724" s="1352"/>
      <c r="FS724" s="1353"/>
      <c r="FT724" s="1351" t="str">
        <f t="shared" si="41"/>
        <v/>
      </c>
      <c r="FU724" s="1352"/>
      <c r="FV724" s="1352"/>
      <c r="FW724" s="1352"/>
      <c r="FX724" s="1353"/>
      <c r="FY724" s="1351" t="str">
        <f t="shared" si="42"/>
        <v/>
      </c>
      <c r="FZ724" s="1352"/>
      <c r="GA724" s="1352"/>
      <c r="GB724" s="1352"/>
      <c r="GC724" s="1353"/>
    </row>
    <row r="725" spans="1:185" ht="12.95" customHeight="1">
      <c r="B725" s="1355"/>
      <c r="C725" s="1356"/>
      <c r="D725" s="1356"/>
      <c r="E725" s="1356"/>
      <c r="F725" s="1357"/>
      <c r="G725" s="1364"/>
      <c r="H725" s="1365"/>
      <c r="I725" s="1365"/>
      <c r="J725" s="1366"/>
      <c r="K725" s="1611"/>
      <c r="L725" s="1612"/>
      <c r="M725" s="1612"/>
      <c r="N725" s="1613"/>
      <c r="O725" s="1470"/>
      <c r="P725" s="1471"/>
      <c r="Q725" s="1471"/>
      <c r="R725" s="1471"/>
      <c r="S725" s="1472"/>
      <c r="T725" s="1470"/>
      <c r="U725" s="1471"/>
      <c r="V725" s="1471"/>
      <c r="W725" s="1472"/>
      <c r="X725" s="1358">
        <f t="shared" si="15"/>
        <v>0</v>
      </c>
      <c r="Y725" s="1359"/>
      <c r="Z725" s="1359"/>
      <c r="AA725" s="1359"/>
      <c r="AB725" s="1360"/>
      <c r="AC725" s="1620"/>
      <c r="AD725" s="1621"/>
      <c r="AE725" s="1621"/>
      <c r="AF725" s="1621"/>
      <c r="AG725" s="1622"/>
      <c r="AH725" s="1361" t="str">
        <f t="shared" si="43"/>
        <v/>
      </c>
      <c r="AI725" s="1362"/>
      <c r="AJ725" s="1363"/>
      <c r="AK725" s="1355" t="s">
        <v>592</v>
      </c>
      <c r="AL725" s="1356"/>
      <c r="AM725" s="1356"/>
      <c r="AN725" s="1356"/>
      <c r="AO725" s="1357"/>
      <c r="AP725" s="3"/>
      <c r="AQ725" s="3"/>
      <c r="AR725" s="3"/>
      <c r="AS725" s="3"/>
      <c r="AY725" s="1085"/>
      <c r="AZ725" s="118" t="str">
        <f t="shared" si="16"/>
        <v>N/A</v>
      </c>
      <c r="BA725" s="3"/>
      <c r="BB725" s="3"/>
      <c r="BC725" s="3"/>
      <c r="BD725" s="3"/>
      <c r="BE725" s="204"/>
      <c r="BF725" s="294">
        <f t="shared" si="17"/>
        <v>0</v>
      </c>
      <c r="BG725" s="297">
        <f t="shared" si="18"/>
        <v>0</v>
      </c>
      <c r="BH725" s="298" t="str">
        <f t="shared" si="19"/>
        <v/>
      </c>
      <c r="BI725" s="3"/>
      <c r="BJ725" s="3"/>
      <c r="BK725" s="3"/>
      <c r="BL725" s="3"/>
      <c r="BM725" s="3"/>
      <c r="BN725" s="3"/>
      <c r="BS725" s="294">
        <f t="shared" si="20"/>
        <v>0</v>
      </c>
      <c r="BT725" s="297">
        <f t="shared" si="21"/>
        <v>0</v>
      </c>
      <c r="BU725" s="298" t="str">
        <f t="shared" si="22"/>
        <v/>
      </c>
      <c r="BV725" s="292"/>
      <c r="BW725" s="3"/>
      <c r="BX725" s="3"/>
      <c r="BY725" s="3"/>
      <c r="BZ725" s="3"/>
      <c r="CA725" s="3"/>
      <c r="CB725" s="3"/>
      <c r="CC725" s="3"/>
      <c r="CE725" s="3"/>
      <c r="CF725" s="3"/>
      <c r="CG725" s="1351">
        <f t="shared" si="44"/>
        <v>0</v>
      </c>
      <c r="CH725" s="1353"/>
      <c r="CI725" s="1335">
        <f t="shared" si="45"/>
        <v>0</v>
      </c>
      <c r="CJ725" s="1337"/>
      <c r="CK725" s="1351">
        <f t="shared" si="23"/>
        <v>0</v>
      </c>
      <c r="CL725" s="1353"/>
      <c r="CM725" s="1335">
        <f t="shared" si="24"/>
        <v>0</v>
      </c>
      <c r="CN725" s="1337"/>
      <c r="CO725" s="3"/>
      <c r="CP725" s="1332">
        <f t="shared" si="25"/>
        <v>0</v>
      </c>
      <c r="CQ725" s="1333"/>
      <c r="CR725" s="1333"/>
      <c r="CS725" s="1333"/>
      <c r="CT725" s="1334"/>
      <c r="CU725" s="1354">
        <f t="shared" si="26"/>
        <v>0</v>
      </c>
      <c r="CV725" s="1354"/>
      <c r="CW725" s="1354"/>
      <c r="CX725" s="1354"/>
      <c r="CY725" s="1354"/>
      <c r="CZ725" s="1354">
        <f t="shared" si="27"/>
        <v>0</v>
      </c>
      <c r="DA725" s="1354"/>
      <c r="DB725" s="1354"/>
      <c r="DC725" s="1354"/>
      <c r="DD725" s="1354"/>
      <c r="DE725" s="1354">
        <f t="shared" si="28"/>
        <v>0</v>
      </c>
      <c r="DF725" s="1354"/>
      <c r="DG725" s="1354"/>
      <c r="DH725" s="1354"/>
      <c r="DI725" s="1354"/>
      <c r="DJ725" s="1354">
        <f t="shared" si="29"/>
        <v>0</v>
      </c>
      <c r="DK725" s="1354"/>
      <c r="DL725" s="1354"/>
      <c r="DM725" s="1354"/>
      <c r="DN725" s="1354"/>
      <c r="DO725" s="1354">
        <f t="shared" si="30"/>
        <v>0</v>
      </c>
      <c r="DP725" s="1354"/>
      <c r="DQ725" s="1354"/>
      <c r="DR725" s="1354"/>
      <c r="DS725" s="1354"/>
      <c r="DT725" s="6"/>
      <c r="DU725" s="1368">
        <f t="shared" si="31"/>
        <v>0</v>
      </c>
      <c r="DV725" s="1368"/>
      <c r="DW725" s="1368"/>
      <c r="DX725" s="1368"/>
      <c r="DY725" s="1368"/>
      <c r="DZ725" s="1368">
        <f t="shared" si="32"/>
        <v>0</v>
      </c>
      <c r="EA725" s="1368"/>
      <c r="EB725" s="1368"/>
      <c r="EC725" s="1368"/>
      <c r="ED725" s="1368"/>
      <c r="EE725" s="1368">
        <f t="shared" si="33"/>
        <v>0</v>
      </c>
      <c r="EF725" s="1368"/>
      <c r="EG725" s="1368"/>
      <c r="EH725" s="1368"/>
      <c r="EI725" s="1368"/>
      <c r="EJ725" s="1368">
        <f t="shared" si="34"/>
        <v>0</v>
      </c>
      <c r="EK725" s="1368"/>
      <c r="EL725" s="1368"/>
      <c r="EM725" s="1368"/>
      <c r="EN725" s="1368"/>
      <c r="EO725" s="1368">
        <f t="shared" si="35"/>
        <v>0</v>
      </c>
      <c r="EP725" s="1368"/>
      <c r="EQ725" s="1368"/>
      <c r="ER725" s="1368"/>
      <c r="ES725" s="1368"/>
      <c r="ET725" s="1368">
        <f t="shared" si="36"/>
        <v>0</v>
      </c>
      <c r="EU725" s="1368"/>
      <c r="EV725" s="1368"/>
      <c r="EW725" s="1368"/>
      <c r="EX725" s="1368"/>
      <c r="EZ725" s="1351" t="str">
        <f t="shared" si="37"/>
        <v/>
      </c>
      <c r="FA725" s="1352"/>
      <c r="FB725" s="1352"/>
      <c r="FC725" s="1352"/>
      <c r="FD725" s="1353"/>
      <c r="FE725" s="1351" t="str">
        <f t="shared" si="38"/>
        <v/>
      </c>
      <c r="FF725" s="1352"/>
      <c r="FG725" s="1352"/>
      <c r="FH725" s="1352"/>
      <c r="FI725" s="1353"/>
      <c r="FJ725" s="1351" t="str">
        <f t="shared" si="39"/>
        <v/>
      </c>
      <c r="FK725" s="1352"/>
      <c r="FL725" s="1352"/>
      <c r="FM725" s="1352"/>
      <c r="FN725" s="1353"/>
      <c r="FO725" s="1351" t="str">
        <f t="shared" si="40"/>
        <v/>
      </c>
      <c r="FP725" s="1352"/>
      <c r="FQ725" s="1352"/>
      <c r="FR725" s="1352"/>
      <c r="FS725" s="1353"/>
      <c r="FT725" s="1351" t="str">
        <f t="shared" si="41"/>
        <v/>
      </c>
      <c r="FU725" s="1352"/>
      <c r="FV725" s="1352"/>
      <c r="FW725" s="1352"/>
      <c r="FX725" s="1353"/>
      <c r="FY725" s="1351" t="str">
        <f t="shared" si="42"/>
        <v/>
      </c>
      <c r="FZ725" s="1352"/>
      <c r="GA725" s="1352"/>
      <c r="GB725" s="1352"/>
      <c r="GC725" s="1353"/>
    </row>
    <row r="726" spans="1:185" ht="12.95" customHeight="1">
      <c r="B726" s="1355"/>
      <c r="C726" s="1356"/>
      <c r="D726" s="1356"/>
      <c r="E726" s="1356"/>
      <c r="F726" s="1357"/>
      <c r="G726" s="1364"/>
      <c r="H726" s="1365"/>
      <c r="I726" s="1365"/>
      <c r="J726" s="1366"/>
      <c r="K726" s="1611"/>
      <c r="L726" s="1612"/>
      <c r="M726" s="1612"/>
      <c r="N726" s="1613"/>
      <c r="O726" s="1470"/>
      <c r="P726" s="1471"/>
      <c r="Q726" s="1471"/>
      <c r="R726" s="1471"/>
      <c r="S726" s="1472"/>
      <c r="T726" s="1470"/>
      <c r="U726" s="1471"/>
      <c r="V726" s="1471"/>
      <c r="W726" s="1472"/>
      <c r="X726" s="1358">
        <f t="shared" si="15"/>
        <v>0</v>
      </c>
      <c r="Y726" s="1359"/>
      <c r="Z726" s="1359"/>
      <c r="AA726" s="1359"/>
      <c r="AB726" s="1360"/>
      <c r="AC726" s="1620"/>
      <c r="AD726" s="1621"/>
      <c r="AE726" s="1621"/>
      <c r="AF726" s="1621"/>
      <c r="AG726" s="1622"/>
      <c r="AH726" s="1361" t="str">
        <f t="shared" si="43"/>
        <v/>
      </c>
      <c r="AI726" s="1362"/>
      <c r="AJ726" s="1363"/>
      <c r="AK726" s="1355" t="s">
        <v>592</v>
      </c>
      <c r="AL726" s="1356"/>
      <c r="AM726" s="1356"/>
      <c r="AN726" s="1356"/>
      <c r="AO726" s="1357"/>
      <c r="AP726" s="3"/>
      <c r="AQ726" s="3"/>
      <c r="AR726" s="3"/>
      <c r="AS726" s="3"/>
      <c r="AY726" s="1085"/>
      <c r="AZ726" s="118" t="str">
        <f t="shared" si="16"/>
        <v>N/A</v>
      </c>
      <c r="BA726" s="3"/>
      <c r="BB726" s="3"/>
      <c r="BC726" s="3"/>
      <c r="BD726" s="3"/>
      <c r="BE726" s="204"/>
      <c r="BF726" s="294">
        <f t="shared" si="17"/>
        <v>0</v>
      </c>
      <c r="BG726" s="297">
        <f t="shared" si="18"/>
        <v>0</v>
      </c>
      <c r="BH726" s="298" t="str">
        <f t="shared" si="19"/>
        <v/>
      </c>
      <c r="BI726" s="3"/>
      <c r="BJ726" s="3"/>
      <c r="BK726" s="3"/>
      <c r="BL726" s="3"/>
      <c r="BM726" s="3"/>
      <c r="BN726" s="3"/>
      <c r="BS726" s="294">
        <f t="shared" si="20"/>
        <v>0</v>
      </c>
      <c r="BT726" s="297">
        <f t="shared" si="21"/>
        <v>0</v>
      </c>
      <c r="BU726" s="298" t="str">
        <f t="shared" si="22"/>
        <v/>
      </c>
      <c r="BV726" s="3"/>
      <c r="BW726" s="3"/>
      <c r="BX726" s="3"/>
      <c r="BY726" s="3"/>
      <c r="BZ726" s="3"/>
      <c r="CA726" s="3"/>
      <c r="CB726" s="3"/>
      <c r="CC726" s="3"/>
      <c r="CE726" s="3"/>
      <c r="CF726" s="3"/>
      <c r="CG726" s="1351">
        <f t="shared" si="44"/>
        <v>0</v>
      </c>
      <c r="CH726" s="1353"/>
      <c r="CI726" s="1335">
        <f t="shared" si="45"/>
        <v>0</v>
      </c>
      <c r="CJ726" s="1337"/>
      <c r="CK726" s="1351">
        <f t="shared" si="23"/>
        <v>0</v>
      </c>
      <c r="CL726" s="1353"/>
      <c r="CM726" s="1335">
        <f t="shared" si="24"/>
        <v>0</v>
      </c>
      <c r="CN726" s="1337"/>
      <c r="CO726" s="3"/>
      <c r="CP726" s="1332">
        <f t="shared" si="25"/>
        <v>0</v>
      </c>
      <c r="CQ726" s="1333"/>
      <c r="CR726" s="1333"/>
      <c r="CS726" s="1333"/>
      <c r="CT726" s="1334"/>
      <c r="CU726" s="1354">
        <f t="shared" si="26"/>
        <v>0</v>
      </c>
      <c r="CV726" s="1354"/>
      <c r="CW726" s="1354"/>
      <c r="CX726" s="1354"/>
      <c r="CY726" s="1354"/>
      <c r="CZ726" s="1354">
        <f t="shared" si="27"/>
        <v>0</v>
      </c>
      <c r="DA726" s="1354"/>
      <c r="DB726" s="1354"/>
      <c r="DC726" s="1354"/>
      <c r="DD726" s="1354"/>
      <c r="DE726" s="1354">
        <f t="shared" si="28"/>
        <v>0</v>
      </c>
      <c r="DF726" s="1354"/>
      <c r="DG726" s="1354"/>
      <c r="DH726" s="1354"/>
      <c r="DI726" s="1354"/>
      <c r="DJ726" s="1354">
        <f t="shared" si="29"/>
        <v>0</v>
      </c>
      <c r="DK726" s="1354"/>
      <c r="DL726" s="1354"/>
      <c r="DM726" s="1354"/>
      <c r="DN726" s="1354"/>
      <c r="DO726" s="1354">
        <f t="shared" si="30"/>
        <v>0</v>
      </c>
      <c r="DP726" s="1354"/>
      <c r="DQ726" s="1354"/>
      <c r="DR726" s="1354"/>
      <c r="DS726" s="1354"/>
      <c r="DT726" s="6"/>
      <c r="DU726" s="1368">
        <f t="shared" si="31"/>
        <v>0</v>
      </c>
      <c r="DV726" s="1368"/>
      <c r="DW726" s="1368"/>
      <c r="DX726" s="1368"/>
      <c r="DY726" s="1368"/>
      <c r="DZ726" s="1368">
        <f t="shared" si="32"/>
        <v>0</v>
      </c>
      <c r="EA726" s="1368"/>
      <c r="EB726" s="1368"/>
      <c r="EC726" s="1368"/>
      <c r="ED726" s="1368"/>
      <c r="EE726" s="1368">
        <f t="shared" si="33"/>
        <v>0</v>
      </c>
      <c r="EF726" s="1368"/>
      <c r="EG726" s="1368"/>
      <c r="EH726" s="1368"/>
      <c r="EI726" s="1368"/>
      <c r="EJ726" s="1368">
        <f t="shared" si="34"/>
        <v>0</v>
      </c>
      <c r="EK726" s="1368"/>
      <c r="EL726" s="1368"/>
      <c r="EM726" s="1368"/>
      <c r="EN726" s="1368"/>
      <c r="EO726" s="1368">
        <f t="shared" si="35"/>
        <v>0</v>
      </c>
      <c r="EP726" s="1368"/>
      <c r="EQ726" s="1368"/>
      <c r="ER726" s="1368"/>
      <c r="ES726" s="1368"/>
      <c r="ET726" s="1368">
        <f t="shared" si="36"/>
        <v>0</v>
      </c>
      <c r="EU726" s="1368"/>
      <c r="EV726" s="1368"/>
      <c r="EW726" s="1368"/>
      <c r="EX726" s="1368"/>
      <c r="EY726" s="4"/>
      <c r="EZ726" s="1351" t="str">
        <f t="shared" si="37"/>
        <v/>
      </c>
      <c r="FA726" s="1352"/>
      <c r="FB726" s="1352"/>
      <c r="FC726" s="1352"/>
      <c r="FD726" s="1353"/>
      <c r="FE726" s="1351" t="str">
        <f t="shared" si="38"/>
        <v/>
      </c>
      <c r="FF726" s="1352"/>
      <c r="FG726" s="1352"/>
      <c r="FH726" s="1352"/>
      <c r="FI726" s="1353"/>
      <c r="FJ726" s="1351" t="str">
        <f t="shared" si="39"/>
        <v/>
      </c>
      <c r="FK726" s="1352"/>
      <c r="FL726" s="1352"/>
      <c r="FM726" s="1352"/>
      <c r="FN726" s="1353"/>
      <c r="FO726" s="1351" t="str">
        <f t="shared" si="40"/>
        <v/>
      </c>
      <c r="FP726" s="1352"/>
      <c r="FQ726" s="1352"/>
      <c r="FR726" s="1352"/>
      <c r="FS726" s="1353"/>
      <c r="FT726" s="1351" t="str">
        <f t="shared" si="41"/>
        <v/>
      </c>
      <c r="FU726" s="1352"/>
      <c r="FV726" s="1352"/>
      <c r="FW726" s="1352"/>
      <c r="FX726" s="1353"/>
      <c r="FY726" s="1351" t="str">
        <f t="shared" si="42"/>
        <v/>
      </c>
      <c r="FZ726" s="1352"/>
      <c r="GA726" s="1352"/>
      <c r="GB726" s="1352"/>
      <c r="GC726" s="1353"/>
    </row>
    <row r="727" spans="1:185" ht="12.95" customHeight="1">
      <c r="A727" s="4"/>
      <c r="B727" s="1355"/>
      <c r="C727" s="1356"/>
      <c r="D727" s="1356"/>
      <c r="E727" s="1356"/>
      <c r="F727" s="1357"/>
      <c r="G727" s="1364"/>
      <c r="H727" s="1365"/>
      <c r="I727" s="1365"/>
      <c r="J727" s="1366"/>
      <c r="K727" s="1611"/>
      <c r="L727" s="1612"/>
      <c r="M727" s="1612"/>
      <c r="N727" s="1613"/>
      <c r="O727" s="1470"/>
      <c r="P727" s="1471"/>
      <c r="Q727" s="1471"/>
      <c r="R727" s="1471"/>
      <c r="S727" s="1472"/>
      <c r="T727" s="1470"/>
      <c r="U727" s="1471"/>
      <c r="V727" s="1471"/>
      <c r="W727" s="1472"/>
      <c r="X727" s="1358">
        <f t="shared" si="15"/>
        <v>0</v>
      </c>
      <c r="Y727" s="1359"/>
      <c r="Z727" s="1359"/>
      <c r="AA727" s="1359"/>
      <c r="AB727" s="1360"/>
      <c r="AC727" s="1620"/>
      <c r="AD727" s="1621"/>
      <c r="AE727" s="1621"/>
      <c r="AF727" s="1621"/>
      <c r="AG727" s="1622"/>
      <c r="AH727" s="1361" t="str">
        <f t="shared" si="43"/>
        <v/>
      </c>
      <c r="AI727" s="1362"/>
      <c r="AJ727" s="1363"/>
      <c r="AK727" s="1355" t="s">
        <v>592</v>
      </c>
      <c r="AL727" s="1356"/>
      <c r="AM727" s="1356"/>
      <c r="AN727" s="1356"/>
      <c r="AO727" s="1357"/>
      <c r="AP727" s="3"/>
      <c r="AQ727" s="3"/>
      <c r="AR727" s="3"/>
      <c r="AS727" s="3"/>
      <c r="AY727" s="1085"/>
      <c r="AZ727" s="118" t="str">
        <f t="shared" si="16"/>
        <v>N/A</v>
      </c>
      <c r="BA727" s="3"/>
      <c r="BB727" s="3"/>
      <c r="BC727" s="3"/>
      <c r="BD727" s="3"/>
      <c r="BE727" s="204"/>
      <c r="BF727" s="294">
        <f t="shared" si="17"/>
        <v>0</v>
      </c>
      <c r="BG727" s="297">
        <f t="shared" si="18"/>
        <v>0</v>
      </c>
      <c r="BH727" s="298" t="str">
        <f t="shared" si="19"/>
        <v/>
      </c>
      <c r="BI727" s="3"/>
      <c r="BJ727" s="3"/>
      <c r="BK727" s="3"/>
      <c r="BL727" s="3"/>
      <c r="BM727" s="3"/>
      <c r="BN727" s="3"/>
      <c r="BS727" s="294">
        <f t="shared" si="20"/>
        <v>0</v>
      </c>
      <c r="BT727" s="297">
        <f t="shared" si="21"/>
        <v>0</v>
      </c>
      <c r="BU727" s="298" t="str">
        <f t="shared" si="22"/>
        <v/>
      </c>
      <c r="BV727" s="3"/>
      <c r="BW727" s="3"/>
      <c r="BX727" s="3"/>
      <c r="BY727" s="3"/>
      <c r="BZ727" s="3"/>
      <c r="CA727" s="3"/>
      <c r="CB727" s="3"/>
      <c r="CC727" s="3"/>
      <c r="CE727" s="3"/>
      <c r="CF727" s="3"/>
      <c r="CG727" s="1351">
        <f t="shared" si="44"/>
        <v>0</v>
      </c>
      <c r="CH727" s="1353"/>
      <c r="CI727" s="1335">
        <f t="shared" si="45"/>
        <v>0</v>
      </c>
      <c r="CJ727" s="1337"/>
      <c r="CK727" s="1351">
        <f t="shared" si="23"/>
        <v>0</v>
      </c>
      <c r="CL727" s="1353"/>
      <c r="CM727" s="1335">
        <f t="shared" si="24"/>
        <v>0</v>
      </c>
      <c r="CN727" s="1337"/>
      <c r="CO727" s="3"/>
      <c r="CP727" s="1332">
        <f t="shared" si="25"/>
        <v>0</v>
      </c>
      <c r="CQ727" s="1333"/>
      <c r="CR727" s="1333"/>
      <c r="CS727" s="1333"/>
      <c r="CT727" s="1334"/>
      <c r="CU727" s="1354">
        <f t="shared" si="26"/>
        <v>0</v>
      </c>
      <c r="CV727" s="1354"/>
      <c r="CW727" s="1354"/>
      <c r="CX727" s="1354"/>
      <c r="CY727" s="1354"/>
      <c r="CZ727" s="1354">
        <f t="shared" si="27"/>
        <v>0</v>
      </c>
      <c r="DA727" s="1354"/>
      <c r="DB727" s="1354"/>
      <c r="DC727" s="1354"/>
      <c r="DD727" s="1354"/>
      <c r="DE727" s="1354">
        <f t="shared" si="28"/>
        <v>0</v>
      </c>
      <c r="DF727" s="1354"/>
      <c r="DG727" s="1354"/>
      <c r="DH727" s="1354"/>
      <c r="DI727" s="1354"/>
      <c r="DJ727" s="1354">
        <f t="shared" si="29"/>
        <v>0</v>
      </c>
      <c r="DK727" s="1354"/>
      <c r="DL727" s="1354"/>
      <c r="DM727" s="1354"/>
      <c r="DN727" s="1354"/>
      <c r="DO727" s="1354">
        <f t="shared" si="30"/>
        <v>0</v>
      </c>
      <c r="DP727" s="1354"/>
      <c r="DQ727" s="1354"/>
      <c r="DR727" s="1354"/>
      <c r="DS727" s="1354"/>
      <c r="DT727" s="6"/>
      <c r="DU727" s="1368">
        <f t="shared" si="31"/>
        <v>0</v>
      </c>
      <c r="DV727" s="1368"/>
      <c r="DW727" s="1368"/>
      <c r="DX727" s="1368"/>
      <c r="DY727" s="1368"/>
      <c r="DZ727" s="1368">
        <f t="shared" si="32"/>
        <v>0</v>
      </c>
      <c r="EA727" s="1368"/>
      <c r="EB727" s="1368"/>
      <c r="EC727" s="1368"/>
      <c r="ED727" s="1368"/>
      <c r="EE727" s="1368">
        <f t="shared" si="33"/>
        <v>0</v>
      </c>
      <c r="EF727" s="1368"/>
      <c r="EG727" s="1368"/>
      <c r="EH727" s="1368"/>
      <c r="EI727" s="1368"/>
      <c r="EJ727" s="1368">
        <f t="shared" si="34"/>
        <v>0</v>
      </c>
      <c r="EK727" s="1368"/>
      <c r="EL727" s="1368"/>
      <c r="EM727" s="1368"/>
      <c r="EN727" s="1368"/>
      <c r="EO727" s="1368">
        <f t="shared" si="35"/>
        <v>0</v>
      </c>
      <c r="EP727" s="1368"/>
      <c r="EQ727" s="1368"/>
      <c r="ER727" s="1368"/>
      <c r="ES727" s="1368"/>
      <c r="ET727" s="1368">
        <f t="shared" si="36"/>
        <v>0</v>
      </c>
      <c r="EU727" s="1368"/>
      <c r="EV727" s="1368"/>
      <c r="EW727" s="1368"/>
      <c r="EX727" s="1368"/>
      <c r="EY727" s="4"/>
      <c r="EZ727" s="1351" t="str">
        <f t="shared" si="37"/>
        <v/>
      </c>
      <c r="FA727" s="1352"/>
      <c r="FB727" s="1352"/>
      <c r="FC727" s="1352"/>
      <c r="FD727" s="1353"/>
      <c r="FE727" s="1351" t="str">
        <f t="shared" si="38"/>
        <v/>
      </c>
      <c r="FF727" s="1352"/>
      <c r="FG727" s="1352"/>
      <c r="FH727" s="1352"/>
      <c r="FI727" s="1353"/>
      <c r="FJ727" s="1351" t="str">
        <f t="shared" si="39"/>
        <v/>
      </c>
      <c r="FK727" s="1352"/>
      <c r="FL727" s="1352"/>
      <c r="FM727" s="1352"/>
      <c r="FN727" s="1353"/>
      <c r="FO727" s="1351" t="str">
        <f t="shared" si="40"/>
        <v/>
      </c>
      <c r="FP727" s="1352"/>
      <c r="FQ727" s="1352"/>
      <c r="FR727" s="1352"/>
      <c r="FS727" s="1353"/>
      <c r="FT727" s="1351" t="str">
        <f t="shared" si="41"/>
        <v/>
      </c>
      <c r="FU727" s="1352"/>
      <c r="FV727" s="1352"/>
      <c r="FW727" s="1352"/>
      <c r="FX727" s="1353"/>
      <c r="FY727" s="1351" t="str">
        <f t="shared" si="42"/>
        <v/>
      </c>
      <c r="FZ727" s="1352"/>
      <c r="GA727" s="1352"/>
      <c r="GB727" s="1352"/>
      <c r="GC727" s="1353"/>
    </row>
    <row r="728" spans="1:185" ht="12.95" customHeight="1">
      <c r="A728" s="4"/>
      <c r="B728" s="1355"/>
      <c r="C728" s="1356"/>
      <c r="D728" s="1356"/>
      <c r="E728" s="1356"/>
      <c r="F728" s="1357"/>
      <c r="G728" s="1364"/>
      <c r="H728" s="1365"/>
      <c r="I728" s="1365"/>
      <c r="J728" s="1366"/>
      <c r="K728" s="1611"/>
      <c r="L728" s="1612"/>
      <c r="M728" s="1612"/>
      <c r="N728" s="1613"/>
      <c r="O728" s="1470"/>
      <c r="P728" s="1471"/>
      <c r="Q728" s="1471"/>
      <c r="R728" s="1471"/>
      <c r="S728" s="1472"/>
      <c r="T728" s="1470"/>
      <c r="U728" s="1471"/>
      <c r="V728" s="1471"/>
      <c r="W728" s="1472"/>
      <c r="X728" s="1358">
        <f t="shared" si="15"/>
        <v>0</v>
      </c>
      <c r="Y728" s="1359"/>
      <c r="Z728" s="1359"/>
      <c r="AA728" s="1359"/>
      <c r="AB728" s="1360"/>
      <c r="AC728" s="1620"/>
      <c r="AD728" s="1621"/>
      <c r="AE728" s="1621"/>
      <c r="AF728" s="1621"/>
      <c r="AG728" s="1622"/>
      <c r="AH728" s="1361" t="str">
        <f t="shared" si="43"/>
        <v/>
      </c>
      <c r="AI728" s="1362"/>
      <c r="AJ728" s="1363"/>
      <c r="AK728" s="1355" t="s">
        <v>592</v>
      </c>
      <c r="AL728" s="1356"/>
      <c r="AM728" s="1356"/>
      <c r="AN728" s="1356"/>
      <c r="AO728" s="1357"/>
      <c r="AP728" s="3"/>
      <c r="AQ728" s="3"/>
      <c r="AR728" s="3"/>
      <c r="AS728" s="3"/>
      <c r="AY728" s="1085"/>
      <c r="AZ728" s="118" t="str">
        <f t="shared" si="16"/>
        <v>N/A</v>
      </c>
      <c r="BA728" s="3"/>
      <c r="BB728" s="3"/>
      <c r="BC728" s="3"/>
      <c r="BD728" s="3"/>
      <c r="BE728" s="204"/>
      <c r="BF728" s="294">
        <f t="shared" si="17"/>
        <v>0</v>
      </c>
      <c r="BG728" s="297">
        <f t="shared" si="18"/>
        <v>0</v>
      </c>
      <c r="BH728" s="298" t="str">
        <f t="shared" si="19"/>
        <v/>
      </c>
      <c r="BI728" s="3"/>
      <c r="BJ728" s="3"/>
      <c r="BK728" s="3"/>
      <c r="BL728" s="3"/>
      <c r="BM728" s="3"/>
      <c r="BN728" s="3"/>
      <c r="BS728" s="294">
        <f t="shared" si="20"/>
        <v>0</v>
      </c>
      <c r="BT728" s="297">
        <f t="shared" si="21"/>
        <v>0</v>
      </c>
      <c r="BU728" s="298" t="str">
        <f t="shared" si="22"/>
        <v/>
      </c>
      <c r="BV728" s="3"/>
      <c r="BW728" s="3"/>
      <c r="BX728" s="3"/>
      <c r="BY728" s="3"/>
      <c r="BZ728" s="3"/>
      <c r="CA728" s="3"/>
      <c r="CB728" s="3"/>
      <c r="CC728" s="3"/>
      <c r="CE728" s="3"/>
      <c r="CF728" s="3"/>
      <c r="CG728" s="1351">
        <f t="shared" si="44"/>
        <v>0</v>
      </c>
      <c r="CH728" s="1353"/>
      <c r="CI728" s="1335">
        <f t="shared" si="45"/>
        <v>0</v>
      </c>
      <c r="CJ728" s="1337"/>
      <c r="CK728" s="1351">
        <f t="shared" si="23"/>
        <v>0</v>
      </c>
      <c r="CL728" s="1353"/>
      <c r="CM728" s="1335">
        <f t="shared" si="24"/>
        <v>0</v>
      </c>
      <c r="CN728" s="1337"/>
      <c r="CO728" s="3"/>
      <c r="CP728" s="1332">
        <f t="shared" si="25"/>
        <v>0</v>
      </c>
      <c r="CQ728" s="1333"/>
      <c r="CR728" s="1333"/>
      <c r="CS728" s="1333"/>
      <c r="CT728" s="1334"/>
      <c r="CU728" s="1354">
        <f t="shared" si="26"/>
        <v>0</v>
      </c>
      <c r="CV728" s="1354"/>
      <c r="CW728" s="1354"/>
      <c r="CX728" s="1354"/>
      <c r="CY728" s="1354"/>
      <c r="CZ728" s="1354">
        <f t="shared" si="27"/>
        <v>0</v>
      </c>
      <c r="DA728" s="1354"/>
      <c r="DB728" s="1354"/>
      <c r="DC728" s="1354"/>
      <c r="DD728" s="1354"/>
      <c r="DE728" s="1354">
        <f t="shared" si="28"/>
        <v>0</v>
      </c>
      <c r="DF728" s="1354"/>
      <c r="DG728" s="1354"/>
      <c r="DH728" s="1354"/>
      <c r="DI728" s="1354"/>
      <c r="DJ728" s="1354">
        <f t="shared" si="29"/>
        <v>0</v>
      </c>
      <c r="DK728" s="1354"/>
      <c r="DL728" s="1354"/>
      <c r="DM728" s="1354"/>
      <c r="DN728" s="1354"/>
      <c r="DO728" s="1354">
        <f t="shared" si="30"/>
        <v>0</v>
      </c>
      <c r="DP728" s="1354"/>
      <c r="DQ728" s="1354"/>
      <c r="DR728" s="1354"/>
      <c r="DS728" s="1354"/>
      <c r="DT728" s="6"/>
      <c r="DU728" s="1368">
        <f t="shared" si="31"/>
        <v>0</v>
      </c>
      <c r="DV728" s="1368"/>
      <c r="DW728" s="1368"/>
      <c r="DX728" s="1368"/>
      <c r="DY728" s="1368"/>
      <c r="DZ728" s="1368">
        <f t="shared" si="32"/>
        <v>0</v>
      </c>
      <c r="EA728" s="1368"/>
      <c r="EB728" s="1368"/>
      <c r="EC728" s="1368"/>
      <c r="ED728" s="1368"/>
      <c r="EE728" s="1368">
        <f t="shared" si="33"/>
        <v>0</v>
      </c>
      <c r="EF728" s="1368"/>
      <c r="EG728" s="1368"/>
      <c r="EH728" s="1368"/>
      <c r="EI728" s="1368"/>
      <c r="EJ728" s="1368">
        <f t="shared" si="34"/>
        <v>0</v>
      </c>
      <c r="EK728" s="1368"/>
      <c r="EL728" s="1368"/>
      <c r="EM728" s="1368"/>
      <c r="EN728" s="1368"/>
      <c r="EO728" s="1368">
        <f t="shared" si="35"/>
        <v>0</v>
      </c>
      <c r="EP728" s="1368"/>
      <c r="EQ728" s="1368"/>
      <c r="ER728" s="1368"/>
      <c r="ES728" s="1368"/>
      <c r="ET728" s="1368">
        <f t="shared" si="36"/>
        <v>0</v>
      </c>
      <c r="EU728" s="1368"/>
      <c r="EV728" s="1368"/>
      <c r="EW728" s="1368"/>
      <c r="EX728" s="1368"/>
      <c r="EY728" s="4"/>
      <c r="EZ728" s="1351" t="str">
        <f t="shared" si="37"/>
        <v/>
      </c>
      <c r="FA728" s="1352"/>
      <c r="FB728" s="1352"/>
      <c r="FC728" s="1352"/>
      <c r="FD728" s="1353"/>
      <c r="FE728" s="1351" t="str">
        <f t="shared" si="38"/>
        <v/>
      </c>
      <c r="FF728" s="1352"/>
      <c r="FG728" s="1352"/>
      <c r="FH728" s="1352"/>
      <c r="FI728" s="1353"/>
      <c r="FJ728" s="1351" t="str">
        <f t="shared" si="39"/>
        <v/>
      </c>
      <c r="FK728" s="1352"/>
      <c r="FL728" s="1352"/>
      <c r="FM728" s="1352"/>
      <c r="FN728" s="1353"/>
      <c r="FO728" s="1351" t="str">
        <f t="shared" si="40"/>
        <v/>
      </c>
      <c r="FP728" s="1352"/>
      <c r="FQ728" s="1352"/>
      <c r="FR728" s="1352"/>
      <c r="FS728" s="1353"/>
      <c r="FT728" s="1351" t="str">
        <f t="shared" si="41"/>
        <v/>
      </c>
      <c r="FU728" s="1352"/>
      <c r="FV728" s="1352"/>
      <c r="FW728" s="1352"/>
      <c r="FX728" s="1353"/>
      <c r="FY728" s="1351" t="str">
        <f t="shared" si="42"/>
        <v/>
      </c>
      <c r="FZ728" s="1352"/>
      <c r="GA728" s="1352"/>
      <c r="GB728" s="1352"/>
      <c r="GC728" s="1353"/>
    </row>
    <row r="729" spans="1:185" ht="12.95" customHeight="1">
      <c r="A729" s="4"/>
      <c r="B729" s="1355"/>
      <c r="C729" s="1356"/>
      <c r="D729" s="1356"/>
      <c r="E729" s="1356"/>
      <c r="F729" s="1357"/>
      <c r="G729" s="1364"/>
      <c r="H729" s="1365"/>
      <c r="I729" s="1365"/>
      <c r="J729" s="1366"/>
      <c r="K729" s="1611"/>
      <c r="L729" s="1612"/>
      <c r="M729" s="1612"/>
      <c r="N729" s="1613"/>
      <c r="O729" s="1470"/>
      <c r="P729" s="1471"/>
      <c r="Q729" s="1471"/>
      <c r="R729" s="1471"/>
      <c r="S729" s="1472"/>
      <c r="T729" s="1470"/>
      <c r="U729" s="1471"/>
      <c r="V729" s="1471"/>
      <c r="W729" s="1472"/>
      <c r="X729" s="1358">
        <f t="shared" si="15"/>
        <v>0</v>
      </c>
      <c r="Y729" s="1359"/>
      <c r="Z729" s="1359"/>
      <c r="AA729" s="1359"/>
      <c r="AB729" s="1360"/>
      <c r="AC729" s="1620"/>
      <c r="AD729" s="1621"/>
      <c r="AE729" s="1621"/>
      <c r="AF729" s="1621"/>
      <c r="AG729" s="1622"/>
      <c r="AH729" s="1361" t="str">
        <f t="shared" si="43"/>
        <v/>
      </c>
      <c r="AI729" s="1362"/>
      <c r="AJ729" s="1363"/>
      <c r="AK729" s="1355" t="s">
        <v>592</v>
      </c>
      <c r="AL729" s="1356"/>
      <c r="AM729" s="1356"/>
      <c r="AN729" s="1356"/>
      <c r="AO729" s="1357"/>
      <c r="AP729" s="3"/>
      <c r="AQ729" s="3"/>
      <c r="AR729" s="3"/>
      <c r="AS729" s="3"/>
      <c r="AY729" s="1085"/>
      <c r="AZ729" s="118" t="str">
        <f t="shared" si="16"/>
        <v>N/A</v>
      </c>
      <c r="BA729" s="3"/>
      <c r="BB729" s="3"/>
      <c r="BC729" s="3"/>
      <c r="BD729" s="3"/>
      <c r="BE729" s="204"/>
      <c r="BF729" s="294">
        <f t="shared" si="17"/>
        <v>0</v>
      </c>
      <c r="BG729" s="297">
        <f t="shared" si="18"/>
        <v>0</v>
      </c>
      <c r="BH729" s="298" t="str">
        <f t="shared" si="19"/>
        <v/>
      </c>
      <c r="BI729" s="3"/>
      <c r="BJ729" s="3"/>
      <c r="BK729" s="3"/>
      <c r="BL729" s="3"/>
      <c r="BM729" s="3"/>
      <c r="BN729" s="3"/>
      <c r="BS729" s="294">
        <f t="shared" si="20"/>
        <v>0</v>
      </c>
      <c r="BT729" s="297">
        <f t="shared" si="21"/>
        <v>0</v>
      </c>
      <c r="BU729" s="298" t="str">
        <f t="shared" si="22"/>
        <v/>
      </c>
      <c r="BV729" s="3"/>
      <c r="BW729" s="3"/>
      <c r="BX729" s="3"/>
      <c r="BY729" s="3"/>
      <c r="BZ729" s="3"/>
      <c r="CA729" s="3"/>
      <c r="CB729" s="3"/>
      <c r="CC729" s="3"/>
      <c r="CE729" s="3"/>
      <c r="CF729" s="3"/>
      <c r="CG729" s="1351">
        <f t="shared" si="44"/>
        <v>0</v>
      </c>
      <c r="CH729" s="1353"/>
      <c r="CI729" s="1335">
        <f t="shared" si="45"/>
        <v>0</v>
      </c>
      <c r="CJ729" s="1337"/>
      <c r="CK729" s="1351">
        <f t="shared" si="23"/>
        <v>0</v>
      </c>
      <c r="CL729" s="1353"/>
      <c r="CM729" s="1335">
        <f t="shared" si="24"/>
        <v>0</v>
      </c>
      <c r="CN729" s="1337"/>
      <c r="CO729" s="3"/>
      <c r="CP729" s="1332">
        <f t="shared" si="25"/>
        <v>0</v>
      </c>
      <c r="CQ729" s="1333"/>
      <c r="CR729" s="1333"/>
      <c r="CS729" s="1333"/>
      <c r="CT729" s="1334"/>
      <c r="CU729" s="1354">
        <f t="shared" si="26"/>
        <v>0</v>
      </c>
      <c r="CV729" s="1354"/>
      <c r="CW729" s="1354"/>
      <c r="CX729" s="1354"/>
      <c r="CY729" s="1354"/>
      <c r="CZ729" s="1354">
        <f t="shared" si="27"/>
        <v>0</v>
      </c>
      <c r="DA729" s="1354"/>
      <c r="DB729" s="1354"/>
      <c r="DC729" s="1354"/>
      <c r="DD729" s="1354"/>
      <c r="DE729" s="1354">
        <f t="shared" si="28"/>
        <v>0</v>
      </c>
      <c r="DF729" s="1354"/>
      <c r="DG729" s="1354"/>
      <c r="DH729" s="1354"/>
      <c r="DI729" s="1354"/>
      <c r="DJ729" s="1354">
        <f t="shared" si="29"/>
        <v>0</v>
      </c>
      <c r="DK729" s="1354"/>
      <c r="DL729" s="1354"/>
      <c r="DM729" s="1354"/>
      <c r="DN729" s="1354"/>
      <c r="DO729" s="1354">
        <f t="shared" si="30"/>
        <v>0</v>
      </c>
      <c r="DP729" s="1354"/>
      <c r="DQ729" s="1354"/>
      <c r="DR729" s="1354"/>
      <c r="DS729" s="1354"/>
      <c r="DT729" s="6"/>
      <c r="DU729" s="1368">
        <f t="shared" si="31"/>
        <v>0</v>
      </c>
      <c r="DV729" s="1368"/>
      <c r="DW729" s="1368"/>
      <c r="DX729" s="1368"/>
      <c r="DY729" s="1368"/>
      <c r="DZ729" s="1368">
        <f t="shared" si="32"/>
        <v>0</v>
      </c>
      <c r="EA729" s="1368"/>
      <c r="EB729" s="1368"/>
      <c r="EC729" s="1368"/>
      <c r="ED729" s="1368"/>
      <c r="EE729" s="1368">
        <f t="shared" si="33"/>
        <v>0</v>
      </c>
      <c r="EF729" s="1368"/>
      <c r="EG729" s="1368"/>
      <c r="EH729" s="1368"/>
      <c r="EI729" s="1368"/>
      <c r="EJ729" s="1368">
        <f t="shared" si="34"/>
        <v>0</v>
      </c>
      <c r="EK729" s="1368"/>
      <c r="EL729" s="1368"/>
      <c r="EM729" s="1368"/>
      <c r="EN729" s="1368"/>
      <c r="EO729" s="1368">
        <f t="shared" si="35"/>
        <v>0</v>
      </c>
      <c r="EP729" s="1368"/>
      <c r="EQ729" s="1368"/>
      <c r="ER729" s="1368"/>
      <c r="ES729" s="1368"/>
      <c r="ET729" s="1368">
        <f t="shared" si="36"/>
        <v>0</v>
      </c>
      <c r="EU729" s="1368"/>
      <c r="EV729" s="1368"/>
      <c r="EW729" s="1368"/>
      <c r="EX729" s="1368"/>
      <c r="EZ729" s="1351" t="str">
        <f t="shared" si="37"/>
        <v/>
      </c>
      <c r="FA729" s="1352"/>
      <c r="FB729" s="1352"/>
      <c r="FC729" s="1352"/>
      <c r="FD729" s="1353"/>
      <c r="FE729" s="1351" t="str">
        <f t="shared" si="38"/>
        <v/>
      </c>
      <c r="FF729" s="1352"/>
      <c r="FG729" s="1352"/>
      <c r="FH729" s="1352"/>
      <c r="FI729" s="1353"/>
      <c r="FJ729" s="1351" t="str">
        <f t="shared" si="39"/>
        <v/>
      </c>
      <c r="FK729" s="1352"/>
      <c r="FL729" s="1352"/>
      <c r="FM729" s="1352"/>
      <c r="FN729" s="1353"/>
      <c r="FO729" s="1351" t="str">
        <f t="shared" si="40"/>
        <v/>
      </c>
      <c r="FP729" s="1352"/>
      <c r="FQ729" s="1352"/>
      <c r="FR729" s="1352"/>
      <c r="FS729" s="1353"/>
      <c r="FT729" s="1351" t="str">
        <f t="shared" si="41"/>
        <v/>
      </c>
      <c r="FU729" s="1352"/>
      <c r="FV729" s="1352"/>
      <c r="FW729" s="1352"/>
      <c r="FX729" s="1353"/>
      <c r="FY729" s="1351" t="str">
        <f t="shared" si="42"/>
        <v/>
      </c>
      <c r="FZ729" s="1352"/>
      <c r="GA729" s="1352"/>
      <c r="GB729" s="1352"/>
      <c r="GC729" s="1353"/>
    </row>
    <row r="730" spans="1:185" ht="12.95" customHeight="1">
      <c r="B730" s="1355"/>
      <c r="C730" s="1356"/>
      <c r="D730" s="1356"/>
      <c r="E730" s="1356"/>
      <c r="F730" s="1357"/>
      <c r="G730" s="1364"/>
      <c r="H730" s="1365"/>
      <c r="I730" s="1365"/>
      <c r="J730" s="1366"/>
      <c r="K730" s="1611"/>
      <c r="L730" s="1612"/>
      <c r="M730" s="1612"/>
      <c r="N730" s="1613"/>
      <c r="O730" s="1470"/>
      <c r="P730" s="1471"/>
      <c r="Q730" s="1471"/>
      <c r="R730" s="1471"/>
      <c r="S730" s="1472"/>
      <c r="T730" s="1470"/>
      <c r="U730" s="1471"/>
      <c r="V730" s="1471"/>
      <c r="W730" s="1472"/>
      <c r="X730" s="1358">
        <f t="shared" si="15"/>
        <v>0</v>
      </c>
      <c r="Y730" s="1359"/>
      <c r="Z730" s="1359"/>
      <c r="AA730" s="1359"/>
      <c r="AB730" s="1360"/>
      <c r="AC730" s="1620"/>
      <c r="AD730" s="1621"/>
      <c r="AE730" s="1621"/>
      <c r="AF730" s="1621"/>
      <c r="AG730" s="1622"/>
      <c r="AH730" s="1361" t="str">
        <f t="shared" si="43"/>
        <v/>
      </c>
      <c r="AI730" s="1362"/>
      <c r="AJ730" s="1363"/>
      <c r="AK730" s="1355" t="s">
        <v>592</v>
      </c>
      <c r="AL730" s="1356"/>
      <c r="AM730" s="1356"/>
      <c r="AN730" s="1356"/>
      <c r="AO730" s="1357"/>
      <c r="AP730" s="3"/>
      <c r="AQ730" s="3"/>
      <c r="AR730" s="3"/>
      <c r="AS730" s="3"/>
      <c r="AY730" s="1085"/>
      <c r="AZ730" s="118" t="str">
        <f t="shared" si="16"/>
        <v>N/A</v>
      </c>
      <c r="BA730" s="3"/>
      <c r="BB730" s="3"/>
      <c r="BC730" s="3"/>
      <c r="BD730" s="3"/>
      <c r="BE730" s="204"/>
      <c r="BF730" s="294">
        <f t="shared" si="17"/>
        <v>0</v>
      </c>
      <c r="BG730" s="297">
        <f t="shared" si="18"/>
        <v>0</v>
      </c>
      <c r="BH730" s="298" t="str">
        <f t="shared" si="19"/>
        <v/>
      </c>
      <c r="BI730" s="3"/>
      <c r="BJ730" s="3"/>
      <c r="BK730" s="3"/>
      <c r="BL730" s="3"/>
      <c r="BM730" s="3"/>
      <c r="BN730" s="3"/>
      <c r="BS730" s="294">
        <f t="shared" si="20"/>
        <v>0</v>
      </c>
      <c r="BT730" s="297">
        <f t="shared" si="21"/>
        <v>0</v>
      </c>
      <c r="BU730" s="298" t="str">
        <f t="shared" si="22"/>
        <v/>
      </c>
      <c r="BV730" s="3"/>
      <c r="BW730" s="3"/>
      <c r="BX730" s="3"/>
      <c r="BY730" s="3"/>
      <c r="BZ730" s="3"/>
      <c r="CA730" s="3"/>
      <c r="CB730" s="3"/>
      <c r="CC730" s="3"/>
      <c r="CE730" s="3"/>
      <c r="CF730" s="3"/>
      <c r="CG730" s="1351">
        <f t="shared" si="44"/>
        <v>0</v>
      </c>
      <c r="CH730" s="1353"/>
      <c r="CI730" s="1335">
        <f t="shared" si="45"/>
        <v>0</v>
      </c>
      <c r="CJ730" s="1337"/>
      <c r="CK730" s="1351">
        <f t="shared" si="23"/>
        <v>0</v>
      </c>
      <c r="CL730" s="1353"/>
      <c r="CM730" s="1335">
        <f t="shared" si="24"/>
        <v>0</v>
      </c>
      <c r="CN730" s="1337"/>
      <c r="CO730" s="3"/>
      <c r="CP730" s="1332">
        <f t="shared" si="25"/>
        <v>0</v>
      </c>
      <c r="CQ730" s="1333"/>
      <c r="CR730" s="1333"/>
      <c r="CS730" s="1333"/>
      <c r="CT730" s="1334"/>
      <c r="CU730" s="1354">
        <f t="shared" si="26"/>
        <v>0</v>
      </c>
      <c r="CV730" s="1354"/>
      <c r="CW730" s="1354"/>
      <c r="CX730" s="1354"/>
      <c r="CY730" s="1354"/>
      <c r="CZ730" s="1354">
        <f t="shared" si="27"/>
        <v>0</v>
      </c>
      <c r="DA730" s="1354"/>
      <c r="DB730" s="1354"/>
      <c r="DC730" s="1354"/>
      <c r="DD730" s="1354"/>
      <c r="DE730" s="1354">
        <f t="shared" si="28"/>
        <v>0</v>
      </c>
      <c r="DF730" s="1354"/>
      <c r="DG730" s="1354"/>
      <c r="DH730" s="1354"/>
      <c r="DI730" s="1354"/>
      <c r="DJ730" s="1354">
        <f t="shared" si="29"/>
        <v>0</v>
      </c>
      <c r="DK730" s="1354"/>
      <c r="DL730" s="1354"/>
      <c r="DM730" s="1354"/>
      <c r="DN730" s="1354"/>
      <c r="DO730" s="1354">
        <f t="shared" si="30"/>
        <v>0</v>
      </c>
      <c r="DP730" s="1354"/>
      <c r="DQ730" s="1354"/>
      <c r="DR730" s="1354"/>
      <c r="DS730" s="1354"/>
      <c r="DT730" s="6"/>
      <c r="DU730" s="1368">
        <f t="shared" si="31"/>
        <v>0</v>
      </c>
      <c r="DV730" s="1368"/>
      <c r="DW730" s="1368"/>
      <c r="DX730" s="1368"/>
      <c r="DY730" s="1368"/>
      <c r="DZ730" s="1368">
        <f t="shared" si="32"/>
        <v>0</v>
      </c>
      <c r="EA730" s="1368"/>
      <c r="EB730" s="1368"/>
      <c r="EC730" s="1368"/>
      <c r="ED730" s="1368"/>
      <c r="EE730" s="1368">
        <f t="shared" si="33"/>
        <v>0</v>
      </c>
      <c r="EF730" s="1368"/>
      <c r="EG730" s="1368"/>
      <c r="EH730" s="1368"/>
      <c r="EI730" s="1368"/>
      <c r="EJ730" s="1368">
        <f t="shared" si="34"/>
        <v>0</v>
      </c>
      <c r="EK730" s="1368"/>
      <c r="EL730" s="1368"/>
      <c r="EM730" s="1368"/>
      <c r="EN730" s="1368"/>
      <c r="EO730" s="1368">
        <f t="shared" si="35"/>
        <v>0</v>
      </c>
      <c r="EP730" s="1368"/>
      <c r="EQ730" s="1368"/>
      <c r="ER730" s="1368"/>
      <c r="ES730" s="1368"/>
      <c r="ET730" s="1368">
        <f t="shared" si="36"/>
        <v>0</v>
      </c>
      <c r="EU730" s="1368"/>
      <c r="EV730" s="1368"/>
      <c r="EW730" s="1368"/>
      <c r="EX730" s="1368"/>
      <c r="EZ730" s="1351" t="str">
        <f t="shared" si="37"/>
        <v/>
      </c>
      <c r="FA730" s="1352"/>
      <c r="FB730" s="1352"/>
      <c r="FC730" s="1352"/>
      <c r="FD730" s="1353"/>
      <c r="FE730" s="1351" t="str">
        <f t="shared" si="38"/>
        <v/>
      </c>
      <c r="FF730" s="1352"/>
      <c r="FG730" s="1352"/>
      <c r="FH730" s="1352"/>
      <c r="FI730" s="1353"/>
      <c r="FJ730" s="1351" t="str">
        <f t="shared" si="39"/>
        <v/>
      </c>
      <c r="FK730" s="1352"/>
      <c r="FL730" s="1352"/>
      <c r="FM730" s="1352"/>
      <c r="FN730" s="1353"/>
      <c r="FO730" s="1351" t="str">
        <f t="shared" si="40"/>
        <v/>
      </c>
      <c r="FP730" s="1352"/>
      <c r="FQ730" s="1352"/>
      <c r="FR730" s="1352"/>
      <c r="FS730" s="1353"/>
      <c r="FT730" s="1351" t="str">
        <f t="shared" si="41"/>
        <v/>
      </c>
      <c r="FU730" s="1352"/>
      <c r="FV730" s="1352"/>
      <c r="FW730" s="1352"/>
      <c r="FX730" s="1353"/>
      <c r="FY730" s="1351" t="str">
        <f t="shared" si="42"/>
        <v/>
      </c>
      <c r="FZ730" s="1352"/>
      <c r="GA730" s="1352"/>
      <c r="GB730" s="1352"/>
      <c r="GC730" s="1353"/>
    </row>
    <row r="731" spans="1:185" ht="12.95" customHeight="1">
      <c r="B731" s="1355"/>
      <c r="C731" s="1356"/>
      <c r="D731" s="1356"/>
      <c r="E731" s="1356"/>
      <c r="F731" s="1357"/>
      <c r="G731" s="1364"/>
      <c r="H731" s="1365"/>
      <c r="I731" s="1365"/>
      <c r="J731" s="1366"/>
      <c r="K731" s="1611"/>
      <c r="L731" s="1612"/>
      <c r="M731" s="1612"/>
      <c r="N731" s="1613"/>
      <c r="O731" s="1470"/>
      <c r="P731" s="1471"/>
      <c r="Q731" s="1471"/>
      <c r="R731" s="1471"/>
      <c r="S731" s="1472"/>
      <c r="T731" s="1470"/>
      <c r="U731" s="1471"/>
      <c r="V731" s="1471"/>
      <c r="W731" s="1472"/>
      <c r="X731" s="1358">
        <f t="shared" si="15"/>
        <v>0</v>
      </c>
      <c r="Y731" s="1359"/>
      <c r="Z731" s="1359"/>
      <c r="AA731" s="1359"/>
      <c r="AB731" s="1360"/>
      <c r="AC731" s="1620"/>
      <c r="AD731" s="1621"/>
      <c r="AE731" s="1621"/>
      <c r="AF731" s="1621"/>
      <c r="AG731" s="1622"/>
      <c r="AH731" s="1361" t="str">
        <f t="shared" si="43"/>
        <v/>
      </c>
      <c r="AI731" s="1362"/>
      <c r="AJ731" s="1363"/>
      <c r="AK731" s="1355" t="s">
        <v>592</v>
      </c>
      <c r="AL731" s="1356"/>
      <c r="AM731" s="1356"/>
      <c r="AN731" s="1356"/>
      <c r="AO731" s="1357"/>
      <c r="AP731" s="3"/>
      <c r="AQ731" s="3"/>
      <c r="AR731" s="3"/>
      <c r="AS731" s="3"/>
      <c r="AY731" s="1085"/>
      <c r="AZ731" s="118" t="str">
        <f t="shared" si="16"/>
        <v>N/A</v>
      </c>
      <c r="BA731" s="3"/>
      <c r="BB731" s="3"/>
      <c r="BC731" s="3"/>
      <c r="BD731" s="3"/>
      <c r="BE731" s="204"/>
      <c r="BF731" s="294">
        <f t="shared" si="17"/>
        <v>0</v>
      </c>
      <c r="BG731" s="297">
        <f t="shared" si="18"/>
        <v>0</v>
      </c>
      <c r="BH731" s="298" t="str">
        <f t="shared" si="19"/>
        <v/>
      </c>
      <c r="BI731" s="3"/>
      <c r="BJ731" s="3"/>
      <c r="BK731" s="3"/>
      <c r="BL731" s="3"/>
      <c r="BM731" s="3"/>
      <c r="BN731" s="3"/>
      <c r="BS731" s="294">
        <f t="shared" si="20"/>
        <v>0</v>
      </c>
      <c r="BT731" s="297">
        <f t="shared" si="21"/>
        <v>0</v>
      </c>
      <c r="BU731" s="298" t="str">
        <f t="shared" si="22"/>
        <v/>
      </c>
      <c r="BV731" s="3"/>
      <c r="BW731" s="3"/>
      <c r="BX731" s="3"/>
      <c r="BY731" s="3"/>
      <c r="BZ731" s="3"/>
      <c r="CA731" s="3"/>
      <c r="CB731" s="3"/>
      <c r="CC731" s="3"/>
      <c r="CE731" s="3"/>
      <c r="CF731" s="3"/>
      <c r="CG731" s="1351">
        <f t="shared" si="44"/>
        <v>0</v>
      </c>
      <c r="CH731" s="1353"/>
      <c r="CI731" s="1335">
        <f t="shared" si="45"/>
        <v>0</v>
      </c>
      <c r="CJ731" s="1337"/>
      <c r="CK731" s="1351">
        <f t="shared" si="23"/>
        <v>0</v>
      </c>
      <c r="CL731" s="1353"/>
      <c r="CM731" s="1335">
        <f t="shared" si="24"/>
        <v>0</v>
      </c>
      <c r="CN731" s="1337"/>
      <c r="CO731" s="3"/>
      <c r="CP731" s="1332">
        <f t="shared" si="25"/>
        <v>0</v>
      </c>
      <c r="CQ731" s="1333"/>
      <c r="CR731" s="1333"/>
      <c r="CS731" s="1333"/>
      <c r="CT731" s="1334"/>
      <c r="CU731" s="1354">
        <f t="shared" si="26"/>
        <v>0</v>
      </c>
      <c r="CV731" s="1354"/>
      <c r="CW731" s="1354"/>
      <c r="CX731" s="1354"/>
      <c r="CY731" s="1354"/>
      <c r="CZ731" s="1354">
        <f t="shared" si="27"/>
        <v>0</v>
      </c>
      <c r="DA731" s="1354"/>
      <c r="DB731" s="1354"/>
      <c r="DC731" s="1354"/>
      <c r="DD731" s="1354"/>
      <c r="DE731" s="1354">
        <f t="shared" si="28"/>
        <v>0</v>
      </c>
      <c r="DF731" s="1354"/>
      <c r="DG731" s="1354"/>
      <c r="DH731" s="1354"/>
      <c r="DI731" s="1354"/>
      <c r="DJ731" s="1354">
        <f t="shared" si="29"/>
        <v>0</v>
      </c>
      <c r="DK731" s="1354"/>
      <c r="DL731" s="1354"/>
      <c r="DM731" s="1354"/>
      <c r="DN731" s="1354"/>
      <c r="DO731" s="1354">
        <f t="shared" si="30"/>
        <v>0</v>
      </c>
      <c r="DP731" s="1354"/>
      <c r="DQ731" s="1354"/>
      <c r="DR731" s="1354"/>
      <c r="DS731" s="1354"/>
      <c r="DT731" s="6"/>
      <c r="DU731" s="1368">
        <f t="shared" si="31"/>
        <v>0</v>
      </c>
      <c r="DV731" s="1368"/>
      <c r="DW731" s="1368"/>
      <c r="DX731" s="1368"/>
      <c r="DY731" s="1368"/>
      <c r="DZ731" s="1368">
        <f t="shared" si="32"/>
        <v>0</v>
      </c>
      <c r="EA731" s="1368"/>
      <c r="EB731" s="1368"/>
      <c r="EC731" s="1368"/>
      <c r="ED731" s="1368"/>
      <c r="EE731" s="1368">
        <f t="shared" si="33"/>
        <v>0</v>
      </c>
      <c r="EF731" s="1368"/>
      <c r="EG731" s="1368"/>
      <c r="EH731" s="1368"/>
      <c r="EI731" s="1368"/>
      <c r="EJ731" s="1368">
        <f t="shared" si="34"/>
        <v>0</v>
      </c>
      <c r="EK731" s="1368"/>
      <c r="EL731" s="1368"/>
      <c r="EM731" s="1368"/>
      <c r="EN731" s="1368"/>
      <c r="EO731" s="1368">
        <f t="shared" si="35"/>
        <v>0</v>
      </c>
      <c r="EP731" s="1368"/>
      <c r="EQ731" s="1368"/>
      <c r="ER731" s="1368"/>
      <c r="ES731" s="1368"/>
      <c r="ET731" s="1368">
        <f t="shared" si="36"/>
        <v>0</v>
      </c>
      <c r="EU731" s="1368"/>
      <c r="EV731" s="1368"/>
      <c r="EW731" s="1368"/>
      <c r="EX731" s="1368"/>
      <c r="EZ731" s="1351" t="str">
        <f t="shared" si="37"/>
        <v/>
      </c>
      <c r="FA731" s="1352"/>
      <c r="FB731" s="1352"/>
      <c r="FC731" s="1352"/>
      <c r="FD731" s="1353"/>
      <c r="FE731" s="1351" t="str">
        <f t="shared" si="38"/>
        <v/>
      </c>
      <c r="FF731" s="1352"/>
      <c r="FG731" s="1352"/>
      <c r="FH731" s="1352"/>
      <c r="FI731" s="1353"/>
      <c r="FJ731" s="1351" t="str">
        <f t="shared" si="39"/>
        <v/>
      </c>
      <c r="FK731" s="1352"/>
      <c r="FL731" s="1352"/>
      <c r="FM731" s="1352"/>
      <c r="FN731" s="1353"/>
      <c r="FO731" s="1351" t="str">
        <f t="shared" si="40"/>
        <v/>
      </c>
      <c r="FP731" s="1352"/>
      <c r="FQ731" s="1352"/>
      <c r="FR731" s="1352"/>
      <c r="FS731" s="1353"/>
      <c r="FT731" s="1351" t="str">
        <f t="shared" si="41"/>
        <v/>
      </c>
      <c r="FU731" s="1352"/>
      <c r="FV731" s="1352"/>
      <c r="FW731" s="1352"/>
      <c r="FX731" s="1353"/>
      <c r="FY731" s="1351" t="str">
        <f t="shared" si="42"/>
        <v/>
      </c>
      <c r="FZ731" s="1352"/>
      <c r="GA731" s="1352"/>
      <c r="GB731" s="1352"/>
      <c r="GC731" s="1353"/>
    </row>
    <row r="732" spans="1:185" ht="12.95" customHeight="1">
      <c r="B732" s="1355"/>
      <c r="C732" s="1356"/>
      <c r="D732" s="1356"/>
      <c r="E732" s="1356"/>
      <c r="F732" s="1357"/>
      <c r="G732" s="1364"/>
      <c r="H732" s="1365"/>
      <c r="I732" s="1365"/>
      <c r="J732" s="1366"/>
      <c r="K732" s="1611"/>
      <c r="L732" s="1612"/>
      <c r="M732" s="1612"/>
      <c r="N732" s="1613"/>
      <c r="O732" s="1470"/>
      <c r="P732" s="1471"/>
      <c r="Q732" s="1471"/>
      <c r="R732" s="1471"/>
      <c r="S732" s="1472"/>
      <c r="T732" s="1470"/>
      <c r="U732" s="1471"/>
      <c r="V732" s="1471"/>
      <c r="W732" s="1472"/>
      <c r="X732" s="1358">
        <f t="shared" si="15"/>
        <v>0</v>
      </c>
      <c r="Y732" s="1359"/>
      <c r="Z732" s="1359"/>
      <c r="AA732" s="1359"/>
      <c r="AB732" s="1360"/>
      <c r="AC732" s="1620"/>
      <c r="AD732" s="1621"/>
      <c r="AE732" s="1621"/>
      <c r="AF732" s="1621"/>
      <c r="AG732" s="1622"/>
      <c r="AH732" s="1361" t="str">
        <f t="shared" si="43"/>
        <v/>
      </c>
      <c r="AI732" s="1362"/>
      <c r="AJ732" s="1363"/>
      <c r="AK732" s="1355" t="s">
        <v>592</v>
      </c>
      <c r="AL732" s="1356"/>
      <c r="AM732" s="1356"/>
      <c r="AN732" s="1356"/>
      <c r="AO732" s="1357"/>
      <c r="AP732" s="3"/>
      <c r="AQ732" s="3"/>
      <c r="AR732" s="3"/>
      <c r="AS732" s="3"/>
      <c r="AY732" s="1085"/>
      <c r="AZ732" s="118" t="str">
        <f t="shared" si="16"/>
        <v>N/A</v>
      </c>
      <c r="BA732" s="3"/>
      <c r="BB732" s="3"/>
      <c r="BC732" s="3"/>
      <c r="BD732" s="3"/>
      <c r="BE732" s="204"/>
      <c r="BF732" s="294">
        <f t="shared" si="17"/>
        <v>0</v>
      </c>
      <c r="BG732" s="297">
        <f t="shared" si="18"/>
        <v>0</v>
      </c>
      <c r="BH732" s="298" t="str">
        <f t="shared" si="19"/>
        <v/>
      </c>
      <c r="BI732" s="3"/>
      <c r="BJ732" s="3"/>
      <c r="BK732" s="3"/>
      <c r="BL732" s="3"/>
      <c r="BM732" s="3"/>
      <c r="BN732" s="3"/>
      <c r="BS732" s="294">
        <f t="shared" si="20"/>
        <v>0</v>
      </c>
      <c r="BT732" s="297">
        <f t="shared" si="21"/>
        <v>0</v>
      </c>
      <c r="BU732" s="298" t="str">
        <f t="shared" si="22"/>
        <v/>
      </c>
      <c r="BV732" s="3"/>
      <c r="BW732" s="3"/>
      <c r="BX732" s="3"/>
      <c r="BY732" s="3"/>
      <c r="BZ732" s="3"/>
      <c r="CA732" s="3"/>
      <c r="CB732" s="3"/>
      <c r="CC732" s="3"/>
      <c r="CE732" s="3"/>
      <c r="CF732" s="3"/>
      <c r="CG732" s="1351">
        <f t="shared" si="44"/>
        <v>0</v>
      </c>
      <c r="CH732" s="1353"/>
      <c r="CI732" s="1335">
        <f t="shared" si="45"/>
        <v>0</v>
      </c>
      <c r="CJ732" s="1337"/>
      <c r="CK732" s="1351">
        <f t="shared" si="23"/>
        <v>0</v>
      </c>
      <c r="CL732" s="1353"/>
      <c r="CM732" s="1335">
        <f t="shared" si="24"/>
        <v>0</v>
      </c>
      <c r="CN732" s="1337"/>
      <c r="CO732" s="3"/>
      <c r="CP732" s="1332">
        <f t="shared" si="25"/>
        <v>0</v>
      </c>
      <c r="CQ732" s="1333"/>
      <c r="CR732" s="1333"/>
      <c r="CS732" s="1333"/>
      <c r="CT732" s="1334"/>
      <c r="CU732" s="1354">
        <f t="shared" si="26"/>
        <v>0</v>
      </c>
      <c r="CV732" s="1354"/>
      <c r="CW732" s="1354"/>
      <c r="CX732" s="1354"/>
      <c r="CY732" s="1354"/>
      <c r="CZ732" s="1354">
        <f t="shared" si="27"/>
        <v>0</v>
      </c>
      <c r="DA732" s="1354"/>
      <c r="DB732" s="1354"/>
      <c r="DC732" s="1354"/>
      <c r="DD732" s="1354"/>
      <c r="DE732" s="1354">
        <f t="shared" si="28"/>
        <v>0</v>
      </c>
      <c r="DF732" s="1354"/>
      <c r="DG732" s="1354"/>
      <c r="DH732" s="1354"/>
      <c r="DI732" s="1354"/>
      <c r="DJ732" s="1354">
        <f t="shared" si="29"/>
        <v>0</v>
      </c>
      <c r="DK732" s="1354"/>
      <c r="DL732" s="1354"/>
      <c r="DM732" s="1354"/>
      <c r="DN732" s="1354"/>
      <c r="DO732" s="1354">
        <f t="shared" si="30"/>
        <v>0</v>
      </c>
      <c r="DP732" s="1354"/>
      <c r="DQ732" s="1354"/>
      <c r="DR732" s="1354"/>
      <c r="DS732" s="1354"/>
      <c r="DT732" s="6"/>
      <c r="DU732" s="1368">
        <f t="shared" si="31"/>
        <v>0</v>
      </c>
      <c r="DV732" s="1368"/>
      <c r="DW732" s="1368"/>
      <c r="DX732" s="1368"/>
      <c r="DY732" s="1368"/>
      <c r="DZ732" s="1368">
        <f t="shared" si="32"/>
        <v>0</v>
      </c>
      <c r="EA732" s="1368"/>
      <c r="EB732" s="1368"/>
      <c r="EC732" s="1368"/>
      <c r="ED732" s="1368"/>
      <c r="EE732" s="1368">
        <f t="shared" si="33"/>
        <v>0</v>
      </c>
      <c r="EF732" s="1368"/>
      <c r="EG732" s="1368"/>
      <c r="EH732" s="1368"/>
      <c r="EI732" s="1368"/>
      <c r="EJ732" s="1368">
        <f t="shared" si="34"/>
        <v>0</v>
      </c>
      <c r="EK732" s="1368"/>
      <c r="EL732" s="1368"/>
      <c r="EM732" s="1368"/>
      <c r="EN732" s="1368"/>
      <c r="EO732" s="1368">
        <f t="shared" si="35"/>
        <v>0</v>
      </c>
      <c r="EP732" s="1368"/>
      <c r="EQ732" s="1368"/>
      <c r="ER732" s="1368"/>
      <c r="ES732" s="1368"/>
      <c r="ET732" s="1368">
        <f t="shared" si="36"/>
        <v>0</v>
      </c>
      <c r="EU732" s="1368"/>
      <c r="EV732" s="1368"/>
      <c r="EW732" s="1368"/>
      <c r="EX732" s="1368"/>
      <c r="EZ732" s="1351" t="str">
        <f t="shared" si="37"/>
        <v/>
      </c>
      <c r="FA732" s="1352"/>
      <c r="FB732" s="1352"/>
      <c r="FC732" s="1352"/>
      <c r="FD732" s="1353"/>
      <c r="FE732" s="1351" t="str">
        <f t="shared" si="38"/>
        <v/>
      </c>
      <c r="FF732" s="1352"/>
      <c r="FG732" s="1352"/>
      <c r="FH732" s="1352"/>
      <c r="FI732" s="1353"/>
      <c r="FJ732" s="1351" t="str">
        <f t="shared" si="39"/>
        <v/>
      </c>
      <c r="FK732" s="1352"/>
      <c r="FL732" s="1352"/>
      <c r="FM732" s="1352"/>
      <c r="FN732" s="1353"/>
      <c r="FO732" s="1351" t="str">
        <f t="shared" si="40"/>
        <v/>
      </c>
      <c r="FP732" s="1352"/>
      <c r="FQ732" s="1352"/>
      <c r="FR732" s="1352"/>
      <c r="FS732" s="1353"/>
      <c r="FT732" s="1351" t="str">
        <f t="shared" si="41"/>
        <v/>
      </c>
      <c r="FU732" s="1352"/>
      <c r="FV732" s="1352"/>
      <c r="FW732" s="1352"/>
      <c r="FX732" s="1353"/>
      <c r="FY732" s="1351" t="str">
        <f t="shared" si="42"/>
        <v/>
      </c>
      <c r="FZ732" s="1352"/>
      <c r="GA732" s="1352"/>
      <c r="GB732" s="1352"/>
      <c r="GC732" s="1353"/>
    </row>
    <row r="733" spans="1:185" ht="12.95" customHeight="1">
      <c r="B733" s="1355"/>
      <c r="C733" s="1356"/>
      <c r="D733" s="1356"/>
      <c r="E733" s="1356"/>
      <c r="F733" s="1357"/>
      <c r="G733" s="1364"/>
      <c r="H733" s="1365"/>
      <c r="I733" s="1365"/>
      <c r="J733" s="1366"/>
      <c r="K733" s="1611"/>
      <c r="L733" s="1612"/>
      <c r="M733" s="1612"/>
      <c r="N733" s="1613"/>
      <c r="O733" s="1470"/>
      <c r="P733" s="1471"/>
      <c r="Q733" s="1471"/>
      <c r="R733" s="1471"/>
      <c r="S733" s="1472"/>
      <c r="T733" s="1470"/>
      <c r="U733" s="1471"/>
      <c r="V733" s="1471"/>
      <c r="W733" s="1472"/>
      <c r="X733" s="1358">
        <f t="shared" si="15"/>
        <v>0</v>
      </c>
      <c r="Y733" s="1359"/>
      <c r="Z733" s="1359"/>
      <c r="AA733" s="1359"/>
      <c r="AB733" s="1360"/>
      <c r="AC733" s="1620"/>
      <c r="AD733" s="1621"/>
      <c r="AE733" s="1621"/>
      <c r="AF733" s="1621"/>
      <c r="AG733" s="1622"/>
      <c r="AH733" s="1361" t="str">
        <f t="shared" si="43"/>
        <v/>
      </c>
      <c r="AI733" s="1362"/>
      <c r="AJ733" s="1363"/>
      <c r="AK733" s="1355" t="s">
        <v>592</v>
      </c>
      <c r="AL733" s="1356"/>
      <c r="AM733" s="1356"/>
      <c r="AN733" s="1356"/>
      <c r="AO733" s="1357"/>
      <c r="AP733" s="3"/>
      <c r="AQ733" s="3"/>
      <c r="AR733" s="3"/>
      <c r="AS733" s="3"/>
      <c r="AY733" s="1085"/>
      <c r="AZ733" s="118" t="str">
        <f t="shared" si="16"/>
        <v>N/A</v>
      </c>
      <c r="BA733" s="3"/>
      <c r="BB733" s="3"/>
      <c r="BC733" s="3"/>
      <c r="BD733" s="3"/>
      <c r="BE733" s="204"/>
      <c r="BF733" s="294">
        <f t="shared" si="17"/>
        <v>0</v>
      </c>
      <c r="BG733" s="297">
        <f t="shared" si="18"/>
        <v>0</v>
      </c>
      <c r="BH733" s="298" t="str">
        <f t="shared" si="19"/>
        <v/>
      </c>
      <c r="BI733" s="3"/>
      <c r="BJ733" s="3"/>
      <c r="BK733" s="3"/>
      <c r="BL733" s="3"/>
      <c r="BM733" s="3"/>
      <c r="BN733" s="3"/>
      <c r="BS733" s="294">
        <f t="shared" si="20"/>
        <v>0</v>
      </c>
      <c r="BT733" s="297">
        <f t="shared" si="21"/>
        <v>0</v>
      </c>
      <c r="BU733" s="298" t="str">
        <f t="shared" si="22"/>
        <v/>
      </c>
      <c r="BV733" s="3"/>
      <c r="BW733" s="3"/>
      <c r="BX733" s="3"/>
      <c r="BY733" s="3"/>
      <c r="BZ733" s="3"/>
      <c r="CA733" s="3"/>
      <c r="CB733" s="3"/>
      <c r="CC733" s="3"/>
      <c r="CE733" s="3"/>
      <c r="CF733" s="3"/>
      <c r="CG733" s="1351">
        <f t="shared" si="44"/>
        <v>0</v>
      </c>
      <c r="CH733" s="1353"/>
      <c r="CI733" s="1335">
        <f t="shared" si="45"/>
        <v>0</v>
      </c>
      <c r="CJ733" s="1337"/>
      <c r="CK733" s="1351">
        <f t="shared" si="23"/>
        <v>0</v>
      </c>
      <c r="CL733" s="1353"/>
      <c r="CM733" s="1335">
        <f t="shared" si="24"/>
        <v>0</v>
      </c>
      <c r="CN733" s="1337"/>
      <c r="CO733" s="3"/>
      <c r="CP733" s="1332">
        <f t="shared" si="25"/>
        <v>0</v>
      </c>
      <c r="CQ733" s="1333"/>
      <c r="CR733" s="1333"/>
      <c r="CS733" s="1333"/>
      <c r="CT733" s="1334"/>
      <c r="CU733" s="1354">
        <f t="shared" si="26"/>
        <v>0</v>
      </c>
      <c r="CV733" s="1354"/>
      <c r="CW733" s="1354"/>
      <c r="CX733" s="1354"/>
      <c r="CY733" s="1354"/>
      <c r="CZ733" s="1354">
        <f t="shared" si="27"/>
        <v>0</v>
      </c>
      <c r="DA733" s="1354"/>
      <c r="DB733" s="1354"/>
      <c r="DC733" s="1354"/>
      <c r="DD733" s="1354"/>
      <c r="DE733" s="1354">
        <f t="shared" si="28"/>
        <v>0</v>
      </c>
      <c r="DF733" s="1354"/>
      <c r="DG733" s="1354"/>
      <c r="DH733" s="1354"/>
      <c r="DI733" s="1354"/>
      <c r="DJ733" s="1354">
        <f t="shared" si="29"/>
        <v>0</v>
      </c>
      <c r="DK733" s="1354"/>
      <c r="DL733" s="1354"/>
      <c r="DM733" s="1354"/>
      <c r="DN733" s="1354"/>
      <c r="DO733" s="1354">
        <f t="shared" si="30"/>
        <v>0</v>
      </c>
      <c r="DP733" s="1354"/>
      <c r="DQ733" s="1354"/>
      <c r="DR733" s="1354"/>
      <c r="DS733" s="1354"/>
      <c r="DT733" s="6"/>
      <c r="DU733" s="1368">
        <f t="shared" si="31"/>
        <v>0</v>
      </c>
      <c r="DV733" s="1368"/>
      <c r="DW733" s="1368"/>
      <c r="DX733" s="1368"/>
      <c r="DY733" s="1368"/>
      <c r="DZ733" s="1368">
        <f t="shared" si="32"/>
        <v>0</v>
      </c>
      <c r="EA733" s="1368"/>
      <c r="EB733" s="1368"/>
      <c r="EC733" s="1368"/>
      <c r="ED733" s="1368"/>
      <c r="EE733" s="1368">
        <f t="shared" si="33"/>
        <v>0</v>
      </c>
      <c r="EF733" s="1368"/>
      <c r="EG733" s="1368"/>
      <c r="EH733" s="1368"/>
      <c r="EI733" s="1368"/>
      <c r="EJ733" s="1368">
        <f t="shared" si="34"/>
        <v>0</v>
      </c>
      <c r="EK733" s="1368"/>
      <c r="EL733" s="1368"/>
      <c r="EM733" s="1368"/>
      <c r="EN733" s="1368"/>
      <c r="EO733" s="1368">
        <f t="shared" si="35"/>
        <v>0</v>
      </c>
      <c r="EP733" s="1368"/>
      <c r="EQ733" s="1368"/>
      <c r="ER733" s="1368"/>
      <c r="ES733" s="1368"/>
      <c r="ET733" s="1368">
        <f t="shared" si="36"/>
        <v>0</v>
      </c>
      <c r="EU733" s="1368"/>
      <c r="EV733" s="1368"/>
      <c r="EW733" s="1368"/>
      <c r="EX733" s="1368"/>
      <c r="EZ733" s="1351" t="str">
        <f t="shared" si="37"/>
        <v/>
      </c>
      <c r="FA733" s="1352"/>
      <c r="FB733" s="1352"/>
      <c r="FC733" s="1352"/>
      <c r="FD733" s="1353"/>
      <c r="FE733" s="1351" t="str">
        <f t="shared" si="38"/>
        <v/>
      </c>
      <c r="FF733" s="1352"/>
      <c r="FG733" s="1352"/>
      <c r="FH733" s="1352"/>
      <c r="FI733" s="1353"/>
      <c r="FJ733" s="1351" t="str">
        <f t="shared" si="39"/>
        <v/>
      </c>
      <c r="FK733" s="1352"/>
      <c r="FL733" s="1352"/>
      <c r="FM733" s="1352"/>
      <c r="FN733" s="1353"/>
      <c r="FO733" s="1351" t="str">
        <f t="shared" si="40"/>
        <v/>
      </c>
      <c r="FP733" s="1352"/>
      <c r="FQ733" s="1352"/>
      <c r="FR733" s="1352"/>
      <c r="FS733" s="1353"/>
      <c r="FT733" s="1351" t="str">
        <f t="shared" si="41"/>
        <v/>
      </c>
      <c r="FU733" s="1352"/>
      <c r="FV733" s="1352"/>
      <c r="FW733" s="1352"/>
      <c r="FX733" s="1353"/>
      <c r="FY733" s="1351" t="str">
        <f t="shared" si="42"/>
        <v/>
      </c>
      <c r="FZ733" s="1352"/>
      <c r="GA733" s="1352"/>
      <c r="GB733" s="1352"/>
      <c r="GC733" s="1353"/>
    </row>
    <row r="734" spans="1:185" ht="12.95" customHeight="1">
      <c r="B734" s="1355"/>
      <c r="C734" s="1356"/>
      <c r="D734" s="1356"/>
      <c r="E734" s="1356"/>
      <c r="F734" s="1357"/>
      <c r="G734" s="1364"/>
      <c r="H734" s="1365"/>
      <c r="I734" s="1365"/>
      <c r="J734" s="1366"/>
      <c r="K734" s="1611"/>
      <c r="L734" s="1612"/>
      <c r="M734" s="1612"/>
      <c r="N734" s="1613"/>
      <c r="O734" s="1470"/>
      <c r="P734" s="1471"/>
      <c r="Q734" s="1471"/>
      <c r="R734" s="1471"/>
      <c r="S734" s="1472"/>
      <c r="T734" s="1470"/>
      <c r="U734" s="1471"/>
      <c r="V734" s="1471"/>
      <c r="W734" s="1472"/>
      <c r="X734" s="1358">
        <f t="shared" si="15"/>
        <v>0</v>
      </c>
      <c r="Y734" s="1359"/>
      <c r="Z734" s="1359"/>
      <c r="AA734" s="1359"/>
      <c r="AB734" s="1360"/>
      <c r="AC734" s="1620"/>
      <c r="AD734" s="1621"/>
      <c r="AE734" s="1621"/>
      <c r="AF734" s="1621"/>
      <c r="AG734" s="1622"/>
      <c r="AH734" s="1361" t="str">
        <f t="shared" si="43"/>
        <v/>
      </c>
      <c r="AI734" s="1362"/>
      <c r="AJ734" s="1363"/>
      <c r="AK734" s="1355" t="s">
        <v>592</v>
      </c>
      <c r="AL734" s="1356"/>
      <c r="AM734" s="1356"/>
      <c r="AN734" s="1356"/>
      <c r="AO734" s="1357"/>
      <c r="AP734" s="3"/>
      <c r="AQ734" s="3"/>
      <c r="AR734" s="3"/>
      <c r="AS734" s="3"/>
      <c r="AY734" s="1085"/>
      <c r="AZ734" s="118" t="str">
        <f t="shared" si="16"/>
        <v>N/A</v>
      </c>
      <c r="BA734" s="3"/>
      <c r="BB734" s="3"/>
      <c r="BC734" s="3"/>
      <c r="BD734" s="3"/>
      <c r="BE734" s="204"/>
      <c r="BF734" s="294">
        <f t="shared" si="17"/>
        <v>0</v>
      </c>
      <c r="BG734" s="297">
        <f t="shared" si="18"/>
        <v>0</v>
      </c>
      <c r="BH734" s="298" t="str">
        <f t="shared" si="19"/>
        <v/>
      </c>
      <c r="BI734" s="3"/>
      <c r="BJ734" s="3"/>
      <c r="BK734" s="3"/>
      <c r="BL734" s="3"/>
      <c r="BM734" s="3"/>
      <c r="BN734" s="3"/>
      <c r="BS734" s="294">
        <f t="shared" si="20"/>
        <v>0</v>
      </c>
      <c r="BT734" s="297">
        <f t="shared" si="21"/>
        <v>0</v>
      </c>
      <c r="BU734" s="298" t="str">
        <f t="shared" si="22"/>
        <v/>
      </c>
      <c r="BV734" s="3"/>
      <c r="BW734" s="3"/>
      <c r="BX734" s="3"/>
      <c r="BY734" s="3"/>
      <c r="BZ734" s="3"/>
      <c r="CA734" s="3"/>
      <c r="CB734" s="3"/>
      <c r="CC734" s="3"/>
      <c r="CE734" s="3"/>
      <c r="CF734" s="3"/>
      <c r="CG734" s="1351">
        <f t="shared" si="44"/>
        <v>0</v>
      </c>
      <c r="CH734" s="1353"/>
      <c r="CI734" s="1335">
        <f t="shared" si="45"/>
        <v>0</v>
      </c>
      <c r="CJ734" s="1337"/>
      <c r="CK734" s="1351">
        <f t="shared" si="23"/>
        <v>0</v>
      </c>
      <c r="CL734" s="1353"/>
      <c r="CM734" s="1335">
        <f t="shared" si="24"/>
        <v>0</v>
      </c>
      <c r="CN734" s="1337"/>
      <c r="CO734" s="3"/>
      <c r="CP734" s="1332">
        <f t="shared" si="25"/>
        <v>0</v>
      </c>
      <c r="CQ734" s="1333"/>
      <c r="CR734" s="1333"/>
      <c r="CS734" s="1333"/>
      <c r="CT734" s="1334"/>
      <c r="CU734" s="1354">
        <f t="shared" si="26"/>
        <v>0</v>
      </c>
      <c r="CV734" s="1354"/>
      <c r="CW734" s="1354"/>
      <c r="CX734" s="1354"/>
      <c r="CY734" s="1354"/>
      <c r="CZ734" s="1354">
        <f t="shared" si="27"/>
        <v>0</v>
      </c>
      <c r="DA734" s="1354"/>
      <c r="DB734" s="1354"/>
      <c r="DC734" s="1354"/>
      <c r="DD734" s="1354"/>
      <c r="DE734" s="1354">
        <f t="shared" si="28"/>
        <v>0</v>
      </c>
      <c r="DF734" s="1354"/>
      <c r="DG734" s="1354"/>
      <c r="DH734" s="1354"/>
      <c r="DI734" s="1354"/>
      <c r="DJ734" s="1354">
        <f t="shared" si="29"/>
        <v>0</v>
      </c>
      <c r="DK734" s="1354"/>
      <c r="DL734" s="1354"/>
      <c r="DM734" s="1354"/>
      <c r="DN734" s="1354"/>
      <c r="DO734" s="1354">
        <f t="shared" si="30"/>
        <v>0</v>
      </c>
      <c r="DP734" s="1354"/>
      <c r="DQ734" s="1354"/>
      <c r="DR734" s="1354"/>
      <c r="DS734" s="1354"/>
      <c r="DT734" s="6"/>
      <c r="DU734" s="1368">
        <f t="shared" si="31"/>
        <v>0</v>
      </c>
      <c r="DV734" s="1368"/>
      <c r="DW734" s="1368"/>
      <c r="DX734" s="1368"/>
      <c r="DY734" s="1368"/>
      <c r="DZ734" s="1368">
        <f t="shared" si="32"/>
        <v>0</v>
      </c>
      <c r="EA734" s="1368"/>
      <c r="EB734" s="1368"/>
      <c r="EC734" s="1368"/>
      <c r="ED734" s="1368"/>
      <c r="EE734" s="1368">
        <f t="shared" si="33"/>
        <v>0</v>
      </c>
      <c r="EF734" s="1368"/>
      <c r="EG734" s="1368"/>
      <c r="EH734" s="1368"/>
      <c r="EI734" s="1368"/>
      <c r="EJ734" s="1368">
        <f t="shared" si="34"/>
        <v>0</v>
      </c>
      <c r="EK734" s="1368"/>
      <c r="EL734" s="1368"/>
      <c r="EM734" s="1368"/>
      <c r="EN734" s="1368"/>
      <c r="EO734" s="1368">
        <f t="shared" si="35"/>
        <v>0</v>
      </c>
      <c r="EP734" s="1368"/>
      <c r="EQ734" s="1368"/>
      <c r="ER734" s="1368"/>
      <c r="ES734" s="1368"/>
      <c r="ET734" s="1368">
        <f t="shared" si="36"/>
        <v>0</v>
      </c>
      <c r="EU734" s="1368"/>
      <c r="EV734" s="1368"/>
      <c r="EW734" s="1368"/>
      <c r="EX734" s="1368"/>
      <c r="EZ734" s="1351" t="str">
        <f t="shared" si="37"/>
        <v/>
      </c>
      <c r="FA734" s="1352"/>
      <c r="FB734" s="1352"/>
      <c r="FC734" s="1352"/>
      <c r="FD734" s="1353"/>
      <c r="FE734" s="1351" t="str">
        <f t="shared" si="38"/>
        <v/>
      </c>
      <c r="FF734" s="1352"/>
      <c r="FG734" s="1352"/>
      <c r="FH734" s="1352"/>
      <c r="FI734" s="1353"/>
      <c r="FJ734" s="1351" t="str">
        <f t="shared" si="39"/>
        <v/>
      </c>
      <c r="FK734" s="1352"/>
      <c r="FL734" s="1352"/>
      <c r="FM734" s="1352"/>
      <c r="FN734" s="1353"/>
      <c r="FO734" s="1351" t="str">
        <f t="shared" si="40"/>
        <v/>
      </c>
      <c r="FP734" s="1352"/>
      <c r="FQ734" s="1352"/>
      <c r="FR734" s="1352"/>
      <c r="FS734" s="1353"/>
      <c r="FT734" s="1351" t="str">
        <f t="shared" si="41"/>
        <v/>
      </c>
      <c r="FU734" s="1352"/>
      <c r="FV734" s="1352"/>
      <c r="FW734" s="1352"/>
      <c r="FX734" s="1353"/>
      <c r="FY734" s="1351" t="str">
        <f t="shared" si="42"/>
        <v/>
      </c>
      <c r="FZ734" s="1352"/>
      <c r="GA734" s="1352"/>
      <c r="GB734" s="1352"/>
      <c r="GC734" s="1353"/>
    </row>
    <row r="735" spans="1:185" ht="12.95" customHeight="1">
      <c r="B735" s="1355"/>
      <c r="C735" s="1356"/>
      <c r="D735" s="1356"/>
      <c r="E735" s="1356"/>
      <c r="F735" s="1357"/>
      <c r="G735" s="1364"/>
      <c r="H735" s="1365"/>
      <c r="I735" s="1365"/>
      <c r="J735" s="1366"/>
      <c r="K735" s="1611"/>
      <c r="L735" s="1612"/>
      <c r="M735" s="1612"/>
      <c r="N735" s="1613"/>
      <c r="O735" s="1470"/>
      <c r="P735" s="1471"/>
      <c r="Q735" s="1471"/>
      <c r="R735" s="1471"/>
      <c r="S735" s="1472"/>
      <c r="T735" s="1470"/>
      <c r="U735" s="1471"/>
      <c r="V735" s="1471"/>
      <c r="W735" s="1472"/>
      <c r="X735" s="1358">
        <f t="shared" si="15"/>
        <v>0</v>
      </c>
      <c r="Y735" s="1359"/>
      <c r="Z735" s="1359"/>
      <c r="AA735" s="1359"/>
      <c r="AB735" s="1360"/>
      <c r="AC735" s="1620"/>
      <c r="AD735" s="1621"/>
      <c r="AE735" s="1621"/>
      <c r="AF735" s="1621"/>
      <c r="AG735" s="1622"/>
      <c r="AH735" s="1361" t="str">
        <f t="shared" si="43"/>
        <v/>
      </c>
      <c r="AI735" s="1362"/>
      <c r="AJ735" s="1363"/>
      <c r="AK735" s="1355" t="s">
        <v>592</v>
      </c>
      <c r="AL735" s="1356"/>
      <c r="AM735" s="1356"/>
      <c r="AN735" s="1356"/>
      <c r="AO735" s="1357"/>
      <c r="AP735" s="3"/>
      <c r="AQ735" s="3"/>
      <c r="AR735" s="3"/>
      <c r="AS735" s="3"/>
      <c r="AY735" s="1085"/>
      <c r="AZ735" s="118" t="str">
        <f t="shared" si="16"/>
        <v>N/A</v>
      </c>
      <c r="BA735" s="3"/>
      <c r="BB735" s="3"/>
      <c r="BC735" s="3"/>
      <c r="BD735" s="3"/>
      <c r="BE735" s="204"/>
      <c r="BF735" s="294">
        <f t="shared" si="17"/>
        <v>0</v>
      </c>
      <c r="BG735" s="297">
        <f t="shared" si="18"/>
        <v>0</v>
      </c>
      <c r="BH735" s="298" t="str">
        <f t="shared" si="19"/>
        <v/>
      </c>
      <c r="BI735" s="3"/>
      <c r="BJ735" s="3"/>
      <c r="BK735" s="3"/>
      <c r="BL735" s="3"/>
      <c r="BM735" s="3"/>
      <c r="BN735" s="3"/>
      <c r="BS735" s="294">
        <f t="shared" si="20"/>
        <v>0</v>
      </c>
      <c r="BT735" s="297">
        <f t="shared" si="21"/>
        <v>0</v>
      </c>
      <c r="BU735" s="298" t="str">
        <f t="shared" si="22"/>
        <v/>
      </c>
      <c r="BV735" s="3"/>
      <c r="BW735" s="3"/>
      <c r="BX735" s="3"/>
      <c r="BY735" s="3"/>
      <c r="BZ735" s="3"/>
      <c r="CA735" s="3"/>
      <c r="CB735" s="3"/>
      <c r="CC735" s="3"/>
      <c r="CE735" s="3"/>
      <c r="CF735" s="3"/>
      <c r="CG735" s="1351">
        <f t="shared" si="44"/>
        <v>0</v>
      </c>
      <c r="CH735" s="1353"/>
      <c r="CI735" s="1335">
        <f t="shared" si="45"/>
        <v>0</v>
      </c>
      <c r="CJ735" s="1337"/>
      <c r="CK735" s="1351">
        <f t="shared" si="23"/>
        <v>0</v>
      </c>
      <c r="CL735" s="1353"/>
      <c r="CM735" s="1335">
        <f t="shared" si="24"/>
        <v>0</v>
      </c>
      <c r="CN735" s="1337"/>
      <c r="CO735" s="3"/>
      <c r="CP735" s="1332">
        <f t="shared" si="25"/>
        <v>0</v>
      </c>
      <c r="CQ735" s="1333"/>
      <c r="CR735" s="1333"/>
      <c r="CS735" s="1333"/>
      <c r="CT735" s="1334"/>
      <c r="CU735" s="1354">
        <f t="shared" si="26"/>
        <v>0</v>
      </c>
      <c r="CV735" s="1354"/>
      <c r="CW735" s="1354"/>
      <c r="CX735" s="1354"/>
      <c r="CY735" s="1354"/>
      <c r="CZ735" s="1354">
        <f t="shared" si="27"/>
        <v>0</v>
      </c>
      <c r="DA735" s="1354"/>
      <c r="DB735" s="1354"/>
      <c r="DC735" s="1354"/>
      <c r="DD735" s="1354"/>
      <c r="DE735" s="1354">
        <f t="shared" si="28"/>
        <v>0</v>
      </c>
      <c r="DF735" s="1354"/>
      <c r="DG735" s="1354"/>
      <c r="DH735" s="1354"/>
      <c r="DI735" s="1354"/>
      <c r="DJ735" s="1354">
        <f t="shared" si="29"/>
        <v>0</v>
      </c>
      <c r="DK735" s="1354"/>
      <c r="DL735" s="1354"/>
      <c r="DM735" s="1354"/>
      <c r="DN735" s="1354"/>
      <c r="DO735" s="1354">
        <f t="shared" si="30"/>
        <v>0</v>
      </c>
      <c r="DP735" s="1354"/>
      <c r="DQ735" s="1354"/>
      <c r="DR735" s="1354"/>
      <c r="DS735" s="1354"/>
      <c r="DT735" s="6"/>
      <c r="DU735" s="1368">
        <f t="shared" si="31"/>
        <v>0</v>
      </c>
      <c r="DV735" s="1368"/>
      <c r="DW735" s="1368"/>
      <c r="DX735" s="1368"/>
      <c r="DY735" s="1368"/>
      <c r="DZ735" s="1368">
        <f t="shared" si="32"/>
        <v>0</v>
      </c>
      <c r="EA735" s="1368"/>
      <c r="EB735" s="1368"/>
      <c r="EC735" s="1368"/>
      <c r="ED735" s="1368"/>
      <c r="EE735" s="1368">
        <f t="shared" si="33"/>
        <v>0</v>
      </c>
      <c r="EF735" s="1368"/>
      <c r="EG735" s="1368"/>
      <c r="EH735" s="1368"/>
      <c r="EI735" s="1368"/>
      <c r="EJ735" s="1368">
        <f t="shared" si="34"/>
        <v>0</v>
      </c>
      <c r="EK735" s="1368"/>
      <c r="EL735" s="1368"/>
      <c r="EM735" s="1368"/>
      <c r="EN735" s="1368"/>
      <c r="EO735" s="1368">
        <f t="shared" si="35"/>
        <v>0</v>
      </c>
      <c r="EP735" s="1368"/>
      <c r="EQ735" s="1368"/>
      <c r="ER735" s="1368"/>
      <c r="ES735" s="1368"/>
      <c r="ET735" s="1368">
        <f t="shared" si="36"/>
        <v>0</v>
      </c>
      <c r="EU735" s="1368"/>
      <c r="EV735" s="1368"/>
      <c r="EW735" s="1368"/>
      <c r="EX735" s="1368"/>
      <c r="EZ735" s="1351" t="str">
        <f t="shared" si="37"/>
        <v/>
      </c>
      <c r="FA735" s="1352"/>
      <c r="FB735" s="1352"/>
      <c r="FC735" s="1352"/>
      <c r="FD735" s="1353"/>
      <c r="FE735" s="1351" t="str">
        <f t="shared" si="38"/>
        <v/>
      </c>
      <c r="FF735" s="1352"/>
      <c r="FG735" s="1352"/>
      <c r="FH735" s="1352"/>
      <c r="FI735" s="1353"/>
      <c r="FJ735" s="1351" t="str">
        <f t="shared" si="39"/>
        <v/>
      </c>
      <c r="FK735" s="1352"/>
      <c r="FL735" s="1352"/>
      <c r="FM735" s="1352"/>
      <c r="FN735" s="1353"/>
      <c r="FO735" s="1351" t="str">
        <f t="shared" si="40"/>
        <v/>
      </c>
      <c r="FP735" s="1352"/>
      <c r="FQ735" s="1352"/>
      <c r="FR735" s="1352"/>
      <c r="FS735" s="1353"/>
      <c r="FT735" s="1351" t="str">
        <f t="shared" si="41"/>
        <v/>
      </c>
      <c r="FU735" s="1352"/>
      <c r="FV735" s="1352"/>
      <c r="FW735" s="1352"/>
      <c r="FX735" s="1353"/>
      <c r="FY735" s="1351" t="str">
        <f t="shared" si="42"/>
        <v/>
      </c>
      <c r="FZ735" s="1352"/>
      <c r="GA735" s="1352"/>
      <c r="GB735" s="1352"/>
      <c r="GC735" s="1353"/>
    </row>
    <row r="736" spans="1:185" ht="12.95" customHeight="1">
      <c r="B736" s="1355"/>
      <c r="C736" s="1356"/>
      <c r="D736" s="1356"/>
      <c r="E736" s="1356"/>
      <c r="F736" s="1357"/>
      <c r="G736" s="1364"/>
      <c r="H736" s="1365"/>
      <c r="I736" s="1365"/>
      <c r="J736" s="1366"/>
      <c r="K736" s="1611"/>
      <c r="L736" s="1612"/>
      <c r="M736" s="1612"/>
      <c r="N736" s="1613"/>
      <c r="O736" s="1470"/>
      <c r="P736" s="1471"/>
      <c r="Q736" s="1471"/>
      <c r="R736" s="1471"/>
      <c r="S736" s="1472"/>
      <c r="T736" s="1470"/>
      <c r="U736" s="1471"/>
      <c r="V736" s="1471"/>
      <c r="W736" s="1472"/>
      <c r="X736" s="1358">
        <f t="shared" si="15"/>
        <v>0</v>
      </c>
      <c r="Y736" s="1359"/>
      <c r="Z736" s="1359"/>
      <c r="AA736" s="1359"/>
      <c r="AB736" s="1360"/>
      <c r="AC736" s="1620"/>
      <c r="AD736" s="1621"/>
      <c r="AE736" s="1621"/>
      <c r="AF736" s="1621"/>
      <c r="AG736" s="1622"/>
      <c r="AH736" s="1361" t="str">
        <f t="shared" si="43"/>
        <v/>
      </c>
      <c r="AI736" s="1362"/>
      <c r="AJ736" s="1363"/>
      <c r="AK736" s="1355" t="s">
        <v>592</v>
      </c>
      <c r="AL736" s="1356"/>
      <c r="AM736" s="1356"/>
      <c r="AN736" s="1356"/>
      <c r="AO736" s="1357"/>
      <c r="AP736" s="3"/>
      <c r="AQ736" s="3"/>
      <c r="AR736" s="3"/>
      <c r="AS736" s="3"/>
      <c r="AY736" s="1085"/>
      <c r="AZ736" s="118" t="str">
        <f t="shared" si="16"/>
        <v>N/A</v>
      </c>
      <c r="BA736" s="3"/>
      <c r="BB736" s="3"/>
      <c r="BC736" s="3"/>
      <c r="BD736" s="3"/>
      <c r="BE736" s="204"/>
      <c r="BF736" s="294">
        <f t="shared" si="17"/>
        <v>0</v>
      </c>
      <c r="BG736" s="297">
        <f t="shared" si="18"/>
        <v>0</v>
      </c>
      <c r="BH736" s="298" t="str">
        <f t="shared" si="19"/>
        <v/>
      </c>
      <c r="BI736" s="3"/>
      <c r="BJ736" s="3"/>
      <c r="BK736" s="3"/>
      <c r="BL736" s="3"/>
      <c r="BM736" s="3"/>
      <c r="BN736" s="3"/>
      <c r="BS736" s="294">
        <f t="shared" si="20"/>
        <v>0</v>
      </c>
      <c r="BT736" s="297">
        <f t="shared" si="21"/>
        <v>0</v>
      </c>
      <c r="BU736" s="298" t="str">
        <f t="shared" si="22"/>
        <v/>
      </c>
      <c r="BV736" s="3"/>
      <c r="BW736" s="3"/>
      <c r="BX736" s="3"/>
      <c r="BY736" s="3"/>
      <c r="BZ736" s="3"/>
      <c r="CA736" s="3"/>
      <c r="CB736" s="3"/>
      <c r="CC736" s="3"/>
      <c r="CE736" s="3"/>
      <c r="CF736" s="3"/>
      <c r="CG736" s="1351">
        <f t="shared" si="44"/>
        <v>0</v>
      </c>
      <c r="CH736" s="1353"/>
      <c r="CI736" s="1335">
        <f t="shared" si="45"/>
        <v>0</v>
      </c>
      <c r="CJ736" s="1337"/>
      <c r="CK736" s="1351">
        <f t="shared" si="23"/>
        <v>0</v>
      </c>
      <c r="CL736" s="1353"/>
      <c r="CM736" s="1335">
        <f t="shared" si="24"/>
        <v>0</v>
      </c>
      <c r="CN736" s="1337"/>
      <c r="CO736" s="3"/>
      <c r="CP736" s="1332">
        <f t="shared" si="25"/>
        <v>0</v>
      </c>
      <c r="CQ736" s="1333"/>
      <c r="CR736" s="1333"/>
      <c r="CS736" s="1333"/>
      <c r="CT736" s="1334"/>
      <c r="CU736" s="1354">
        <f t="shared" si="26"/>
        <v>0</v>
      </c>
      <c r="CV736" s="1354"/>
      <c r="CW736" s="1354"/>
      <c r="CX736" s="1354"/>
      <c r="CY736" s="1354"/>
      <c r="CZ736" s="1354">
        <f t="shared" si="27"/>
        <v>0</v>
      </c>
      <c r="DA736" s="1354"/>
      <c r="DB736" s="1354"/>
      <c r="DC736" s="1354"/>
      <c r="DD736" s="1354"/>
      <c r="DE736" s="1354">
        <f t="shared" si="28"/>
        <v>0</v>
      </c>
      <c r="DF736" s="1354"/>
      <c r="DG736" s="1354"/>
      <c r="DH736" s="1354"/>
      <c r="DI736" s="1354"/>
      <c r="DJ736" s="1354">
        <f t="shared" si="29"/>
        <v>0</v>
      </c>
      <c r="DK736" s="1354"/>
      <c r="DL736" s="1354"/>
      <c r="DM736" s="1354"/>
      <c r="DN736" s="1354"/>
      <c r="DO736" s="1354">
        <f t="shared" si="30"/>
        <v>0</v>
      </c>
      <c r="DP736" s="1354"/>
      <c r="DQ736" s="1354"/>
      <c r="DR736" s="1354"/>
      <c r="DS736" s="1354"/>
      <c r="DT736" s="6"/>
      <c r="DU736" s="1368">
        <f t="shared" si="31"/>
        <v>0</v>
      </c>
      <c r="DV736" s="1368"/>
      <c r="DW736" s="1368"/>
      <c r="DX736" s="1368"/>
      <c r="DY736" s="1368"/>
      <c r="DZ736" s="1368">
        <f t="shared" si="32"/>
        <v>0</v>
      </c>
      <c r="EA736" s="1368"/>
      <c r="EB736" s="1368"/>
      <c r="EC736" s="1368"/>
      <c r="ED736" s="1368"/>
      <c r="EE736" s="1368">
        <f t="shared" si="33"/>
        <v>0</v>
      </c>
      <c r="EF736" s="1368"/>
      <c r="EG736" s="1368"/>
      <c r="EH736" s="1368"/>
      <c r="EI736" s="1368"/>
      <c r="EJ736" s="1368">
        <f t="shared" si="34"/>
        <v>0</v>
      </c>
      <c r="EK736" s="1368"/>
      <c r="EL736" s="1368"/>
      <c r="EM736" s="1368"/>
      <c r="EN736" s="1368"/>
      <c r="EO736" s="1368">
        <f t="shared" si="35"/>
        <v>0</v>
      </c>
      <c r="EP736" s="1368"/>
      <c r="EQ736" s="1368"/>
      <c r="ER736" s="1368"/>
      <c r="ES736" s="1368"/>
      <c r="ET736" s="1368">
        <f t="shared" si="36"/>
        <v>0</v>
      </c>
      <c r="EU736" s="1368"/>
      <c r="EV736" s="1368"/>
      <c r="EW736" s="1368"/>
      <c r="EX736" s="1368"/>
      <c r="EZ736" s="1351" t="str">
        <f t="shared" si="37"/>
        <v/>
      </c>
      <c r="FA736" s="1352"/>
      <c r="FB736" s="1352"/>
      <c r="FC736" s="1352"/>
      <c r="FD736" s="1353"/>
      <c r="FE736" s="1351" t="str">
        <f t="shared" si="38"/>
        <v/>
      </c>
      <c r="FF736" s="1352"/>
      <c r="FG736" s="1352"/>
      <c r="FH736" s="1352"/>
      <c r="FI736" s="1353"/>
      <c r="FJ736" s="1351" t="str">
        <f t="shared" si="39"/>
        <v/>
      </c>
      <c r="FK736" s="1352"/>
      <c r="FL736" s="1352"/>
      <c r="FM736" s="1352"/>
      <c r="FN736" s="1353"/>
      <c r="FO736" s="1351" t="str">
        <f t="shared" si="40"/>
        <v/>
      </c>
      <c r="FP736" s="1352"/>
      <c r="FQ736" s="1352"/>
      <c r="FR736" s="1352"/>
      <c r="FS736" s="1353"/>
      <c r="FT736" s="1351" t="str">
        <f t="shared" si="41"/>
        <v/>
      </c>
      <c r="FU736" s="1352"/>
      <c r="FV736" s="1352"/>
      <c r="FW736" s="1352"/>
      <c r="FX736" s="1353"/>
      <c r="FY736" s="1351" t="str">
        <f t="shared" si="42"/>
        <v/>
      </c>
      <c r="FZ736" s="1352"/>
      <c r="GA736" s="1352"/>
      <c r="GB736" s="1352"/>
      <c r="GC736" s="1353"/>
    </row>
    <row r="737" spans="1:185" ht="12.95" customHeight="1">
      <c r="B737" s="1355"/>
      <c r="C737" s="1356"/>
      <c r="D737" s="1356"/>
      <c r="E737" s="1356"/>
      <c r="F737" s="1357"/>
      <c r="G737" s="1364"/>
      <c r="H737" s="1365"/>
      <c r="I737" s="1365"/>
      <c r="J737" s="1366"/>
      <c r="K737" s="1611"/>
      <c r="L737" s="1612"/>
      <c r="M737" s="1612"/>
      <c r="N737" s="1613"/>
      <c r="O737" s="1470"/>
      <c r="P737" s="1471"/>
      <c r="Q737" s="1471"/>
      <c r="R737" s="1471"/>
      <c r="S737" s="1472"/>
      <c r="T737" s="1470"/>
      <c r="U737" s="1471"/>
      <c r="V737" s="1471"/>
      <c r="W737" s="1472"/>
      <c r="X737" s="1358">
        <f t="shared" si="15"/>
        <v>0</v>
      </c>
      <c r="Y737" s="1359"/>
      <c r="Z737" s="1359"/>
      <c r="AA737" s="1359"/>
      <c r="AB737" s="1360"/>
      <c r="AC737" s="1620"/>
      <c r="AD737" s="1621"/>
      <c r="AE737" s="1621"/>
      <c r="AF737" s="1621"/>
      <c r="AG737" s="1622"/>
      <c r="AH737" s="1361" t="str">
        <f t="shared" si="43"/>
        <v/>
      </c>
      <c r="AI737" s="1362"/>
      <c r="AJ737" s="1363"/>
      <c r="AK737" s="1355" t="s">
        <v>592</v>
      </c>
      <c r="AL737" s="1356"/>
      <c r="AM737" s="1356"/>
      <c r="AN737" s="1356"/>
      <c r="AO737" s="1357"/>
      <c r="AP737" s="3"/>
      <c r="AQ737" s="3"/>
      <c r="AR737" s="3"/>
      <c r="AS737" s="3"/>
      <c r="AY737" s="1085"/>
      <c r="AZ737" s="118" t="str">
        <f t="shared" si="16"/>
        <v>N/A</v>
      </c>
      <c r="BA737" s="3"/>
      <c r="BB737" s="3"/>
      <c r="BC737" s="3"/>
      <c r="BD737" s="3"/>
      <c r="BE737" s="204"/>
      <c r="BF737" s="294">
        <f t="shared" si="17"/>
        <v>0</v>
      </c>
      <c r="BG737" s="297">
        <f t="shared" si="18"/>
        <v>0</v>
      </c>
      <c r="BH737" s="298" t="str">
        <f t="shared" si="19"/>
        <v/>
      </c>
      <c r="BI737" s="3"/>
      <c r="BJ737" s="3"/>
      <c r="BK737" s="3"/>
      <c r="BL737" s="3"/>
      <c r="BM737" s="3"/>
      <c r="BN737" s="3"/>
      <c r="BS737" s="294">
        <f t="shared" si="20"/>
        <v>0</v>
      </c>
      <c r="BT737" s="297">
        <f t="shared" si="21"/>
        <v>0</v>
      </c>
      <c r="BU737" s="298" t="str">
        <f t="shared" si="22"/>
        <v/>
      </c>
      <c r="BV737" s="3"/>
      <c r="BW737" s="3"/>
      <c r="BX737" s="3"/>
      <c r="BY737" s="3"/>
      <c r="BZ737" s="3"/>
      <c r="CA737" s="3"/>
      <c r="CB737" s="3"/>
      <c r="CC737" s="3"/>
      <c r="CE737" s="3"/>
      <c r="CF737" s="3"/>
      <c r="CG737" s="1351">
        <f t="shared" si="44"/>
        <v>0</v>
      </c>
      <c r="CH737" s="1353"/>
      <c r="CI737" s="1335">
        <f t="shared" si="45"/>
        <v>0</v>
      </c>
      <c r="CJ737" s="1337"/>
      <c r="CK737" s="1351">
        <f t="shared" si="23"/>
        <v>0</v>
      </c>
      <c r="CL737" s="1353"/>
      <c r="CM737" s="1335">
        <f t="shared" si="24"/>
        <v>0</v>
      </c>
      <c r="CN737" s="1337"/>
      <c r="CO737" s="3"/>
      <c r="CP737" s="1332">
        <f t="shared" si="25"/>
        <v>0</v>
      </c>
      <c r="CQ737" s="1333"/>
      <c r="CR737" s="1333"/>
      <c r="CS737" s="1333"/>
      <c r="CT737" s="1334"/>
      <c r="CU737" s="1354">
        <f t="shared" si="26"/>
        <v>0</v>
      </c>
      <c r="CV737" s="1354"/>
      <c r="CW737" s="1354"/>
      <c r="CX737" s="1354"/>
      <c r="CY737" s="1354"/>
      <c r="CZ737" s="1354">
        <f t="shared" si="27"/>
        <v>0</v>
      </c>
      <c r="DA737" s="1354"/>
      <c r="DB737" s="1354"/>
      <c r="DC737" s="1354"/>
      <c r="DD737" s="1354"/>
      <c r="DE737" s="1354">
        <f t="shared" si="28"/>
        <v>0</v>
      </c>
      <c r="DF737" s="1354"/>
      <c r="DG737" s="1354"/>
      <c r="DH737" s="1354"/>
      <c r="DI737" s="1354"/>
      <c r="DJ737" s="1354">
        <f t="shared" si="29"/>
        <v>0</v>
      </c>
      <c r="DK737" s="1354"/>
      <c r="DL737" s="1354"/>
      <c r="DM737" s="1354"/>
      <c r="DN737" s="1354"/>
      <c r="DO737" s="1354">
        <f t="shared" si="30"/>
        <v>0</v>
      </c>
      <c r="DP737" s="1354"/>
      <c r="DQ737" s="1354"/>
      <c r="DR737" s="1354"/>
      <c r="DS737" s="1354"/>
      <c r="DT737" s="6"/>
      <c r="DU737" s="1368">
        <f t="shared" si="31"/>
        <v>0</v>
      </c>
      <c r="DV737" s="1368"/>
      <c r="DW737" s="1368"/>
      <c r="DX737" s="1368"/>
      <c r="DY737" s="1368"/>
      <c r="DZ737" s="1368">
        <f t="shared" si="32"/>
        <v>0</v>
      </c>
      <c r="EA737" s="1368"/>
      <c r="EB737" s="1368"/>
      <c r="EC737" s="1368"/>
      <c r="ED737" s="1368"/>
      <c r="EE737" s="1368">
        <f t="shared" si="33"/>
        <v>0</v>
      </c>
      <c r="EF737" s="1368"/>
      <c r="EG737" s="1368"/>
      <c r="EH737" s="1368"/>
      <c r="EI737" s="1368"/>
      <c r="EJ737" s="1368">
        <f t="shared" si="34"/>
        <v>0</v>
      </c>
      <c r="EK737" s="1368"/>
      <c r="EL737" s="1368"/>
      <c r="EM737" s="1368"/>
      <c r="EN737" s="1368"/>
      <c r="EO737" s="1368">
        <f t="shared" si="35"/>
        <v>0</v>
      </c>
      <c r="EP737" s="1368"/>
      <c r="EQ737" s="1368"/>
      <c r="ER737" s="1368"/>
      <c r="ES737" s="1368"/>
      <c r="ET737" s="1368">
        <f t="shared" si="36"/>
        <v>0</v>
      </c>
      <c r="EU737" s="1368"/>
      <c r="EV737" s="1368"/>
      <c r="EW737" s="1368"/>
      <c r="EX737" s="1368"/>
      <c r="EZ737" s="1351" t="str">
        <f t="shared" si="37"/>
        <v/>
      </c>
      <c r="FA737" s="1352"/>
      <c r="FB737" s="1352"/>
      <c r="FC737" s="1352"/>
      <c r="FD737" s="1353"/>
      <c r="FE737" s="1351" t="str">
        <f t="shared" si="38"/>
        <v/>
      </c>
      <c r="FF737" s="1352"/>
      <c r="FG737" s="1352"/>
      <c r="FH737" s="1352"/>
      <c r="FI737" s="1353"/>
      <c r="FJ737" s="1351" t="str">
        <f t="shared" si="39"/>
        <v/>
      </c>
      <c r="FK737" s="1352"/>
      <c r="FL737" s="1352"/>
      <c r="FM737" s="1352"/>
      <c r="FN737" s="1353"/>
      <c r="FO737" s="1351" t="str">
        <f t="shared" si="40"/>
        <v/>
      </c>
      <c r="FP737" s="1352"/>
      <c r="FQ737" s="1352"/>
      <c r="FR737" s="1352"/>
      <c r="FS737" s="1353"/>
      <c r="FT737" s="1351" t="str">
        <f t="shared" si="41"/>
        <v/>
      </c>
      <c r="FU737" s="1352"/>
      <c r="FV737" s="1352"/>
      <c r="FW737" s="1352"/>
      <c r="FX737" s="1353"/>
      <c r="FY737" s="1351" t="str">
        <f t="shared" si="42"/>
        <v/>
      </c>
      <c r="FZ737" s="1352"/>
      <c r="GA737" s="1352"/>
      <c r="GB737" s="1352"/>
      <c r="GC737" s="1353"/>
    </row>
    <row r="738" spans="1:185" ht="12.95" customHeight="1">
      <c r="B738" s="1355"/>
      <c r="C738" s="1356"/>
      <c r="D738" s="1356"/>
      <c r="E738" s="1356"/>
      <c r="F738" s="1357"/>
      <c r="G738" s="1364"/>
      <c r="H738" s="1365"/>
      <c r="I738" s="1365"/>
      <c r="J738" s="1366"/>
      <c r="K738" s="1611"/>
      <c r="L738" s="1612"/>
      <c r="M738" s="1612"/>
      <c r="N738" s="1613"/>
      <c r="O738" s="1470"/>
      <c r="P738" s="1471"/>
      <c r="Q738" s="1471"/>
      <c r="R738" s="1471"/>
      <c r="S738" s="1472"/>
      <c r="T738" s="1470"/>
      <c r="U738" s="1471"/>
      <c r="V738" s="1471"/>
      <c r="W738" s="1472"/>
      <c r="X738" s="1358">
        <f t="shared" si="15"/>
        <v>0</v>
      </c>
      <c r="Y738" s="1359"/>
      <c r="Z738" s="1359"/>
      <c r="AA738" s="1359"/>
      <c r="AB738" s="1360"/>
      <c r="AC738" s="1620"/>
      <c r="AD738" s="1621"/>
      <c r="AE738" s="1621"/>
      <c r="AF738" s="1621"/>
      <c r="AG738" s="1622"/>
      <c r="AH738" s="1361" t="str">
        <f t="shared" si="43"/>
        <v/>
      </c>
      <c r="AI738" s="1362"/>
      <c r="AJ738" s="1363"/>
      <c r="AK738" s="1355" t="s">
        <v>592</v>
      </c>
      <c r="AL738" s="1356"/>
      <c r="AM738" s="1356"/>
      <c r="AN738" s="1356"/>
      <c r="AO738" s="1357"/>
      <c r="AP738" s="3"/>
      <c r="AQ738" s="3"/>
      <c r="AR738" s="3"/>
      <c r="AS738" s="3"/>
      <c r="AY738" s="1085"/>
      <c r="AZ738" s="118" t="str">
        <f t="shared" si="16"/>
        <v>N/A</v>
      </c>
      <c r="BA738" s="3"/>
      <c r="BE738" s="204"/>
      <c r="BF738" s="294">
        <f t="shared" si="17"/>
        <v>0</v>
      </c>
      <c r="BG738" s="297">
        <f t="shared" si="18"/>
        <v>0</v>
      </c>
      <c r="BH738" s="298" t="str">
        <f t="shared" si="19"/>
        <v/>
      </c>
      <c r="BK738" s="3"/>
      <c r="BL738" s="3"/>
      <c r="BM738" s="3"/>
      <c r="BN738" s="3"/>
      <c r="BS738" s="294">
        <f t="shared" si="20"/>
        <v>0</v>
      </c>
      <c r="BT738" s="297">
        <f t="shared" si="21"/>
        <v>0</v>
      </c>
      <c r="BU738" s="298" t="str">
        <f t="shared" si="22"/>
        <v/>
      </c>
      <c r="BV738" s="3"/>
      <c r="BW738" s="3"/>
      <c r="BX738" s="3"/>
      <c r="BY738" s="3"/>
      <c r="BZ738" s="3"/>
      <c r="CA738" s="3"/>
      <c r="CB738" s="3"/>
      <c r="CC738" s="3"/>
      <c r="CE738" s="3"/>
      <c r="CF738" s="3"/>
      <c r="CG738" s="1351">
        <f t="shared" si="44"/>
        <v>0</v>
      </c>
      <c r="CH738" s="1353"/>
      <c r="CI738" s="1335">
        <f t="shared" si="45"/>
        <v>0</v>
      </c>
      <c r="CJ738" s="1337"/>
      <c r="CK738" s="1351">
        <f t="shared" si="23"/>
        <v>0</v>
      </c>
      <c r="CL738" s="1353"/>
      <c r="CM738" s="1335">
        <f t="shared" si="24"/>
        <v>0</v>
      </c>
      <c r="CN738" s="1337"/>
      <c r="CO738" s="3"/>
      <c r="CP738" s="1332">
        <f t="shared" si="25"/>
        <v>0</v>
      </c>
      <c r="CQ738" s="1333"/>
      <c r="CR738" s="1333"/>
      <c r="CS738" s="1333"/>
      <c r="CT738" s="1334"/>
      <c r="CU738" s="1354">
        <f t="shared" si="26"/>
        <v>0</v>
      </c>
      <c r="CV738" s="1354"/>
      <c r="CW738" s="1354"/>
      <c r="CX738" s="1354"/>
      <c r="CY738" s="1354"/>
      <c r="CZ738" s="1354">
        <f t="shared" si="27"/>
        <v>0</v>
      </c>
      <c r="DA738" s="1354"/>
      <c r="DB738" s="1354"/>
      <c r="DC738" s="1354"/>
      <c r="DD738" s="1354"/>
      <c r="DE738" s="1354">
        <f t="shared" si="28"/>
        <v>0</v>
      </c>
      <c r="DF738" s="1354"/>
      <c r="DG738" s="1354"/>
      <c r="DH738" s="1354"/>
      <c r="DI738" s="1354"/>
      <c r="DJ738" s="1354">
        <f t="shared" si="29"/>
        <v>0</v>
      </c>
      <c r="DK738" s="1354"/>
      <c r="DL738" s="1354"/>
      <c r="DM738" s="1354"/>
      <c r="DN738" s="1354"/>
      <c r="DO738" s="1354">
        <f t="shared" si="30"/>
        <v>0</v>
      </c>
      <c r="DP738" s="1354"/>
      <c r="DQ738" s="1354"/>
      <c r="DR738" s="1354"/>
      <c r="DS738" s="1354"/>
      <c r="DT738" s="6"/>
      <c r="DU738" s="1368">
        <f t="shared" si="31"/>
        <v>0</v>
      </c>
      <c r="DV738" s="1368"/>
      <c r="DW738" s="1368"/>
      <c r="DX738" s="1368"/>
      <c r="DY738" s="1368"/>
      <c r="DZ738" s="1368">
        <f t="shared" si="32"/>
        <v>0</v>
      </c>
      <c r="EA738" s="1368"/>
      <c r="EB738" s="1368"/>
      <c r="EC738" s="1368"/>
      <c r="ED738" s="1368"/>
      <c r="EE738" s="1368">
        <f t="shared" si="33"/>
        <v>0</v>
      </c>
      <c r="EF738" s="1368"/>
      <c r="EG738" s="1368"/>
      <c r="EH738" s="1368"/>
      <c r="EI738" s="1368"/>
      <c r="EJ738" s="1368">
        <f t="shared" si="34"/>
        <v>0</v>
      </c>
      <c r="EK738" s="1368"/>
      <c r="EL738" s="1368"/>
      <c r="EM738" s="1368"/>
      <c r="EN738" s="1368"/>
      <c r="EO738" s="1368">
        <f t="shared" si="35"/>
        <v>0</v>
      </c>
      <c r="EP738" s="1368"/>
      <c r="EQ738" s="1368"/>
      <c r="ER738" s="1368"/>
      <c r="ES738" s="1368"/>
      <c r="ET738" s="1368">
        <f t="shared" si="36"/>
        <v>0</v>
      </c>
      <c r="EU738" s="1368"/>
      <c r="EV738" s="1368"/>
      <c r="EW738" s="1368"/>
      <c r="EX738" s="1368"/>
      <c r="EZ738" s="1351" t="str">
        <f t="shared" si="37"/>
        <v/>
      </c>
      <c r="FA738" s="1352"/>
      <c r="FB738" s="1352"/>
      <c r="FC738" s="1352"/>
      <c r="FD738" s="1353"/>
      <c r="FE738" s="1351" t="str">
        <f t="shared" si="38"/>
        <v/>
      </c>
      <c r="FF738" s="1352"/>
      <c r="FG738" s="1352"/>
      <c r="FH738" s="1352"/>
      <c r="FI738" s="1353"/>
      <c r="FJ738" s="1351" t="str">
        <f t="shared" si="39"/>
        <v/>
      </c>
      <c r="FK738" s="1352"/>
      <c r="FL738" s="1352"/>
      <c r="FM738" s="1352"/>
      <c r="FN738" s="1353"/>
      <c r="FO738" s="1351" t="str">
        <f t="shared" si="40"/>
        <v/>
      </c>
      <c r="FP738" s="1352"/>
      <c r="FQ738" s="1352"/>
      <c r="FR738" s="1352"/>
      <c r="FS738" s="1353"/>
      <c r="FT738" s="1351" t="str">
        <f t="shared" si="41"/>
        <v/>
      </c>
      <c r="FU738" s="1352"/>
      <c r="FV738" s="1352"/>
      <c r="FW738" s="1352"/>
      <c r="FX738" s="1353"/>
      <c r="FY738" s="1351" t="str">
        <f t="shared" si="42"/>
        <v/>
      </c>
      <c r="FZ738" s="1352"/>
      <c r="GA738" s="1352"/>
      <c r="GB738" s="1352"/>
      <c r="GC738" s="1353"/>
    </row>
    <row r="739" spans="1:185" ht="12.95" customHeight="1">
      <c r="B739" s="1355"/>
      <c r="C739" s="1356"/>
      <c r="D739" s="1356"/>
      <c r="E739" s="1356"/>
      <c r="F739" s="1357"/>
      <c r="G739" s="1364"/>
      <c r="H739" s="1365"/>
      <c r="I739" s="1365"/>
      <c r="J739" s="1366"/>
      <c r="K739" s="1611"/>
      <c r="L739" s="1612"/>
      <c r="M739" s="1612"/>
      <c r="N739" s="1613"/>
      <c r="O739" s="1470"/>
      <c r="P739" s="1471"/>
      <c r="Q739" s="1471"/>
      <c r="R739" s="1471"/>
      <c r="S739" s="1472"/>
      <c r="T739" s="1470"/>
      <c r="U739" s="1471"/>
      <c r="V739" s="1471"/>
      <c r="W739" s="1472"/>
      <c r="X739" s="1358">
        <f t="shared" si="15"/>
        <v>0</v>
      </c>
      <c r="Y739" s="1359"/>
      <c r="Z739" s="1359"/>
      <c r="AA739" s="1359"/>
      <c r="AB739" s="1360"/>
      <c r="AC739" s="1620"/>
      <c r="AD739" s="1621"/>
      <c r="AE739" s="1621"/>
      <c r="AF739" s="1621"/>
      <c r="AG739" s="1622"/>
      <c r="AH739" s="1361" t="str">
        <f t="shared" si="43"/>
        <v/>
      </c>
      <c r="AI739" s="1362"/>
      <c r="AJ739" s="1363"/>
      <c r="AK739" s="1355" t="s">
        <v>592</v>
      </c>
      <c r="AL739" s="1356"/>
      <c r="AM739" s="1356"/>
      <c r="AN739" s="1356"/>
      <c r="AO739" s="1357"/>
      <c r="AP739" s="3"/>
      <c r="AQ739" s="3"/>
      <c r="AR739" s="3"/>
      <c r="AS739" s="3"/>
      <c r="AY739" s="1085"/>
      <c r="AZ739" s="118" t="str">
        <f t="shared" si="16"/>
        <v>N/A</v>
      </c>
      <c r="BA739" s="3"/>
      <c r="BE739" s="204"/>
      <c r="BF739" s="294">
        <f t="shared" si="17"/>
        <v>0</v>
      </c>
      <c r="BG739" s="297">
        <f t="shared" si="18"/>
        <v>0</v>
      </c>
      <c r="BH739" s="298" t="str">
        <f t="shared" si="19"/>
        <v/>
      </c>
      <c r="BK739" s="3"/>
      <c r="BL739" s="3"/>
      <c r="BM739" s="3"/>
      <c r="BN739" s="3"/>
      <c r="BS739" s="294">
        <f t="shared" si="20"/>
        <v>0</v>
      </c>
      <c r="BT739" s="297">
        <f t="shared" si="21"/>
        <v>0</v>
      </c>
      <c r="BU739" s="298" t="str">
        <f t="shared" si="22"/>
        <v/>
      </c>
      <c r="BV739" s="3"/>
      <c r="BW739" s="3"/>
      <c r="BX739" s="3"/>
      <c r="BY739" s="3"/>
      <c r="BZ739" s="3"/>
      <c r="CA739" s="3"/>
      <c r="CB739" s="3"/>
      <c r="CC739" s="3"/>
      <c r="CE739" s="3"/>
      <c r="CF739" s="3"/>
      <c r="CG739" s="1351">
        <f t="shared" si="44"/>
        <v>0</v>
      </c>
      <c r="CH739" s="1353"/>
      <c r="CI739" s="1335">
        <f t="shared" si="45"/>
        <v>0</v>
      </c>
      <c r="CJ739" s="1337"/>
      <c r="CK739" s="1351">
        <f t="shared" si="23"/>
        <v>0</v>
      </c>
      <c r="CL739" s="1353"/>
      <c r="CM739" s="1335">
        <f t="shared" si="24"/>
        <v>0</v>
      </c>
      <c r="CN739" s="1337"/>
      <c r="CO739" s="3"/>
      <c r="CP739" s="1332">
        <f t="shared" si="25"/>
        <v>0</v>
      </c>
      <c r="CQ739" s="1333"/>
      <c r="CR739" s="1333"/>
      <c r="CS739" s="1333"/>
      <c r="CT739" s="1334"/>
      <c r="CU739" s="1354">
        <f t="shared" si="26"/>
        <v>0</v>
      </c>
      <c r="CV739" s="1354"/>
      <c r="CW739" s="1354"/>
      <c r="CX739" s="1354"/>
      <c r="CY739" s="1354"/>
      <c r="CZ739" s="1354">
        <f t="shared" si="27"/>
        <v>0</v>
      </c>
      <c r="DA739" s="1354"/>
      <c r="DB739" s="1354"/>
      <c r="DC739" s="1354"/>
      <c r="DD739" s="1354"/>
      <c r="DE739" s="1354">
        <f t="shared" si="28"/>
        <v>0</v>
      </c>
      <c r="DF739" s="1354"/>
      <c r="DG739" s="1354"/>
      <c r="DH739" s="1354"/>
      <c r="DI739" s="1354"/>
      <c r="DJ739" s="1354">
        <f t="shared" si="29"/>
        <v>0</v>
      </c>
      <c r="DK739" s="1354"/>
      <c r="DL739" s="1354"/>
      <c r="DM739" s="1354"/>
      <c r="DN739" s="1354"/>
      <c r="DO739" s="1354">
        <f t="shared" si="30"/>
        <v>0</v>
      </c>
      <c r="DP739" s="1354"/>
      <c r="DQ739" s="1354"/>
      <c r="DR739" s="1354"/>
      <c r="DS739" s="1354"/>
      <c r="DT739" s="6"/>
      <c r="DU739" s="1368">
        <f t="shared" si="31"/>
        <v>0</v>
      </c>
      <c r="DV739" s="1368"/>
      <c r="DW739" s="1368"/>
      <c r="DX739" s="1368"/>
      <c r="DY739" s="1368"/>
      <c r="DZ739" s="1368">
        <f t="shared" si="32"/>
        <v>0</v>
      </c>
      <c r="EA739" s="1368"/>
      <c r="EB739" s="1368"/>
      <c r="EC739" s="1368"/>
      <c r="ED739" s="1368"/>
      <c r="EE739" s="1368">
        <f t="shared" si="33"/>
        <v>0</v>
      </c>
      <c r="EF739" s="1368"/>
      <c r="EG739" s="1368"/>
      <c r="EH739" s="1368"/>
      <c r="EI739" s="1368"/>
      <c r="EJ739" s="1368">
        <f t="shared" si="34"/>
        <v>0</v>
      </c>
      <c r="EK739" s="1368"/>
      <c r="EL739" s="1368"/>
      <c r="EM739" s="1368"/>
      <c r="EN739" s="1368"/>
      <c r="EO739" s="1368">
        <f t="shared" si="35"/>
        <v>0</v>
      </c>
      <c r="EP739" s="1368"/>
      <c r="EQ739" s="1368"/>
      <c r="ER739" s="1368"/>
      <c r="ES739" s="1368"/>
      <c r="ET739" s="1368">
        <f t="shared" si="36"/>
        <v>0</v>
      </c>
      <c r="EU739" s="1368"/>
      <c r="EV739" s="1368"/>
      <c r="EW739" s="1368"/>
      <c r="EX739" s="1368"/>
      <c r="EZ739" s="1351" t="str">
        <f t="shared" si="37"/>
        <v/>
      </c>
      <c r="FA739" s="1352"/>
      <c r="FB739" s="1352"/>
      <c r="FC739" s="1352"/>
      <c r="FD739" s="1353"/>
      <c r="FE739" s="1351" t="str">
        <f t="shared" si="38"/>
        <v/>
      </c>
      <c r="FF739" s="1352"/>
      <c r="FG739" s="1352"/>
      <c r="FH739" s="1352"/>
      <c r="FI739" s="1353"/>
      <c r="FJ739" s="1351" t="str">
        <f t="shared" si="39"/>
        <v/>
      </c>
      <c r="FK739" s="1352"/>
      <c r="FL739" s="1352"/>
      <c r="FM739" s="1352"/>
      <c r="FN739" s="1353"/>
      <c r="FO739" s="1351" t="str">
        <f t="shared" si="40"/>
        <v/>
      </c>
      <c r="FP739" s="1352"/>
      <c r="FQ739" s="1352"/>
      <c r="FR739" s="1352"/>
      <c r="FS739" s="1353"/>
      <c r="FT739" s="1351" t="str">
        <f t="shared" si="41"/>
        <v/>
      </c>
      <c r="FU739" s="1352"/>
      <c r="FV739" s="1352"/>
      <c r="FW739" s="1352"/>
      <c r="FX739" s="1353"/>
      <c r="FY739" s="1351" t="str">
        <f t="shared" si="42"/>
        <v/>
      </c>
      <c r="FZ739" s="1352"/>
      <c r="GA739" s="1352"/>
      <c r="GB739" s="1352"/>
      <c r="GC739" s="1353"/>
    </row>
    <row r="740" spans="1:185" ht="12.95" customHeight="1">
      <c r="B740" s="1355"/>
      <c r="C740" s="1356"/>
      <c r="D740" s="1356"/>
      <c r="E740" s="1356"/>
      <c r="F740" s="1357"/>
      <c r="G740" s="1364"/>
      <c r="H740" s="1365"/>
      <c r="I740" s="1365"/>
      <c r="J740" s="1366"/>
      <c r="K740" s="1611"/>
      <c r="L740" s="1612"/>
      <c r="M740" s="1612"/>
      <c r="N740" s="1613"/>
      <c r="O740" s="1470"/>
      <c r="P740" s="1471"/>
      <c r="Q740" s="1471"/>
      <c r="R740" s="1471"/>
      <c r="S740" s="1472"/>
      <c r="T740" s="1470"/>
      <c r="U740" s="1471"/>
      <c r="V740" s="1471"/>
      <c r="W740" s="1472"/>
      <c r="X740" s="1358">
        <f t="shared" si="15"/>
        <v>0</v>
      </c>
      <c r="Y740" s="1359"/>
      <c r="Z740" s="1359"/>
      <c r="AA740" s="1359"/>
      <c r="AB740" s="1360"/>
      <c r="AC740" s="1620"/>
      <c r="AD740" s="1621"/>
      <c r="AE740" s="1621"/>
      <c r="AF740" s="1621"/>
      <c r="AG740" s="1622"/>
      <c r="AH740" s="1361" t="str">
        <f t="shared" si="43"/>
        <v/>
      </c>
      <c r="AI740" s="1362"/>
      <c r="AJ740" s="1363"/>
      <c r="AK740" s="1355" t="s">
        <v>592</v>
      </c>
      <c r="AL740" s="1356"/>
      <c r="AM740" s="1356"/>
      <c r="AN740" s="1356"/>
      <c r="AO740" s="1357"/>
      <c r="AP740" s="3"/>
      <c r="AQ740" s="3"/>
      <c r="AR740" s="3"/>
      <c r="AS740" s="3"/>
      <c r="AY740" s="1085"/>
      <c r="AZ740" s="118" t="str">
        <f t="shared" si="16"/>
        <v>N/A</v>
      </c>
      <c r="BA740" s="3"/>
      <c r="BE740" s="204"/>
      <c r="BF740" s="294">
        <f t="shared" si="17"/>
        <v>0</v>
      </c>
      <c r="BG740" s="297">
        <f t="shared" si="18"/>
        <v>0</v>
      </c>
      <c r="BH740" s="298" t="str">
        <f t="shared" si="19"/>
        <v/>
      </c>
      <c r="BK740" s="3"/>
      <c r="BL740" s="3"/>
      <c r="BM740" s="3"/>
      <c r="BN740" s="3"/>
      <c r="BS740" s="294">
        <f t="shared" si="20"/>
        <v>0</v>
      </c>
      <c r="BT740" s="297">
        <f t="shared" si="21"/>
        <v>0</v>
      </c>
      <c r="BU740" s="298" t="str">
        <f t="shared" si="22"/>
        <v/>
      </c>
      <c r="BV740" s="3"/>
      <c r="BW740" s="3"/>
      <c r="BX740" s="3"/>
      <c r="BY740" s="3"/>
      <c r="BZ740" s="3"/>
      <c r="CA740" s="3"/>
      <c r="CB740" s="3"/>
      <c r="CC740" s="3"/>
      <c r="CE740" s="3"/>
      <c r="CF740" s="3"/>
      <c r="CG740" s="1351">
        <f t="shared" si="44"/>
        <v>0</v>
      </c>
      <c r="CH740" s="1353"/>
      <c r="CI740" s="1335">
        <f t="shared" si="45"/>
        <v>0</v>
      </c>
      <c r="CJ740" s="1337"/>
      <c r="CK740" s="1351">
        <f t="shared" si="23"/>
        <v>0</v>
      </c>
      <c r="CL740" s="1353"/>
      <c r="CM740" s="1335">
        <f t="shared" si="24"/>
        <v>0</v>
      </c>
      <c r="CN740" s="1337"/>
      <c r="CO740" s="3"/>
      <c r="CP740" s="1332">
        <f t="shared" si="25"/>
        <v>0</v>
      </c>
      <c r="CQ740" s="1333"/>
      <c r="CR740" s="1333"/>
      <c r="CS740" s="1333"/>
      <c r="CT740" s="1334"/>
      <c r="CU740" s="1354">
        <f t="shared" si="26"/>
        <v>0</v>
      </c>
      <c r="CV740" s="1354"/>
      <c r="CW740" s="1354"/>
      <c r="CX740" s="1354"/>
      <c r="CY740" s="1354"/>
      <c r="CZ740" s="1354">
        <f t="shared" si="27"/>
        <v>0</v>
      </c>
      <c r="DA740" s="1354"/>
      <c r="DB740" s="1354"/>
      <c r="DC740" s="1354"/>
      <c r="DD740" s="1354"/>
      <c r="DE740" s="1354">
        <f t="shared" si="28"/>
        <v>0</v>
      </c>
      <c r="DF740" s="1354"/>
      <c r="DG740" s="1354"/>
      <c r="DH740" s="1354"/>
      <c r="DI740" s="1354"/>
      <c r="DJ740" s="1354">
        <f t="shared" si="29"/>
        <v>0</v>
      </c>
      <c r="DK740" s="1354"/>
      <c r="DL740" s="1354"/>
      <c r="DM740" s="1354"/>
      <c r="DN740" s="1354"/>
      <c r="DO740" s="1354">
        <f t="shared" si="30"/>
        <v>0</v>
      </c>
      <c r="DP740" s="1354"/>
      <c r="DQ740" s="1354"/>
      <c r="DR740" s="1354"/>
      <c r="DS740" s="1354"/>
      <c r="DT740" s="6"/>
      <c r="DU740" s="1368">
        <f t="shared" si="31"/>
        <v>0</v>
      </c>
      <c r="DV740" s="1368"/>
      <c r="DW740" s="1368"/>
      <c r="DX740" s="1368"/>
      <c r="DY740" s="1368"/>
      <c r="DZ740" s="1368">
        <f t="shared" si="32"/>
        <v>0</v>
      </c>
      <c r="EA740" s="1368"/>
      <c r="EB740" s="1368"/>
      <c r="EC740" s="1368"/>
      <c r="ED740" s="1368"/>
      <c r="EE740" s="1368">
        <f t="shared" si="33"/>
        <v>0</v>
      </c>
      <c r="EF740" s="1368"/>
      <c r="EG740" s="1368"/>
      <c r="EH740" s="1368"/>
      <c r="EI740" s="1368"/>
      <c r="EJ740" s="1368">
        <f t="shared" si="34"/>
        <v>0</v>
      </c>
      <c r="EK740" s="1368"/>
      <c r="EL740" s="1368"/>
      <c r="EM740" s="1368"/>
      <c r="EN740" s="1368"/>
      <c r="EO740" s="1368">
        <f t="shared" si="35"/>
        <v>0</v>
      </c>
      <c r="EP740" s="1368"/>
      <c r="EQ740" s="1368"/>
      <c r="ER740" s="1368"/>
      <c r="ES740" s="1368"/>
      <c r="ET740" s="1368">
        <f t="shared" si="36"/>
        <v>0</v>
      </c>
      <c r="EU740" s="1368"/>
      <c r="EV740" s="1368"/>
      <c r="EW740" s="1368"/>
      <c r="EX740" s="1368"/>
      <c r="EZ740" s="1351" t="str">
        <f t="shared" si="37"/>
        <v/>
      </c>
      <c r="FA740" s="1352"/>
      <c r="FB740" s="1352"/>
      <c r="FC740" s="1352"/>
      <c r="FD740" s="1353"/>
      <c r="FE740" s="1351" t="str">
        <f t="shared" si="38"/>
        <v/>
      </c>
      <c r="FF740" s="1352"/>
      <c r="FG740" s="1352"/>
      <c r="FH740" s="1352"/>
      <c r="FI740" s="1353"/>
      <c r="FJ740" s="1351" t="str">
        <f t="shared" si="39"/>
        <v/>
      </c>
      <c r="FK740" s="1352"/>
      <c r="FL740" s="1352"/>
      <c r="FM740" s="1352"/>
      <c r="FN740" s="1353"/>
      <c r="FO740" s="1351" t="str">
        <f t="shared" si="40"/>
        <v/>
      </c>
      <c r="FP740" s="1352"/>
      <c r="FQ740" s="1352"/>
      <c r="FR740" s="1352"/>
      <c r="FS740" s="1353"/>
      <c r="FT740" s="1351" t="str">
        <f t="shared" si="41"/>
        <v/>
      </c>
      <c r="FU740" s="1352"/>
      <c r="FV740" s="1352"/>
      <c r="FW740" s="1352"/>
      <c r="FX740" s="1353"/>
      <c r="FY740" s="1351" t="str">
        <f t="shared" si="42"/>
        <v/>
      </c>
      <c r="FZ740" s="1352"/>
      <c r="GA740" s="1352"/>
      <c r="GB740" s="1352"/>
      <c r="GC740" s="1353"/>
    </row>
    <row r="741" spans="1:185" ht="12.95" customHeight="1">
      <c r="B741" s="1355"/>
      <c r="C741" s="1356"/>
      <c r="D741" s="1356"/>
      <c r="E741" s="1356"/>
      <c r="F741" s="1357"/>
      <c r="G741" s="1364"/>
      <c r="H741" s="1365"/>
      <c r="I741" s="1365"/>
      <c r="J741" s="1366"/>
      <c r="K741" s="1611"/>
      <c r="L741" s="1612"/>
      <c r="M741" s="1612"/>
      <c r="N741" s="1613"/>
      <c r="O741" s="1470"/>
      <c r="P741" s="1471"/>
      <c r="Q741" s="1471"/>
      <c r="R741" s="1471"/>
      <c r="S741" s="1472"/>
      <c r="T741" s="1470"/>
      <c r="U741" s="1471"/>
      <c r="V741" s="1471"/>
      <c r="W741" s="1472"/>
      <c r="X741" s="1358">
        <f t="shared" si="15"/>
        <v>0</v>
      </c>
      <c r="Y741" s="1359"/>
      <c r="Z741" s="1359"/>
      <c r="AA741" s="1359"/>
      <c r="AB741" s="1360"/>
      <c r="AC741" s="1620"/>
      <c r="AD741" s="1621"/>
      <c r="AE741" s="1621"/>
      <c r="AF741" s="1621"/>
      <c r="AG741" s="1622"/>
      <c r="AH741" s="1361" t="str">
        <f t="shared" si="43"/>
        <v/>
      </c>
      <c r="AI741" s="1362"/>
      <c r="AJ741" s="1363"/>
      <c r="AK741" s="1355" t="s">
        <v>592</v>
      </c>
      <c r="AL741" s="1356"/>
      <c r="AM741" s="1356"/>
      <c r="AN741" s="1356"/>
      <c r="AO741" s="1357"/>
      <c r="AP741" s="3"/>
      <c r="AQ741" s="3"/>
      <c r="AR741" s="3"/>
      <c r="AS741" s="3"/>
      <c r="AY741" s="1085"/>
      <c r="AZ741" s="118" t="str">
        <f t="shared" si="16"/>
        <v>N/A</v>
      </c>
      <c r="BA741" s="3"/>
      <c r="BE741" s="204"/>
      <c r="BF741" s="294">
        <f t="shared" si="17"/>
        <v>0</v>
      </c>
      <c r="BG741" s="297">
        <f t="shared" si="18"/>
        <v>0</v>
      </c>
      <c r="BH741" s="298" t="str">
        <f t="shared" si="19"/>
        <v/>
      </c>
      <c r="BK741" s="3"/>
      <c r="BL741" s="3"/>
      <c r="BM741" s="3"/>
      <c r="BN741" s="3"/>
      <c r="BS741" s="294">
        <f t="shared" si="20"/>
        <v>0</v>
      </c>
      <c r="BT741" s="297">
        <f t="shared" si="21"/>
        <v>0</v>
      </c>
      <c r="BU741" s="298" t="str">
        <f t="shared" si="22"/>
        <v/>
      </c>
      <c r="BV741" s="3"/>
      <c r="BW741" s="3"/>
      <c r="BX741" s="3"/>
      <c r="BY741" s="3"/>
      <c r="BZ741" s="3"/>
      <c r="CA741" s="3"/>
      <c r="CB741" s="3"/>
      <c r="CC741" s="3"/>
      <c r="CE741" s="3"/>
      <c r="CF741" s="3"/>
      <c r="CG741" s="1351">
        <f t="shared" si="44"/>
        <v>0</v>
      </c>
      <c r="CH741" s="1353"/>
      <c r="CI741" s="1335">
        <f t="shared" si="45"/>
        <v>0</v>
      </c>
      <c r="CJ741" s="1337"/>
      <c r="CK741" s="1351">
        <f t="shared" si="23"/>
        <v>0</v>
      </c>
      <c r="CL741" s="1353"/>
      <c r="CM741" s="1335">
        <f t="shared" si="24"/>
        <v>0</v>
      </c>
      <c r="CN741" s="1337"/>
      <c r="CO741" s="3"/>
      <c r="CP741" s="1332">
        <f t="shared" si="25"/>
        <v>0</v>
      </c>
      <c r="CQ741" s="1333"/>
      <c r="CR741" s="1333"/>
      <c r="CS741" s="1333"/>
      <c r="CT741" s="1334"/>
      <c r="CU741" s="1354">
        <f t="shared" si="26"/>
        <v>0</v>
      </c>
      <c r="CV741" s="1354"/>
      <c r="CW741" s="1354"/>
      <c r="CX741" s="1354"/>
      <c r="CY741" s="1354"/>
      <c r="CZ741" s="1354">
        <f t="shared" si="27"/>
        <v>0</v>
      </c>
      <c r="DA741" s="1354"/>
      <c r="DB741" s="1354"/>
      <c r="DC741" s="1354"/>
      <c r="DD741" s="1354"/>
      <c r="DE741" s="1354">
        <f t="shared" si="28"/>
        <v>0</v>
      </c>
      <c r="DF741" s="1354"/>
      <c r="DG741" s="1354"/>
      <c r="DH741" s="1354"/>
      <c r="DI741" s="1354"/>
      <c r="DJ741" s="1354">
        <f t="shared" si="29"/>
        <v>0</v>
      </c>
      <c r="DK741" s="1354"/>
      <c r="DL741" s="1354"/>
      <c r="DM741" s="1354"/>
      <c r="DN741" s="1354"/>
      <c r="DO741" s="1354">
        <f t="shared" si="30"/>
        <v>0</v>
      </c>
      <c r="DP741" s="1354"/>
      <c r="DQ741" s="1354"/>
      <c r="DR741" s="1354"/>
      <c r="DS741" s="1354"/>
      <c r="DT741" s="6"/>
      <c r="DU741" s="1368">
        <f t="shared" si="31"/>
        <v>0</v>
      </c>
      <c r="DV741" s="1368"/>
      <c r="DW741" s="1368"/>
      <c r="DX741" s="1368"/>
      <c r="DY741" s="1368"/>
      <c r="DZ741" s="1368">
        <f t="shared" si="32"/>
        <v>0</v>
      </c>
      <c r="EA741" s="1368"/>
      <c r="EB741" s="1368"/>
      <c r="EC741" s="1368"/>
      <c r="ED741" s="1368"/>
      <c r="EE741" s="1368">
        <f t="shared" si="33"/>
        <v>0</v>
      </c>
      <c r="EF741" s="1368"/>
      <c r="EG741" s="1368"/>
      <c r="EH741" s="1368"/>
      <c r="EI741" s="1368"/>
      <c r="EJ741" s="1368">
        <f t="shared" si="34"/>
        <v>0</v>
      </c>
      <c r="EK741" s="1368"/>
      <c r="EL741" s="1368"/>
      <c r="EM741" s="1368"/>
      <c r="EN741" s="1368"/>
      <c r="EO741" s="1368">
        <f t="shared" si="35"/>
        <v>0</v>
      </c>
      <c r="EP741" s="1368"/>
      <c r="EQ741" s="1368"/>
      <c r="ER741" s="1368"/>
      <c r="ES741" s="1368"/>
      <c r="ET741" s="1368">
        <f t="shared" si="36"/>
        <v>0</v>
      </c>
      <c r="EU741" s="1368"/>
      <c r="EV741" s="1368"/>
      <c r="EW741" s="1368"/>
      <c r="EX741" s="1368"/>
      <c r="EZ741" s="1351" t="str">
        <f t="shared" si="37"/>
        <v/>
      </c>
      <c r="FA741" s="1352"/>
      <c r="FB741" s="1352"/>
      <c r="FC741" s="1352"/>
      <c r="FD741" s="1353"/>
      <c r="FE741" s="1351" t="str">
        <f t="shared" si="38"/>
        <v/>
      </c>
      <c r="FF741" s="1352"/>
      <c r="FG741" s="1352"/>
      <c r="FH741" s="1352"/>
      <c r="FI741" s="1353"/>
      <c r="FJ741" s="1351" t="str">
        <f t="shared" si="39"/>
        <v/>
      </c>
      <c r="FK741" s="1352"/>
      <c r="FL741" s="1352"/>
      <c r="FM741" s="1352"/>
      <c r="FN741" s="1353"/>
      <c r="FO741" s="1351" t="str">
        <f t="shared" si="40"/>
        <v/>
      </c>
      <c r="FP741" s="1352"/>
      <c r="FQ741" s="1352"/>
      <c r="FR741" s="1352"/>
      <c r="FS741" s="1353"/>
      <c r="FT741" s="1351" t="str">
        <f t="shared" si="41"/>
        <v/>
      </c>
      <c r="FU741" s="1352"/>
      <c r="FV741" s="1352"/>
      <c r="FW741" s="1352"/>
      <c r="FX741" s="1353"/>
      <c r="FY741" s="1351" t="str">
        <f t="shared" si="42"/>
        <v/>
      </c>
      <c r="FZ741" s="1352"/>
      <c r="GA741" s="1352"/>
      <c r="GB741" s="1352"/>
      <c r="GC741" s="1353"/>
    </row>
    <row r="742" spans="1:185" ht="12.95" customHeight="1">
      <c r="B742" s="1355"/>
      <c r="C742" s="1356"/>
      <c r="D742" s="1356"/>
      <c r="E742" s="1356"/>
      <c r="F742" s="1357"/>
      <c r="G742" s="1364"/>
      <c r="H742" s="1365"/>
      <c r="I742" s="1365"/>
      <c r="J742" s="1366"/>
      <c r="K742" s="1611"/>
      <c r="L742" s="1612"/>
      <c r="M742" s="1612"/>
      <c r="N742" s="1613"/>
      <c r="O742" s="1470"/>
      <c r="P742" s="1471"/>
      <c r="Q742" s="1471"/>
      <c r="R742" s="1471"/>
      <c r="S742" s="1472"/>
      <c r="T742" s="1470"/>
      <c r="U742" s="1471"/>
      <c r="V742" s="1471"/>
      <c r="W742" s="1472"/>
      <c r="X742" s="1358">
        <f t="shared" ref="X742:X751" si="46">O742+T742</f>
        <v>0</v>
      </c>
      <c r="Y742" s="1359"/>
      <c r="Z742" s="1359"/>
      <c r="AA742" s="1359"/>
      <c r="AB742" s="1360"/>
      <c r="AC742" s="1620"/>
      <c r="AD742" s="1621"/>
      <c r="AE742" s="1621"/>
      <c r="AF742" s="1621"/>
      <c r="AG742" s="1622"/>
      <c r="AH742" s="1361" t="str">
        <f t="shared" si="43"/>
        <v/>
      </c>
      <c r="AI742" s="1362"/>
      <c r="AJ742" s="1363"/>
      <c r="AK742" s="1355" t="s">
        <v>592</v>
      </c>
      <c r="AL742" s="1356"/>
      <c r="AM742" s="1356"/>
      <c r="AN742" s="1356"/>
      <c r="AO742" s="1357"/>
      <c r="AP742" s="3"/>
      <c r="AQ742" s="3"/>
      <c r="AR742" s="3"/>
      <c r="AS742" s="3"/>
      <c r="AY742" s="1085"/>
      <c r="AZ742" s="118" t="str">
        <f t="shared" si="16"/>
        <v>N/A</v>
      </c>
      <c r="BA742" s="3"/>
      <c r="BB742" s="3"/>
      <c r="BE742" s="204"/>
      <c r="BF742" s="294">
        <f t="shared" si="17"/>
        <v>0</v>
      </c>
      <c r="BG742" s="297">
        <f t="shared" si="18"/>
        <v>0</v>
      </c>
      <c r="BH742" s="298" t="str">
        <f t="shared" si="19"/>
        <v/>
      </c>
      <c r="BL742" s="3"/>
      <c r="BM742" s="3"/>
      <c r="BN742" s="3"/>
      <c r="BS742" s="294">
        <f t="shared" si="20"/>
        <v>0</v>
      </c>
      <c r="BT742" s="297">
        <f t="shared" si="21"/>
        <v>0</v>
      </c>
      <c r="BU742" s="298" t="str">
        <f t="shared" si="22"/>
        <v/>
      </c>
      <c r="BV742" s="3"/>
      <c r="BW742" s="3"/>
      <c r="BX742" s="3"/>
      <c r="BY742" s="3"/>
      <c r="BZ742" s="3"/>
      <c r="CA742" s="3"/>
      <c r="CB742" s="3"/>
      <c r="CC742" s="3"/>
      <c r="CE742" s="3"/>
      <c r="CF742" s="3"/>
      <c r="CG742" s="1351">
        <f t="shared" si="44"/>
        <v>0</v>
      </c>
      <c r="CH742" s="1353"/>
      <c r="CI742" s="1335">
        <f t="shared" si="45"/>
        <v>0</v>
      </c>
      <c r="CJ742" s="1337"/>
      <c r="CK742" s="1351">
        <f t="shared" si="23"/>
        <v>0</v>
      </c>
      <c r="CL742" s="1353"/>
      <c r="CM742" s="1335">
        <f t="shared" si="24"/>
        <v>0</v>
      </c>
      <c r="CN742" s="1337"/>
      <c r="CO742" s="3"/>
      <c r="CP742" s="1332">
        <f t="shared" si="25"/>
        <v>0</v>
      </c>
      <c r="CQ742" s="1333"/>
      <c r="CR742" s="1333"/>
      <c r="CS742" s="1333"/>
      <c r="CT742" s="1334"/>
      <c r="CU742" s="1354">
        <f t="shared" si="26"/>
        <v>0</v>
      </c>
      <c r="CV742" s="1354"/>
      <c r="CW742" s="1354"/>
      <c r="CX742" s="1354"/>
      <c r="CY742" s="1354"/>
      <c r="CZ742" s="1354">
        <f t="shared" si="27"/>
        <v>0</v>
      </c>
      <c r="DA742" s="1354"/>
      <c r="DB742" s="1354"/>
      <c r="DC742" s="1354"/>
      <c r="DD742" s="1354"/>
      <c r="DE742" s="1354">
        <f t="shared" si="28"/>
        <v>0</v>
      </c>
      <c r="DF742" s="1354"/>
      <c r="DG742" s="1354"/>
      <c r="DH742" s="1354"/>
      <c r="DI742" s="1354"/>
      <c r="DJ742" s="1354">
        <f t="shared" si="29"/>
        <v>0</v>
      </c>
      <c r="DK742" s="1354"/>
      <c r="DL742" s="1354"/>
      <c r="DM742" s="1354"/>
      <c r="DN742" s="1354"/>
      <c r="DO742" s="1354">
        <f t="shared" si="30"/>
        <v>0</v>
      </c>
      <c r="DP742" s="1354"/>
      <c r="DQ742" s="1354"/>
      <c r="DR742" s="1354"/>
      <c r="DS742" s="1354"/>
      <c r="DT742" s="6"/>
      <c r="DU742" s="1368">
        <f t="shared" si="31"/>
        <v>0</v>
      </c>
      <c r="DV742" s="1368"/>
      <c r="DW742" s="1368"/>
      <c r="DX742" s="1368"/>
      <c r="DY742" s="1368"/>
      <c r="DZ742" s="1368">
        <f t="shared" si="32"/>
        <v>0</v>
      </c>
      <c r="EA742" s="1368"/>
      <c r="EB742" s="1368"/>
      <c r="EC742" s="1368"/>
      <c r="ED742" s="1368"/>
      <c r="EE742" s="1368">
        <f t="shared" si="33"/>
        <v>0</v>
      </c>
      <c r="EF742" s="1368"/>
      <c r="EG742" s="1368"/>
      <c r="EH742" s="1368"/>
      <c r="EI742" s="1368"/>
      <c r="EJ742" s="1368">
        <f t="shared" si="34"/>
        <v>0</v>
      </c>
      <c r="EK742" s="1368"/>
      <c r="EL742" s="1368"/>
      <c r="EM742" s="1368"/>
      <c r="EN742" s="1368"/>
      <c r="EO742" s="1368">
        <f t="shared" si="35"/>
        <v>0</v>
      </c>
      <c r="EP742" s="1368"/>
      <c r="EQ742" s="1368"/>
      <c r="ER742" s="1368"/>
      <c r="ES742" s="1368"/>
      <c r="ET742" s="1368">
        <f t="shared" si="36"/>
        <v>0</v>
      </c>
      <c r="EU742" s="1368"/>
      <c r="EV742" s="1368"/>
      <c r="EW742" s="1368"/>
      <c r="EX742" s="1368"/>
      <c r="EZ742" s="1351" t="str">
        <f t="shared" si="37"/>
        <v/>
      </c>
      <c r="FA742" s="1352"/>
      <c r="FB742" s="1352"/>
      <c r="FC742" s="1352"/>
      <c r="FD742" s="1353"/>
      <c r="FE742" s="1351" t="str">
        <f t="shared" si="38"/>
        <v/>
      </c>
      <c r="FF742" s="1352"/>
      <c r="FG742" s="1352"/>
      <c r="FH742" s="1352"/>
      <c r="FI742" s="1353"/>
      <c r="FJ742" s="1351" t="str">
        <f t="shared" si="39"/>
        <v/>
      </c>
      <c r="FK742" s="1352"/>
      <c r="FL742" s="1352"/>
      <c r="FM742" s="1352"/>
      <c r="FN742" s="1353"/>
      <c r="FO742" s="1351" t="str">
        <f t="shared" si="40"/>
        <v/>
      </c>
      <c r="FP742" s="1352"/>
      <c r="FQ742" s="1352"/>
      <c r="FR742" s="1352"/>
      <c r="FS742" s="1353"/>
      <c r="FT742" s="1351" t="str">
        <f t="shared" si="41"/>
        <v/>
      </c>
      <c r="FU742" s="1352"/>
      <c r="FV742" s="1352"/>
      <c r="FW742" s="1352"/>
      <c r="FX742" s="1353"/>
      <c r="FY742" s="1351" t="str">
        <f t="shared" si="42"/>
        <v/>
      </c>
      <c r="FZ742" s="1352"/>
      <c r="GA742" s="1352"/>
      <c r="GB742" s="1352"/>
      <c r="GC742" s="1353"/>
    </row>
    <row r="743" spans="1:185" s="3" customFormat="1" ht="12.95" customHeight="1">
      <c r="A743"/>
      <c r="B743" s="1355"/>
      <c r="C743" s="1356"/>
      <c r="D743" s="1356"/>
      <c r="E743" s="1356"/>
      <c r="F743" s="1357"/>
      <c r="G743" s="1364"/>
      <c r="H743" s="1365"/>
      <c r="I743" s="1365"/>
      <c r="J743" s="1366"/>
      <c r="K743" s="1611"/>
      <c r="L743" s="1612"/>
      <c r="M743" s="1612"/>
      <c r="N743" s="1613"/>
      <c r="O743" s="1470"/>
      <c r="P743" s="1471"/>
      <c r="Q743" s="1471"/>
      <c r="R743" s="1471"/>
      <c r="S743" s="1472"/>
      <c r="T743" s="1470"/>
      <c r="U743" s="1471"/>
      <c r="V743" s="1471"/>
      <c r="W743" s="1472"/>
      <c r="X743" s="1358">
        <f t="shared" si="46"/>
        <v>0</v>
      </c>
      <c r="Y743" s="1359"/>
      <c r="Z743" s="1359"/>
      <c r="AA743" s="1359"/>
      <c r="AB743" s="1360"/>
      <c r="AC743" s="1620"/>
      <c r="AD743" s="1621"/>
      <c r="AE743" s="1621"/>
      <c r="AF743" s="1621"/>
      <c r="AG743" s="1622"/>
      <c r="AH743" s="1361" t="str">
        <f t="shared" si="43"/>
        <v/>
      </c>
      <c r="AI743" s="1362"/>
      <c r="AJ743" s="1363"/>
      <c r="AK743" s="1355" t="s">
        <v>592</v>
      </c>
      <c r="AL743" s="1356"/>
      <c r="AM743" s="1356"/>
      <c r="AN743" s="1356"/>
      <c r="AO743" s="1357"/>
      <c r="AT743"/>
      <c r="AU743"/>
      <c r="AV743"/>
      <c r="AW743"/>
      <c r="AX743"/>
      <c r="AY743" s="1085"/>
      <c r="AZ743" s="118" t="str">
        <f t="shared" si="16"/>
        <v>N/A</v>
      </c>
      <c r="BD743"/>
      <c r="BE743"/>
      <c r="BF743" s="294">
        <f t="shared" si="17"/>
        <v>0</v>
      </c>
      <c r="BG743" s="297">
        <f t="shared" si="18"/>
        <v>0</v>
      </c>
      <c r="BH743" s="298" t="str">
        <f t="shared" si="19"/>
        <v/>
      </c>
      <c r="BI743"/>
      <c r="BJ743"/>
      <c r="BK743"/>
      <c r="BL743"/>
      <c r="BM743"/>
      <c r="BN743"/>
      <c r="BO743"/>
      <c r="BP743"/>
      <c r="BQ743"/>
      <c r="BR743"/>
      <c r="BS743" s="294">
        <f t="shared" si="20"/>
        <v>0</v>
      </c>
      <c r="BT743" s="297">
        <f t="shared" si="21"/>
        <v>0</v>
      </c>
      <c r="BU743" s="298" t="str">
        <f t="shared" si="22"/>
        <v/>
      </c>
      <c r="CD743"/>
      <c r="CG743" s="1351">
        <f t="shared" si="44"/>
        <v>0</v>
      </c>
      <c r="CH743" s="1353"/>
      <c r="CI743" s="1335">
        <f t="shared" si="45"/>
        <v>0</v>
      </c>
      <c r="CJ743" s="1337"/>
      <c r="CK743" s="1351">
        <f t="shared" si="23"/>
        <v>0</v>
      </c>
      <c r="CL743" s="1353"/>
      <c r="CM743" s="1335">
        <f t="shared" si="24"/>
        <v>0</v>
      </c>
      <c r="CN743" s="1337"/>
      <c r="CP743" s="1332">
        <f t="shared" si="25"/>
        <v>0</v>
      </c>
      <c r="CQ743" s="1333"/>
      <c r="CR743" s="1333"/>
      <c r="CS743" s="1333"/>
      <c r="CT743" s="1334"/>
      <c r="CU743" s="1354">
        <f t="shared" si="26"/>
        <v>0</v>
      </c>
      <c r="CV743" s="1354"/>
      <c r="CW743" s="1354"/>
      <c r="CX743" s="1354"/>
      <c r="CY743" s="1354"/>
      <c r="CZ743" s="1354">
        <f t="shared" si="27"/>
        <v>0</v>
      </c>
      <c r="DA743" s="1354"/>
      <c r="DB743" s="1354"/>
      <c r="DC743" s="1354"/>
      <c r="DD743" s="1354"/>
      <c r="DE743" s="1354">
        <f t="shared" si="28"/>
        <v>0</v>
      </c>
      <c r="DF743" s="1354"/>
      <c r="DG743" s="1354"/>
      <c r="DH743" s="1354"/>
      <c r="DI743" s="1354"/>
      <c r="DJ743" s="1354">
        <f t="shared" si="29"/>
        <v>0</v>
      </c>
      <c r="DK743" s="1354"/>
      <c r="DL743" s="1354"/>
      <c r="DM743" s="1354"/>
      <c r="DN743" s="1354"/>
      <c r="DO743" s="1354">
        <f t="shared" si="30"/>
        <v>0</v>
      </c>
      <c r="DP743" s="1354"/>
      <c r="DQ743" s="1354"/>
      <c r="DR743" s="1354"/>
      <c r="DS743" s="1354"/>
      <c r="DT743" s="6"/>
      <c r="DU743" s="1368">
        <f t="shared" si="31"/>
        <v>0</v>
      </c>
      <c r="DV743" s="1368"/>
      <c r="DW743" s="1368"/>
      <c r="DX743" s="1368"/>
      <c r="DY743" s="1368"/>
      <c r="DZ743" s="1368">
        <f t="shared" si="32"/>
        <v>0</v>
      </c>
      <c r="EA743" s="1368"/>
      <c r="EB743" s="1368"/>
      <c r="EC743" s="1368"/>
      <c r="ED743" s="1368"/>
      <c r="EE743" s="1368">
        <f t="shared" si="33"/>
        <v>0</v>
      </c>
      <c r="EF743" s="1368"/>
      <c r="EG743" s="1368"/>
      <c r="EH743" s="1368"/>
      <c r="EI743" s="1368"/>
      <c r="EJ743" s="1368">
        <f t="shared" si="34"/>
        <v>0</v>
      </c>
      <c r="EK743" s="1368"/>
      <c r="EL743" s="1368"/>
      <c r="EM743" s="1368"/>
      <c r="EN743" s="1368"/>
      <c r="EO743" s="1368">
        <f t="shared" si="35"/>
        <v>0</v>
      </c>
      <c r="EP743" s="1368"/>
      <c r="EQ743" s="1368"/>
      <c r="ER743" s="1368"/>
      <c r="ES743" s="1368"/>
      <c r="ET743" s="1368">
        <f t="shared" si="36"/>
        <v>0</v>
      </c>
      <c r="EU743" s="1368"/>
      <c r="EV743" s="1368"/>
      <c r="EW743" s="1368"/>
      <c r="EX743" s="1368"/>
      <c r="EY743"/>
      <c r="EZ743" s="1351" t="str">
        <f t="shared" si="37"/>
        <v/>
      </c>
      <c r="FA743" s="1352"/>
      <c r="FB743" s="1352"/>
      <c r="FC743" s="1352"/>
      <c r="FD743" s="1353"/>
      <c r="FE743" s="1351" t="str">
        <f t="shared" si="38"/>
        <v/>
      </c>
      <c r="FF743" s="1352"/>
      <c r="FG743" s="1352"/>
      <c r="FH743" s="1352"/>
      <c r="FI743" s="1353"/>
      <c r="FJ743" s="1351" t="str">
        <f t="shared" si="39"/>
        <v/>
      </c>
      <c r="FK743" s="1352"/>
      <c r="FL743" s="1352"/>
      <c r="FM743" s="1352"/>
      <c r="FN743" s="1353"/>
      <c r="FO743" s="1351" t="str">
        <f t="shared" si="40"/>
        <v/>
      </c>
      <c r="FP743" s="1352"/>
      <c r="FQ743" s="1352"/>
      <c r="FR743" s="1352"/>
      <c r="FS743" s="1353"/>
      <c r="FT743" s="1351" t="str">
        <f t="shared" si="41"/>
        <v/>
      </c>
      <c r="FU743" s="1352"/>
      <c r="FV743" s="1352"/>
      <c r="FW743" s="1352"/>
      <c r="FX743" s="1353"/>
      <c r="FY743" s="1351" t="str">
        <f t="shared" si="42"/>
        <v/>
      </c>
      <c r="FZ743" s="1352"/>
      <c r="GA743" s="1352"/>
      <c r="GB743" s="1352"/>
      <c r="GC743" s="1353"/>
    </row>
    <row r="744" spans="1:185" ht="12.95" customHeight="1">
      <c r="B744" s="1355"/>
      <c r="C744" s="1356"/>
      <c r="D744" s="1356"/>
      <c r="E744" s="1356"/>
      <c r="F744" s="1357"/>
      <c r="G744" s="1364"/>
      <c r="H744" s="1365"/>
      <c r="I744" s="1365"/>
      <c r="J744" s="1366"/>
      <c r="K744" s="1611"/>
      <c r="L744" s="1612"/>
      <c r="M744" s="1612"/>
      <c r="N744" s="1613"/>
      <c r="O744" s="1470"/>
      <c r="P744" s="1471"/>
      <c r="Q744" s="1471"/>
      <c r="R744" s="1471"/>
      <c r="S744" s="1472"/>
      <c r="T744" s="1470"/>
      <c r="U744" s="1471"/>
      <c r="V744" s="1471"/>
      <c r="W744" s="1472"/>
      <c r="X744" s="1358">
        <f t="shared" si="46"/>
        <v>0</v>
      </c>
      <c r="Y744" s="1359"/>
      <c r="Z744" s="1359"/>
      <c r="AA744" s="1359"/>
      <c r="AB744" s="1360"/>
      <c r="AC744" s="1620"/>
      <c r="AD744" s="1621"/>
      <c r="AE744" s="1621"/>
      <c r="AF744" s="1621"/>
      <c r="AG744" s="1622"/>
      <c r="AH744" s="1361" t="str">
        <f t="shared" si="43"/>
        <v/>
      </c>
      <c r="AI744" s="1362"/>
      <c r="AJ744" s="1363"/>
      <c r="AK744" s="1355" t="s">
        <v>592</v>
      </c>
      <c r="AL744" s="1356"/>
      <c r="AM744" s="1356"/>
      <c r="AN744" s="1356"/>
      <c r="AO744" s="1357"/>
      <c r="AP744" s="3"/>
      <c r="AQ744" s="3"/>
      <c r="AR744" s="3"/>
      <c r="AS744" s="3"/>
      <c r="AY744" s="1085"/>
      <c r="AZ744" s="118" t="str">
        <f t="shared" si="16"/>
        <v>N/A</v>
      </c>
      <c r="BA744" s="3"/>
      <c r="BB744" s="3"/>
      <c r="BC744" s="3"/>
      <c r="BD744" s="3"/>
      <c r="BE744" s="3"/>
      <c r="BF744" s="294">
        <f t="shared" si="17"/>
        <v>0</v>
      </c>
      <c r="BG744" s="297">
        <f t="shared" si="18"/>
        <v>0</v>
      </c>
      <c r="BH744" s="298" t="str">
        <f t="shared" si="19"/>
        <v/>
      </c>
      <c r="BI744" s="3"/>
      <c r="BJ744" s="3"/>
      <c r="BK744" s="3"/>
      <c r="BL744" s="3"/>
      <c r="BM744" s="3"/>
      <c r="BN744" s="3"/>
      <c r="BS744" s="294">
        <f t="shared" si="20"/>
        <v>0</v>
      </c>
      <c r="BT744" s="297">
        <f t="shared" si="21"/>
        <v>0</v>
      </c>
      <c r="BU744" s="298" t="str">
        <f t="shared" si="22"/>
        <v/>
      </c>
      <c r="BV744" s="3"/>
      <c r="BW744" s="3"/>
      <c r="BX744" s="3"/>
      <c r="BY744" s="3"/>
      <c r="BZ744" s="3"/>
      <c r="CA744" s="3"/>
      <c r="CB744" s="3"/>
      <c r="CC744" s="3"/>
      <c r="CE744" s="3"/>
      <c r="CF744" s="3"/>
      <c r="CG744" s="1351">
        <f t="shared" si="44"/>
        <v>0</v>
      </c>
      <c r="CH744" s="1353"/>
      <c r="CI744" s="1335">
        <f t="shared" si="45"/>
        <v>0</v>
      </c>
      <c r="CJ744" s="1337"/>
      <c r="CK744" s="1351">
        <f t="shared" si="23"/>
        <v>0</v>
      </c>
      <c r="CL744" s="1353"/>
      <c r="CM744" s="1335">
        <f t="shared" si="24"/>
        <v>0</v>
      </c>
      <c r="CN744" s="1337"/>
      <c r="CO744" s="3"/>
      <c r="CP744" s="1332">
        <f t="shared" si="25"/>
        <v>0</v>
      </c>
      <c r="CQ744" s="1333"/>
      <c r="CR744" s="1333"/>
      <c r="CS744" s="1333"/>
      <c r="CT744" s="1334"/>
      <c r="CU744" s="1354">
        <f t="shared" si="26"/>
        <v>0</v>
      </c>
      <c r="CV744" s="1354"/>
      <c r="CW744" s="1354"/>
      <c r="CX744" s="1354"/>
      <c r="CY744" s="1354"/>
      <c r="CZ744" s="1354">
        <f t="shared" si="27"/>
        <v>0</v>
      </c>
      <c r="DA744" s="1354"/>
      <c r="DB744" s="1354"/>
      <c r="DC744" s="1354"/>
      <c r="DD744" s="1354"/>
      <c r="DE744" s="1354">
        <f t="shared" si="28"/>
        <v>0</v>
      </c>
      <c r="DF744" s="1354"/>
      <c r="DG744" s="1354"/>
      <c r="DH744" s="1354"/>
      <c r="DI744" s="1354"/>
      <c r="DJ744" s="1354">
        <f t="shared" si="29"/>
        <v>0</v>
      </c>
      <c r="DK744" s="1354"/>
      <c r="DL744" s="1354"/>
      <c r="DM744" s="1354"/>
      <c r="DN744" s="1354"/>
      <c r="DO744" s="1354">
        <f t="shared" si="30"/>
        <v>0</v>
      </c>
      <c r="DP744" s="1354"/>
      <c r="DQ744" s="1354"/>
      <c r="DR744" s="1354"/>
      <c r="DS744" s="1354"/>
      <c r="DT744" s="6"/>
      <c r="DU744" s="1368">
        <f t="shared" si="31"/>
        <v>0</v>
      </c>
      <c r="DV744" s="1368"/>
      <c r="DW744" s="1368"/>
      <c r="DX744" s="1368"/>
      <c r="DY744" s="1368"/>
      <c r="DZ744" s="1368">
        <f t="shared" si="32"/>
        <v>0</v>
      </c>
      <c r="EA744" s="1368"/>
      <c r="EB744" s="1368"/>
      <c r="EC744" s="1368"/>
      <c r="ED744" s="1368"/>
      <c r="EE744" s="1368">
        <f t="shared" si="33"/>
        <v>0</v>
      </c>
      <c r="EF744" s="1368"/>
      <c r="EG744" s="1368"/>
      <c r="EH744" s="1368"/>
      <c r="EI744" s="1368"/>
      <c r="EJ744" s="1368">
        <f t="shared" si="34"/>
        <v>0</v>
      </c>
      <c r="EK744" s="1368"/>
      <c r="EL744" s="1368"/>
      <c r="EM744" s="1368"/>
      <c r="EN744" s="1368"/>
      <c r="EO744" s="1368">
        <f t="shared" si="35"/>
        <v>0</v>
      </c>
      <c r="EP744" s="1368"/>
      <c r="EQ744" s="1368"/>
      <c r="ER744" s="1368"/>
      <c r="ES744" s="1368"/>
      <c r="ET744" s="1368">
        <f t="shared" si="36"/>
        <v>0</v>
      </c>
      <c r="EU744" s="1368"/>
      <c r="EV744" s="1368"/>
      <c r="EW744" s="1368"/>
      <c r="EX744" s="1368"/>
      <c r="EZ744" s="1351" t="str">
        <f t="shared" si="37"/>
        <v/>
      </c>
      <c r="FA744" s="1352"/>
      <c r="FB744" s="1352"/>
      <c r="FC744" s="1352"/>
      <c r="FD744" s="1353"/>
      <c r="FE744" s="1351" t="str">
        <f t="shared" si="38"/>
        <v/>
      </c>
      <c r="FF744" s="1352"/>
      <c r="FG744" s="1352"/>
      <c r="FH744" s="1352"/>
      <c r="FI744" s="1353"/>
      <c r="FJ744" s="1351" t="str">
        <f t="shared" si="39"/>
        <v/>
      </c>
      <c r="FK744" s="1352"/>
      <c r="FL744" s="1352"/>
      <c r="FM744" s="1352"/>
      <c r="FN744" s="1353"/>
      <c r="FO744" s="1351" t="str">
        <f t="shared" si="40"/>
        <v/>
      </c>
      <c r="FP744" s="1352"/>
      <c r="FQ744" s="1352"/>
      <c r="FR744" s="1352"/>
      <c r="FS744" s="1353"/>
      <c r="FT744" s="1351" t="str">
        <f t="shared" si="41"/>
        <v/>
      </c>
      <c r="FU744" s="1352"/>
      <c r="FV744" s="1352"/>
      <c r="FW744" s="1352"/>
      <c r="FX744" s="1353"/>
      <c r="FY744" s="1351" t="str">
        <f t="shared" si="42"/>
        <v/>
      </c>
      <c r="FZ744" s="1352"/>
      <c r="GA744" s="1352"/>
      <c r="GB744" s="1352"/>
      <c r="GC744" s="1353"/>
    </row>
    <row r="745" spans="1:185" ht="12.95" customHeight="1">
      <c r="B745" s="1355"/>
      <c r="C745" s="1356"/>
      <c r="D745" s="1356"/>
      <c r="E745" s="1356"/>
      <c r="F745" s="1357"/>
      <c r="G745" s="1364"/>
      <c r="H745" s="1365"/>
      <c r="I745" s="1365"/>
      <c r="J745" s="1366"/>
      <c r="K745" s="1611"/>
      <c r="L745" s="1612"/>
      <c r="M745" s="1612"/>
      <c r="N745" s="1613"/>
      <c r="O745" s="1470"/>
      <c r="P745" s="1471"/>
      <c r="Q745" s="1471"/>
      <c r="R745" s="1471"/>
      <c r="S745" s="1472"/>
      <c r="T745" s="1470"/>
      <c r="U745" s="1471"/>
      <c r="V745" s="1471"/>
      <c r="W745" s="1472"/>
      <c r="X745" s="1358">
        <f t="shared" si="46"/>
        <v>0</v>
      </c>
      <c r="Y745" s="1359"/>
      <c r="Z745" s="1359"/>
      <c r="AA745" s="1359"/>
      <c r="AB745" s="1360"/>
      <c r="AC745" s="1620"/>
      <c r="AD745" s="1621"/>
      <c r="AE745" s="1621"/>
      <c r="AF745" s="1621"/>
      <c r="AG745" s="1622"/>
      <c r="AH745" s="1361" t="str">
        <f t="shared" si="43"/>
        <v/>
      </c>
      <c r="AI745" s="1362"/>
      <c r="AJ745" s="1363"/>
      <c r="AK745" s="1355" t="s">
        <v>592</v>
      </c>
      <c r="AL745" s="1356"/>
      <c r="AM745" s="1356"/>
      <c r="AN745" s="1356"/>
      <c r="AO745" s="1357"/>
      <c r="AP745" s="3"/>
      <c r="AQ745" s="3"/>
      <c r="AR745" s="3"/>
      <c r="AS745" s="3"/>
      <c r="AY745" s="1085"/>
      <c r="AZ745" s="118" t="str">
        <f t="shared" si="16"/>
        <v>N/A</v>
      </c>
      <c r="BA745" s="3"/>
      <c r="BB745" s="3"/>
      <c r="BC745" s="3"/>
      <c r="BD745" s="3"/>
      <c r="BE745" s="3"/>
      <c r="BF745" s="294">
        <f t="shared" si="17"/>
        <v>0</v>
      </c>
      <c r="BG745" s="297">
        <f t="shared" si="18"/>
        <v>0</v>
      </c>
      <c r="BH745" s="298" t="str">
        <f t="shared" si="19"/>
        <v/>
      </c>
      <c r="BI745" s="3"/>
      <c r="BJ745" s="3"/>
      <c r="BK745" s="3"/>
      <c r="BL745" s="3"/>
      <c r="BM745" s="3"/>
      <c r="BN745" s="3"/>
      <c r="BS745" s="294">
        <f t="shared" si="20"/>
        <v>0</v>
      </c>
      <c r="BT745" s="297">
        <f t="shared" si="21"/>
        <v>0</v>
      </c>
      <c r="BU745" s="298" t="str">
        <f t="shared" si="22"/>
        <v/>
      </c>
      <c r="BV745" s="3"/>
      <c r="BW745" s="3"/>
      <c r="BX745" s="3"/>
      <c r="BY745" s="3"/>
      <c r="BZ745" s="3"/>
      <c r="CA745" s="3"/>
      <c r="CB745" s="3"/>
      <c r="CC745" s="3"/>
      <c r="CE745" s="3"/>
      <c r="CF745" s="3"/>
      <c r="CG745" s="1351">
        <f t="shared" si="44"/>
        <v>0</v>
      </c>
      <c r="CH745" s="1353"/>
      <c r="CI745" s="1335">
        <f t="shared" si="45"/>
        <v>0</v>
      </c>
      <c r="CJ745" s="1337"/>
      <c r="CK745" s="1351">
        <f t="shared" si="23"/>
        <v>0</v>
      </c>
      <c r="CL745" s="1353"/>
      <c r="CM745" s="1335">
        <f t="shared" si="24"/>
        <v>0</v>
      </c>
      <c r="CN745" s="1337"/>
      <c r="CO745" s="3"/>
      <c r="CP745" s="1332">
        <f t="shared" si="25"/>
        <v>0</v>
      </c>
      <c r="CQ745" s="1333"/>
      <c r="CR745" s="1333"/>
      <c r="CS745" s="1333"/>
      <c r="CT745" s="1334"/>
      <c r="CU745" s="1354">
        <f t="shared" si="26"/>
        <v>0</v>
      </c>
      <c r="CV745" s="1354"/>
      <c r="CW745" s="1354"/>
      <c r="CX745" s="1354"/>
      <c r="CY745" s="1354"/>
      <c r="CZ745" s="1354">
        <f t="shared" si="27"/>
        <v>0</v>
      </c>
      <c r="DA745" s="1354"/>
      <c r="DB745" s="1354"/>
      <c r="DC745" s="1354"/>
      <c r="DD745" s="1354"/>
      <c r="DE745" s="1354">
        <f t="shared" si="28"/>
        <v>0</v>
      </c>
      <c r="DF745" s="1354"/>
      <c r="DG745" s="1354"/>
      <c r="DH745" s="1354"/>
      <c r="DI745" s="1354"/>
      <c r="DJ745" s="1354">
        <f t="shared" si="29"/>
        <v>0</v>
      </c>
      <c r="DK745" s="1354"/>
      <c r="DL745" s="1354"/>
      <c r="DM745" s="1354"/>
      <c r="DN745" s="1354"/>
      <c r="DO745" s="1354">
        <f t="shared" si="30"/>
        <v>0</v>
      </c>
      <c r="DP745" s="1354"/>
      <c r="DQ745" s="1354"/>
      <c r="DR745" s="1354"/>
      <c r="DS745" s="1354"/>
      <c r="DT745" s="6"/>
      <c r="DU745" s="1368">
        <f t="shared" si="31"/>
        <v>0</v>
      </c>
      <c r="DV745" s="1368"/>
      <c r="DW745" s="1368"/>
      <c r="DX745" s="1368"/>
      <c r="DY745" s="1368"/>
      <c r="DZ745" s="1368">
        <f t="shared" si="32"/>
        <v>0</v>
      </c>
      <c r="EA745" s="1368"/>
      <c r="EB745" s="1368"/>
      <c r="EC745" s="1368"/>
      <c r="ED745" s="1368"/>
      <c r="EE745" s="1368">
        <f t="shared" si="33"/>
        <v>0</v>
      </c>
      <c r="EF745" s="1368"/>
      <c r="EG745" s="1368"/>
      <c r="EH745" s="1368"/>
      <c r="EI745" s="1368"/>
      <c r="EJ745" s="1368">
        <f t="shared" si="34"/>
        <v>0</v>
      </c>
      <c r="EK745" s="1368"/>
      <c r="EL745" s="1368"/>
      <c r="EM745" s="1368"/>
      <c r="EN745" s="1368"/>
      <c r="EO745" s="1368">
        <f t="shared" si="35"/>
        <v>0</v>
      </c>
      <c r="EP745" s="1368"/>
      <c r="EQ745" s="1368"/>
      <c r="ER745" s="1368"/>
      <c r="ES745" s="1368"/>
      <c r="ET745" s="1368">
        <f t="shared" si="36"/>
        <v>0</v>
      </c>
      <c r="EU745" s="1368"/>
      <c r="EV745" s="1368"/>
      <c r="EW745" s="1368"/>
      <c r="EX745" s="1368"/>
      <c r="EZ745" s="1351" t="str">
        <f t="shared" si="37"/>
        <v/>
      </c>
      <c r="FA745" s="1352"/>
      <c r="FB745" s="1352"/>
      <c r="FC745" s="1352"/>
      <c r="FD745" s="1353"/>
      <c r="FE745" s="1351" t="str">
        <f t="shared" si="38"/>
        <v/>
      </c>
      <c r="FF745" s="1352"/>
      <c r="FG745" s="1352"/>
      <c r="FH745" s="1352"/>
      <c r="FI745" s="1353"/>
      <c r="FJ745" s="1351" t="str">
        <f t="shared" si="39"/>
        <v/>
      </c>
      <c r="FK745" s="1352"/>
      <c r="FL745" s="1352"/>
      <c r="FM745" s="1352"/>
      <c r="FN745" s="1353"/>
      <c r="FO745" s="1351" t="str">
        <f t="shared" si="40"/>
        <v/>
      </c>
      <c r="FP745" s="1352"/>
      <c r="FQ745" s="1352"/>
      <c r="FR745" s="1352"/>
      <c r="FS745" s="1353"/>
      <c r="FT745" s="1351" t="str">
        <f t="shared" si="41"/>
        <v/>
      </c>
      <c r="FU745" s="1352"/>
      <c r="FV745" s="1352"/>
      <c r="FW745" s="1352"/>
      <c r="FX745" s="1353"/>
      <c r="FY745" s="1351" t="str">
        <f t="shared" si="42"/>
        <v/>
      </c>
      <c r="FZ745" s="1352"/>
      <c r="GA745" s="1352"/>
      <c r="GB745" s="1352"/>
      <c r="GC745" s="1353"/>
    </row>
    <row r="746" spans="1:185" ht="12.95" customHeight="1">
      <c r="B746" s="1355"/>
      <c r="C746" s="1356"/>
      <c r="D746" s="1356"/>
      <c r="E746" s="1356"/>
      <c r="F746" s="1357"/>
      <c r="G746" s="1364"/>
      <c r="H746" s="1365"/>
      <c r="I746" s="1365"/>
      <c r="J746" s="1366"/>
      <c r="K746" s="1611"/>
      <c r="L746" s="1612"/>
      <c r="M746" s="1612"/>
      <c r="N746" s="1613"/>
      <c r="O746" s="1470"/>
      <c r="P746" s="1471"/>
      <c r="Q746" s="1471"/>
      <c r="R746" s="1471"/>
      <c r="S746" s="1472"/>
      <c r="T746" s="1470"/>
      <c r="U746" s="1471"/>
      <c r="V746" s="1471"/>
      <c r="W746" s="1472"/>
      <c r="X746" s="1358">
        <f t="shared" si="46"/>
        <v>0</v>
      </c>
      <c r="Y746" s="1359"/>
      <c r="Z746" s="1359"/>
      <c r="AA746" s="1359"/>
      <c r="AB746" s="1360"/>
      <c r="AC746" s="1620"/>
      <c r="AD746" s="1621"/>
      <c r="AE746" s="1621"/>
      <c r="AF746" s="1621"/>
      <c r="AG746" s="1622"/>
      <c r="AH746" s="1361" t="str">
        <f t="shared" si="43"/>
        <v/>
      </c>
      <c r="AI746" s="1362"/>
      <c r="AJ746" s="1363"/>
      <c r="AK746" s="1355" t="s">
        <v>592</v>
      </c>
      <c r="AL746" s="1356"/>
      <c r="AM746" s="1356"/>
      <c r="AN746" s="1356"/>
      <c r="AO746" s="1357"/>
      <c r="AP746" s="3"/>
      <c r="AQ746" s="3"/>
      <c r="AR746" s="3"/>
      <c r="AS746" s="3"/>
      <c r="AY746" s="1085"/>
      <c r="AZ746" s="118" t="str">
        <f t="shared" si="16"/>
        <v>N/A</v>
      </c>
      <c r="BA746" s="34"/>
      <c r="BB746" s="34"/>
      <c r="BC746" s="34"/>
      <c r="BD746" s="34"/>
      <c r="BE746" s="34"/>
      <c r="BF746" s="294">
        <f t="shared" si="17"/>
        <v>0</v>
      </c>
      <c r="BG746" s="297">
        <f t="shared" si="18"/>
        <v>0</v>
      </c>
      <c r="BH746" s="298" t="str">
        <f t="shared" si="19"/>
        <v/>
      </c>
      <c r="BI746" s="34"/>
      <c r="BJ746" s="34"/>
      <c r="BK746" s="34"/>
      <c r="BL746" s="34"/>
      <c r="BM746" s="34"/>
      <c r="BN746" s="34"/>
      <c r="BS746" s="294">
        <f t="shared" si="20"/>
        <v>0</v>
      </c>
      <c r="BT746" s="297">
        <f t="shared" si="21"/>
        <v>0</v>
      </c>
      <c r="BU746" s="298" t="str">
        <f t="shared" si="22"/>
        <v/>
      </c>
      <c r="BV746" s="3"/>
      <c r="BW746" s="3"/>
      <c r="BX746" s="3"/>
      <c r="BY746" s="3"/>
      <c r="BZ746" s="3"/>
      <c r="CA746" s="3"/>
      <c r="CB746" s="3"/>
      <c r="CC746" s="3"/>
      <c r="CE746" s="3"/>
      <c r="CF746" s="3"/>
      <c r="CG746" s="1351">
        <f t="shared" si="44"/>
        <v>0</v>
      </c>
      <c r="CH746" s="1353"/>
      <c r="CI746" s="1335">
        <f t="shared" si="45"/>
        <v>0</v>
      </c>
      <c r="CJ746" s="1337"/>
      <c r="CK746" s="1351">
        <f t="shared" si="23"/>
        <v>0</v>
      </c>
      <c r="CL746" s="1353"/>
      <c r="CM746" s="1335">
        <f t="shared" si="24"/>
        <v>0</v>
      </c>
      <c r="CN746" s="1337"/>
      <c r="CO746" s="3"/>
      <c r="CP746" s="1332">
        <f t="shared" si="25"/>
        <v>0</v>
      </c>
      <c r="CQ746" s="1333"/>
      <c r="CR746" s="1333"/>
      <c r="CS746" s="1333"/>
      <c r="CT746" s="1334"/>
      <c r="CU746" s="1354">
        <f t="shared" si="26"/>
        <v>0</v>
      </c>
      <c r="CV746" s="1354"/>
      <c r="CW746" s="1354"/>
      <c r="CX746" s="1354"/>
      <c r="CY746" s="1354"/>
      <c r="CZ746" s="1354">
        <f t="shared" si="27"/>
        <v>0</v>
      </c>
      <c r="DA746" s="1354"/>
      <c r="DB746" s="1354"/>
      <c r="DC746" s="1354"/>
      <c r="DD746" s="1354"/>
      <c r="DE746" s="1354">
        <f t="shared" si="28"/>
        <v>0</v>
      </c>
      <c r="DF746" s="1354"/>
      <c r="DG746" s="1354"/>
      <c r="DH746" s="1354"/>
      <c r="DI746" s="1354"/>
      <c r="DJ746" s="1354">
        <f t="shared" si="29"/>
        <v>0</v>
      </c>
      <c r="DK746" s="1354"/>
      <c r="DL746" s="1354"/>
      <c r="DM746" s="1354"/>
      <c r="DN746" s="1354"/>
      <c r="DO746" s="1354">
        <f t="shared" si="30"/>
        <v>0</v>
      </c>
      <c r="DP746" s="1354"/>
      <c r="DQ746" s="1354"/>
      <c r="DR746" s="1354"/>
      <c r="DS746" s="1354"/>
      <c r="DT746" s="6"/>
      <c r="DU746" s="1368">
        <f t="shared" si="31"/>
        <v>0</v>
      </c>
      <c r="DV746" s="1368"/>
      <c r="DW746" s="1368"/>
      <c r="DX746" s="1368"/>
      <c r="DY746" s="1368"/>
      <c r="DZ746" s="1368">
        <f t="shared" si="32"/>
        <v>0</v>
      </c>
      <c r="EA746" s="1368"/>
      <c r="EB746" s="1368"/>
      <c r="EC746" s="1368"/>
      <c r="ED746" s="1368"/>
      <c r="EE746" s="1368">
        <f t="shared" si="33"/>
        <v>0</v>
      </c>
      <c r="EF746" s="1368"/>
      <c r="EG746" s="1368"/>
      <c r="EH746" s="1368"/>
      <c r="EI746" s="1368"/>
      <c r="EJ746" s="1368">
        <f t="shared" si="34"/>
        <v>0</v>
      </c>
      <c r="EK746" s="1368"/>
      <c r="EL746" s="1368"/>
      <c r="EM746" s="1368"/>
      <c r="EN746" s="1368"/>
      <c r="EO746" s="1368">
        <f t="shared" si="35"/>
        <v>0</v>
      </c>
      <c r="EP746" s="1368"/>
      <c r="EQ746" s="1368"/>
      <c r="ER746" s="1368"/>
      <c r="ES746" s="1368"/>
      <c r="ET746" s="1368">
        <f t="shared" si="36"/>
        <v>0</v>
      </c>
      <c r="EU746" s="1368"/>
      <c r="EV746" s="1368"/>
      <c r="EW746" s="1368"/>
      <c r="EX746" s="1368"/>
      <c r="EZ746" s="1351" t="str">
        <f t="shared" si="37"/>
        <v/>
      </c>
      <c r="FA746" s="1352"/>
      <c r="FB746" s="1352"/>
      <c r="FC746" s="1352"/>
      <c r="FD746" s="1353"/>
      <c r="FE746" s="1351" t="str">
        <f t="shared" si="38"/>
        <v/>
      </c>
      <c r="FF746" s="1352"/>
      <c r="FG746" s="1352"/>
      <c r="FH746" s="1352"/>
      <c r="FI746" s="1353"/>
      <c r="FJ746" s="1351" t="str">
        <f t="shared" si="39"/>
        <v/>
      </c>
      <c r="FK746" s="1352"/>
      <c r="FL746" s="1352"/>
      <c r="FM746" s="1352"/>
      <c r="FN746" s="1353"/>
      <c r="FO746" s="1351" t="str">
        <f t="shared" si="40"/>
        <v/>
      </c>
      <c r="FP746" s="1352"/>
      <c r="FQ746" s="1352"/>
      <c r="FR746" s="1352"/>
      <c r="FS746" s="1353"/>
      <c r="FT746" s="1351" t="str">
        <f t="shared" si="41"/>
        <v/>
      </c>
      <c r="FU746" s="1352"/>
      <c r="FV746" s="1352"/>
      <c r="FW746" s="1352"/>
      <c r="FX746" s="1353"/>
      <c r="FY746" s="1351" t="str">
        <f t="shared" si="42"/>
        <v/>
      </c>
      <c r="FZ746" s="1352"/>
      <c r="GA746" s="1352"/>
      <c r="GB746" s="1352"/>
      <c r="GC746" s="1353"/>
    </row>
    <row r="747" spans="1:185" ht="12.95" customHeight="1">
      <c r="B747" s="1355"/>
      <c r="C747" s="1356"/>
      <c r="D747" s="1356"/>
      <c r="E747" s="1356"/>
      <c r="F747" s="1357"/>
      <c r="G747" s="1364"/>
      <c r="H747" s="1365"/>
      <c r="I747" s="1365"/>
      <c r="J747" s="1366"/>
      <c r="K747" s="1611"/>
      <c r="L747" s="1612"/>
      <c r="M747" s="1612"/>
      <c r="N747" s="1613"/>
      <c r="O747" s="1470"/>
      <c r="P747" s="1471"/>
      <c r="Q747" s="1471"/>
      <c r="R747" s="1471"/>
      <c r="S747" s="1472"/>
      <c r="T747" s="1470"/>
      <c r="U747" s="1471"/>
      <c r="V747" s="1471"/>
      <c r="W747" s="1472"/>
      <c r="X747" s="1358">
        <f t="shared" si="46"/>
        <v>0</v>
      </c>
      <c r="Y747" s="1359"/>
      <c r="Z747" s="1359"/>
      <c r="AA747" s="1359"/>
      <c r="AB747" s="1360"/>
      <c r="AC747" s="1620"/>
      <c r="AD747" s="1621"/>
      <c r="AE747" s="1621"/>
      <c r="AF747" s="1621"/>
      <c r="AG747" s="1622"/>
      <c r="AH747" s="1361" t="str">
        <f t="shared" si="43"/>
        <v/>
      </c>
      <c r="AI747" s="1362"/>
      <c r="AJ747" s="1363"/>
      <c r="AK747" s="1355" t="s">
        <v>592</v>
      </c>
      <c r="AL747" s="1356"/>
      <c r="AM747" s="1356"/>
      <c r="AN747" s="1356"/>
      <c r="AO747" s="1357"/>
      <c r="AP747" s="3"/>
      <c r="AQ747" s="3"/>
      <c r="AR747" s="3"/>
      <c r="AS747" s="3"/>
      <c r="AY747" s="1085"/>
      <c r="AZ747" s="118" t="str">
        <f t="shared" si="16"/>
        <v>N/A</v>
      </c>
      <c r="BA747" s="34"/>
      <c r="BB747" s="34"/>
      <c r="BC747" s="34"/>
      <c r="BD747" s="34"/>
      <c r="BE747" s="34"/>
      <c r="BF747" s="294">
        <f t="shared" si="17"/>
        <v>0</v>
      </c>
      <c r="BG747" s="297">
        <f t="shared" si="18"/>
        <v>0</v>
      </c>
      <c r="BH747" s="298" t="str">
        <f t="shared" si="19"/>
        <v/>
      </c>
      <c r="BI747" s="34"/>
      <c r="BJ747" s="34"/>
      <c r="BK747" s="34"/>
      <c r="BL747" s="34"/>
      <c r="BM747" s="34"/>
      <c r="BN747" s="34"/>
      <c r="BS747" s="294">
        <f t="shared" si="20"/>
        <v>0</v>
      </c>
      <c r="BT747" s="297">
        <f t="shared" si="21"/>
        <v>0</v>
      </c>
      <c r="BU747" s="298" t="str">
        <f t="shared" si="22"/>
        <v/>
      </c>
      <c r="BV747" s="3"/>
      <c r="BW747" s="3"/>
      <c r="BX747" s="3"/>
      <c r="BY747" s="3"/>
      <c r="BZ747" s="3"/>
      <c r="CA747" s="3"/>
      <c r="CB747" s="3"/>
      <c r="CC747" s="3"/>
      <c r="CE747" s="3"/>
      <c r="CF747" s="3"/>
      <c r="CG747" s="1351">
        <f t="shared" si="44"/>
        <v>0</v>
      </c>
      <c r="CH747" s="1353"/>
      <c r="CI747" s="1335">
        <f t="shared" si="45"/>
        <v>0</v>
      </c>
      <c r="CJ747" s="1337"/>
      <c r="CK747" s="1351">
        <f t="shared" si="23"/>
        <v>0</v>
      </c>
      <c r="CL747" s="1353"/>
      <c r="CM747" s="1335">
        <f t="shared" si="24"/>
        <v>0</v>
      </c>
      <c r="CN747" s="1337"/>
      <c r="CO747" s="3"/>
      <c r="CP747" s="1332">
        <f t="shared" si="25"/>
        <v>0</v>
      </c>
      <c r="CQ747" s="1333"/>
      <c r="CR747" s="1333"/>
      <c r="CS747" s="1333"/>
      <c r="CT747" s="1334"/>
      <c r="CU747" s="1354">
        <f t="shared" si="26"/>
        <v>0</v>
      </c>
      <c r="CV747" s="1354"/>
      <c r="CW747" s="1354"/>
      <c r="CX747" s="1354"/>
      <c r="CY747" s="1354"/>
      <c r="CZ747" s="1354">
        <f t="shared" si="27"/>
        <v>0</v>
      </c>
      <c r="DA747" s="1354"/>
      <c r="DB747" s="1354"/>
      <c r="DC747" s="1354"/>
      <c r="DD747" s="1354"/>
      <c r="DE747" s="1354">
        <f t="shared" si="28"/>
        <v>0</v>
      </c>
      <c r="DF747" s="1354"/>
      <c r="DG747" s="1354"/>
      <c r="DH747" s="1354"/>
      <c r="DI747" s="1354"/>
      <c r="DJ747" s="1354">
        <f t="shared" si="29"/>
        <v>0</v>
      </c>
      <c r="DK747" s="1354"/>
      <c r="DL747" s="1354"/>
      <c r="DM747" s="1354"/>
      <c r="DN747" s="1354"/>
      <c r="DO747" s="1354">
        <f t="shared" si="30"/>
        <v>0</v>
      </c>
      <c r="DP747" s="1354"/>
      <c r="DQ747" s="1354"/>
      <c r="DR747" s="1354"/>
      <c r="DS747" s="1354"/>
      <c r="DT747" s="6"/>
      <c r="DU747" s="1368">
        <f t="shared" si="31"/>
        <v>0</v>
      </c>
      <c r="DV747" s="1368"/>
      <c r="DW747" s="1368"/>
      <c r="DX747" s="1368"/>
      <c r="DY747" s="1368"/>
      <c r="DZ747" s="1368">
        <f t="shared" si="32"/>
        <v>0</v>
      </c>
      <c r="EA747" s="1368"/>
      <c r="EB747" s="1368"/>
      <c r="EC747" s="1368"/>
      <c r="ED747" s="1368"/>
      <c r="EE747" s="1368">
        <f t="shared" si="33"/>
        <v>0</v>
      </c>
      <c r="EF747" s="1368"/>
      <c r="EG747" s="1368"/>
      <c r="EH747" s="1368"/>
      <c r="EI747" s="1368"/>
      <c r="EJ747" s="1368">
        <f t="shared" si="34"/>
        <v>0</v>
      </c>
      <c r="EK747" s="1368"/>
      <c r="EL747" s="1368"/>
      <c r="EM747" s="1368"/>
      <c r="EN747" s="1368"/>
      <c r="EO747" s="1368">
        <f t="shared" si="35"/>
        <v>0</v>
      </c>
      <c r="EP747" s="1368"/>
      <c r="EQ747" s="1368"/>
      <c r="ER747" s="1368"/>
      <c r="ES747" s="1368"/>
      <c r="ET747" s="1368">
        <f t="shared" si="36"/>
        <v>0</v>
      </c>
      <c r="EU747" s="1368"/>
      <c r="EV747" s="1368"/>
      <c r="EW747" s="1368"/>
      <c r="EX747" s="1368"/>
      <c r="EZ747" s="1351" t="str">
        <f t="shared" si="37"/>
        <v/>
      </c>
      <c r="FA747" s="1352"/>
      <c r="FB747" s="1352"/>
      <c r="FC747" s="1352"/>
      <c r="FD747" s="1353"/>
      <c r="FE747" s="1351" t="str">
        <f t="shared" si="38"/>
        <v/>
      </c>
      <c r="FF747" s="1352"/>
      <c r="FG747" s="1352"/>
      <c r="FH747" s="1352"/>
      <c r="FI747" s="1353"/>
      <c r="FJ747" s="1351" t="str">
        <f t="shared" si="39"/>
        <v/>
      </c>
      <c r="FK747" s="1352"/>
      <c r="FL747" s="1352"/>
      <c r="FM747" s="1352"/>
      <c r="FN747" s="1353"/>
      <c r="FO747" s="1351" t="str">
        <f t="shared" si="40"/>
        <v/>
      </c>
      <c r="FP747" s="1352"/>
      <c r="FQ747" s="1352"/>
      <c r="FR747" s="1352"/>
      <c r="FS747" s="1353"/>
      <c r="FT747" s="1351" t="str">
        <f t="shared" si="41"/>
        <v/>
      </c>
      <c r="FU747" s="1352"/>
      <c r="FV747" s="1352"/>
      <c r="FW747" s="1352"/>
      <c r="FX747" s="1353"/>
      <c r="FY747" s="1351" t="str">
        <f t="shared" si="42"/>
        <v/>
      </c>
      <c r="FZ747" s="1352"/>
      <c r="GA747" s="1352"/>
      <c r="GB747" s="1352"/>
      <c r="GC747" s="1353"/>
    </row>
    <row r="748" spans="1:185" s="3" customFormat="1" ht="12.95" customHeight="1">
      <c r="A748"/>
      <c r="B748" s="1355"/>
      <c r="C748" s="1356"/>
      <c r="D748" s="1356"/>
      <c r="E748" s="1356"/>
      <c r="F748" s="1357"/>
      <c r="G748" s="1364"/>
      <c r="H748" s="1365"/>
      <c r="I748" s="1365"/>
      <c r="J748" s="1366"/>
      <c r="K748" s="1611"/>
      <c r="L748" s="1612"/>
      <c r="M748" s="1612"/>
      <c r="N748" s="1613"/>
      <c r="O748" s="1470"/>
      <c r="P748" s="1471"/>
      <c r="Q748" s="1471"/>
      <c r="R748" s="1471"/>
      <c r="S748" s="1472"/>
      <c r="T748" s="1470"/>
      <c r="U748" s="1471"/>
      <c r="V748" s="1471"/>
      <c r="W748" s="1472"/>
      <c r="X748" s="1358">
        <f t="shared" si="46"/>
        <v>0</v>
      </c>
      <c r="Y748" s="1359"/>
      <c r="Z748" s="1359"/>
      <c r="AA748" s="1359"/>
      <c r="AB748" s="1360"/>
      <c r="AC748" s="1620"/>
      <c r="AD748" s="1621"/>
      <c r="AE748" s="1621"/>
      <c r="AF748" s="1621"/>
      <c r="AG748" s="1622"/>
      <c r="AH748" s="1361" t="str">
        <f t="shared" si="43"/>
        <v/>
      </c>
      <c r="AI748" s="1362"/>
      <c r="AJ748" s="1363"/>
      <c r="AK748" s="1355" t="s">
        <v>592</v>
      </c>
      <c r="AL748" s="1356"/>
      <c r="AM748" s="1356"/>
      <c r="AN748" s="1356"/>
      <c r="AO748" s="1357"/>
      <c r="AT748"/>
      <c r="AU748"/>
      <c r="AV748"/>
      <c r="AW748"/>
      <c r="AX748"/>
      <c r="AY748" s="1085"/>
      <c r="AZ748" s="118" t="str">
        <f t="shared" si="16"/>
        <v>N/A</v>
      </c>
      <c r="BA748" s="34"/>
      <c r="BB748" s="34"/>
      <c r="BC748" s="34"/>
      <c r="BD748" s="34"/>
      <c r="BE748" s="34"/>
      <c r="BF748" s="294">
        <f t="shared" si="17"/>
        <v>0</v>
      </c>
      <c r="BG748" s="297">
        <f t="shared" si="18"/>
        <v>0</v>
      </c>
      <c r="BH748" s="298" t="str">
        <f t="shared" si="19"/>
        <v/>
      </c>
      <c r="BJ748" s="34"/>
      <c r="BK748" s="34"/>
      <c r="BL748" s="34"/>
      <c r="BM748" s="34"/>
      <c r="BN748" s="34"/>
      <c r="BO748"/>
      <c r="BP748"/>
      <c r="BQ748"/>
      <c r="BR748"/>
      <c r="BS748" s="294">
        <f t="shared" si="20"/>
        <v>0</v>
      </c>
      <c r="BT748" s="297">
        <f t="shared" si="21"/>
        <v>0</v>
      </c>
      <c r="BU748" s="298" t="str">
        <f t="shared" si="22"/>
        <v/>
      </c>
      <c r="CD748"/>
      <c r="CG748" s="1351">
        <f t="shared" si="44"/>
        <v>0</v>
      </c>
      <c r="CH748" s="1353"/>
      <c r="CI748" s="1335">
        <f t="shared" si="45"/>
        <v>0</v>
      </c>
      <c r="CJ748" s="1337"/>
      <c r="CK748" s="1351">
        <f t="shared" si="23"/>
        <v>0</v>
      </c>
      <c r="CL748" s="1353"/>
      <c r="CM748" s="1335">
        <f t="shared" si="24"/>
        <v>0</v>
      </c>
      <c r="CN748" s="1337"/>
      <c r="CP748" s="1332">
        <f t="shared" si="25"/>
        <v>0</v>
      </c>
      <c r="CQ748" s="1333"/>
      <c r="CR748" s="1333"/>
      <c r="CS748" s="1333"/>
      <c r="CT748" s="1334"/>
      <c r="CU748" s="1354">
        <f t="shared" si="26"/>
        <v>0</v>
      </c>
      <c r="CV748" s="1354"/>
      <c r="CW748" s="1354"/>
      <c r="CX748" s="1354"/>
      <c r="CY748" s="1354"/>
      <c r="CZ748" s="1354">
        <f t="shared" si="27"/>
        <v>0</v>
      </c>
      <c r="DA748" s="1354"/>
      <c r="DB748" s="1354"/>
      <c r="DC748" s="1354"/>
      <c r="DD748" s="1354"/>
      <c r="DE748" s="1354">
        <f t="shared" si="28"/>
        <v>0</v>
      </c>
      <c r="DF748" s="1354"/>
      <c r="DG748" s="1354"/>
      <c r="DH748" s="1354"/>
      <c r="DI748" s="1354"/>
      <c r="DJ748" s="1354">
        <f t="shared" si="29"/>
        <v>0</v>
      </c>
      <c r="DK748" s="1354"/>
      <c r="DL748" s="1354"/>
      <c r="DM748" s="1354"/>
      <c r="DN748" s="1354"/>
      <c r="DO748" s="1354">
        <f t="shared" si="30"/>
        <v>0</v>
      </c>
      <c r="DP748" s="1354"/>
      <c r="DQ748" s="1354"/>
      <c r="DR748" s="1354"/>
      <c r="DS748" s="1354"/>
      <c r="DT748" s="6"/>
      <c r="DU748" s="1368">
        <f t="shared" si="31"/>
        <v>0</v>
      </c>
      <c r="DV748" s="1368"/>
      <c r="DW748" s="1368"/>
      <c r="DX748" s="1368"/>
      <c r="DY748" s="1368"/>
      <c r="DZ748" s="1368">
        <f t="shared" si="32"/>
        <v>0</v>
      </c>
      <c r="EA748" s="1368"/>
      <c r="EB748" s="1368"/>
      <c r="EC748" s="1368"/>
      <c r="ED748" s="1368"/>
      <c r="EE748" s="1368">
        <f t="shared" si="33"/>
        <v>0</v>
      </c>
      <c r="EF748" s="1368"/>
      <c r="EG748" s="1368"/>
      <c r="EH748" s="1368"/>
      <c r="EI748" s="1368"/>
      <c r="EJ748" s="1368">
        <f t="shared" si="34"/>
        <v>0</v>
      </c>
      <c r="EK748" s="1368"/>
      <c r="EL748" s="1368"/>
      <c r="EM748" s="1368"/>
      <c r="EN748" s="1368"/>
      <c r="EO748" s="1368">
        <f t="shared" si="35"/>
        <v>0</v>
      </c>
      <c r="EP748" s="1368"/>
      <c r="EQ748" s="1368"/>
      <c r="ER748" s="1368"/>
      <c r="ES748" s="1368"/>
      <c r="ET748" s="1368">
        <f t="shared" si="36"/>
        <v>0</v>
      </c>
      <c r="EU748" s="1368"/>
      <c r="EV748" s="1368"/>
      <c r="EW748" s="1368"/>
      <c r="EX748" s="1368"/>
      <c r="EY748"/>
      <c r="EZ748" s="1351" t="str">
        <f t="shared" si="37"/>
        <v/>
      </c>
      <c r="FA748" s="1352"/>
      <c r="FB748" s="1352"/>
      <c r="FC748" s="1352"/>
      <c r="FD748" s="1353"/>
      <c r="FE748" s="1351" t="str">
        <f t="shared" si="38"/>
        <v/>
      </c>
      <c r="FF748" s="1352"/>
      <c r="FG748" s="1352"/>
      <c r="FH748" s="1352"/>
      <c r="FI748" s="1353"/>
      <c r="FJ748" s="1351" t="str">
        <f t="shared" si="39"/>
        <v/>
      </c>
      <c r="FK748" s="1352"/>
      <c r="FL748" s="1352"/>
      <c r="FM748" s="1352"/>
      <c r="FN748" s="1353"/>
      <c r="FO748" s="1351" t="str">
        <f t="shared" si="40"/>
        <v/>
      </c>
      <c r="FP748" s="1352"/>
      <c r="FQ748" s="1352"/>
      <c r="FR748" s="1352"/>
      <c r="FS748" s="1353"/>
      <c r="FT748" s="1351" t="str">
        <f t="shared" si="41"/>
        <v/>
      </c>
      <c r="FU748" s="1352"/>
      <c r="FV748" s="1352"/>
      <c r="FW748" s="1352"/>
      <c r="FX748" s="1353"/>
      <c r="FY748" s="1351" t="str">
        <f t="shared" si="42"/>
        <v/>
      </c>
      <c r="FZ748" s="1352"/>
      <c r="GA748" s="1352"/>
      <c r="GB748" s="1352"/>
      <c r="GC748" s="1353"/>
    </row>
    <row r="749" spans="1:185" s="3" customFormat="1" ht="12.95" customHeight="1">
      <c r="A749"/>
      <c r="B749" s="1355"/>
      <c r="C749" s="1356"/>
      <c r="D749" s="1356"/>
      <c r="E749" s="1356"/>
      <c r="F749" s="1357"/>
      <c r="G749" s="1364"/>
      <c r="H749" s="1365"/>
      <c r="I749" s="1365"/>
      <c r="J749" s="1366"/>
      <c r="K749" s="1611"/>
      <c r="L749" s="1612"/>
      <c r="M749" s="1612"/>
      <c r="N749" s="1613"/>
      <c r="O749" s="1470"/>
      <c r="P749" s="1471"/>
      <c r="Q749" s="1471"/>
      <c r="R749" s="1471"/>
      <c r="S749" s="1472"/>
      <c r="T749" s="1470"/>
      <c r="U749" s="1471"/>
      <c r="V749" s="1471"/>
      <c r="W749" s="1472"/>
      <c r="X749" s="1358">
        <f t="shared" si="46"/>
        <v>0</v>
      </c>
      <c r="Y749" s="1359"/>
      <c r="Z749" s="1359"/>
      <c r="AA749" s="1359"/>
      <c r="AB749" s="1360"/>
      <c r="AC749" s="1620"/>
      <c r="AD749" s="1621"/>
      <c r="AE749" s="1621"/>
      <c r="AF749" s="1621"/>
      <c r="AG749" s="1622"/>
      <c r="AH749" s="1361" t="str">
        <f t="shared" si="43"/>
        <v/>
      </c>
      <c r="AI749" s="1362"/>
      <c r="AJ749" s="1363"/>
      <c r="AK749" s="1355" t="s">
        <v>592</v>
      </c>
      <c r="AL749" s="1356"/>
      <c r="AM749" s="1356"/>
      <c r="AN749" s="1356"/>
      <c r="AO749" s="1357"/>
      <c r="AT749"/>
      <c r="AU749"/>
      <c r="AV749"/>
      <c r="AW749"/>
      <c r="AX749"/>
      <c r="AY749" s="1085"/>
      <c r="AZ749" s="118" t="str">
        <f t="shared" si="16"/>
        <v>N/A</v>
      </c>
      <c r="BA749" s="34"/>
      <c r="BB749" s="34"/>
      <c r="BC749" s="34"/>
      <c r="BD749" s="34"/>
      <c r="BE749" s="34"/>
      <c r="BF749" s="294">
        <f t="shared" si="17"/>
        <v>0</v>
      </c>
      <c r="BG749" s="297">
        <f t="shared" si="18"/>
        <v>0</v>
      </c>
      <c r="BH749" s="298" t="str">
        <f t="shared" si="19"/>
        <v/>
      </c>
      <c r="BJ749" s="34"/>
      <c r="BK749" s="34"/>
      <c r="BL749" s="34"/>
      <c r="BM749" s="34"/>
      <c r="BN749" s="34"/>
      <c r="BO749"/>
      <c r="BP749"/>
      <c r="BQ749"/>
      <c r="BR749"/>
      <c r="BS749" s="294">
        <f t="shared" si="20"/>
        <v>0</v>
      </c>
      <c r="BT749" s="297">
        <f t="shared" si="21"/>
        <v>0</v>
      </c>
      <c r="BU749" s="298" t="str">
        <f t="shared" si="22"/>
        <v/>
      </c>
      <c r="CD749"/>
      <c r="CG749" s="1351">
        <f t="shared" si="44"/>
        <v>0</v>
      </c>
      <c r="CH749" s="1353"/>
      <c r="CI749" s="1335">
        <f t="shared" si="45"/>
        <v>0</v>
      </c>
      <c r="CJ749" s="1337"/>
      <c r="CK749" s="1351">
        <f t="shared" si="23"/>
        <v>0</v>
      </c>
      <c r="CL749" s="1353"/>
      <c r="CM749" s="1335">
        <f t="shared" si="24"/>
        <v>0</v>
      </c>
      <c r="CN749" s="1337"/>
      <c r="CP749" s="1332">
        <f t="shared" si="25"/>
        <v>0</v>
      </c>
      <c r="CQ749" s="1333"/>
      <c r="CR749" s="1333"/>
      <c r="CS749" s="1333"/>
      <c r="CT749" s="1334"/>
      <c r="CU749" s="1354">
        <f t="shared" si="26"/>
        <v>0</v>
      </c>
      <c r="CV749" s="1354"/>
      <c r="CW749" s="1354"/>
      <c r="CX749" s="1354"/>
      <c r="CY749" s="1354"/>
      <c r="CZ749" s="1354">
        <f t="shared" si="27"/>
        <v>0</v>
      </c>
      <c r="DA749" s="1354"/>
      <c r="DB749" s="1354"/>
      <c r="DC749" s="1354"/>
      <c r="DD749" s="1354"/>
      <c r="DE749" s="1354">
        <f t="shared" si="28"/>
        <v>0</v>
      </c>
      <c r="DF749" s="1354"/>
      <c r="DG749" s="1354"/>
      <c r="DH749" s="1354"/>
      <c r="DI749" s="1354"/>
      <c r="DJ749" s="1354">
        <f t="shared" si="29"/>
        <v>0</v>
      </c>
      <c r="DK749" s="1354"/>
      <c r="DL749" s="1354"/>
      <c r="DM749" s="1354"/>
      <c r="DN749" s="1354"/>
      <c r="DO749" s="1354">
        <f t="shared" si="30"/>
        <v>0</v>
      </c>
      <c r="DP749" s="1354"/>
      <c r="DQ749" s="1354"/>
      <c r="DR749" s="1354"/>
      <c r="DS749" s="1354"/>
      <c r="DT749" s="6"/>
      <c r="DU749" s="1368">
        <f t="shared" si="31"/>
        <v>0</v>
      </c>
      <c r="DV749" s="1368"/>
      <c r="DW749" s="1368"/>
      <c r="DX749" s="1368"/>
      <c r="DY749" s="1368"/>
      <c r="DZ749" s="1368">
        <f t="shared" si="32"/>
        <v>0</v>
      </c>
      <c r="EA749" s="1368"/>
      <c r="EB749" s="1368"/>
      <c r="EC749" s="1368"/>
      <c r="ED749" s="1368"/>
      <c r="EE749" s="1368">
        <f t="shared" si="33"/>
        <v>0</v>
      </c>
      <c r="EF749" s="1368"/>
      <c r="EG749" s="1368"/>
      <c r="EH749" s="1368"/>
      <c r="EI749" s="1368"/>
      <c r="EJ749" s="1368">
        <f t="shared" si="34"/>
        <v>0</v>
      </c>
      <c r="EK749" s="1368"/>
      <c r="EL749" s="1368"/>
      <c r="EM749" s="1368"/>
      <c r="EN749" s="1368"/>
      <c r="EO749" s="1368">
        <f t="shared" si="35"/>
        <v>0</v>
      </c>
      <c r="EP749" s="1368"/>
      <c r="EQ749" s="1368"/>
      <c r="ER749" s="1368"/>
      <c r="ES749" s="1368"/>
      <c r="ET749" s="1368">
        <f t="shared" si="36"/>
        <v>0</v>
      </c>
      <c r="EU749" s="1368"/>
      <c r="EV749" s="1368"/>
      <c r="EW749" s="1368"/>
      <c r="EX749" s="1368"/>
      <c r="EY749"/>
      <c r="EZ749" s="1351" t="str">
        <f t="shared" si="37"/>
        <v/>
      </c>
      <c r="FA749" s="1352"/>
      <c r="FB749" s="1352"/>
      <c r="FC749" s="1352"/>
      <c r="FD749" s="1353"/>
      <c r="FE749" s="1351" t="str">
        <f t="shared" si="38"/>
        <v/>
      </c>
      <c r="FF749" s="1352"/>
      <c r="FG749" s="1352"/>
      <c r="FH749" s="1352"/>
      <c r="FI749" s="1353"/>
      <c r="FJ749" s="1351" t="str">
        <f t="shared" si="39"/>
        <v/>
      </c>
      <c r="FK749" s="1352"/>
      <c r="FL749" s="1352"/>
      <c r="FM749" s="1352"/>
      <c r="FN749" s="1353"/>
      <c r="FO749" s="1351" t="str">
        <f t="shared" si="40"/>
        <v/>
      </c>
      <c r="FP749" s="1352"/>
      <c r="FQ749" s="1352"/>
      <c r="FR749" s="1352"/>
      <c r="FS749" s="1353"/>
      <c r="FT749" s="1351" t="str">
        <f t="shared" si="41"/>
        <v/>
      </c>
      <c r="FU749" s="1352"/>
      <c r="FV749" s="1352"/>
      <c r="FW749" s="1352"/>
      <c r="FX749" s="1353"/>
      <c r="FY749" s="1351" t="str">
        <f t="shared" si="42"/>
        <v/>
      </c>
      <c r="FZ749" s="1352"/>
      <c r="GA749" s="1352"/>
      <c r="GB749" s="1352"/>
      <c r="GC749" s="1353"/>
    </row>
    <row r="750" spans="1:185" s="3" customFormat="1" ht="12.95" customHeight="1">
      <c r="A750"/>
      <c r="B750" s="1355"/>
      <c r="C750" s="1356"/>
      <c r="D750" s="1356"/>
      <c r="E750" s="1356"/>
      <c r="F750" s="1357"/>
      <c r="G750" s="1364"/>
      <c r="H750" s="1365"/>
      <c r="I750" s="1365"/>
      <c r="J750" s="1366"/>
      <c r="K750" s="1611"/>
      <c r="L750" s="1612"/>
      <c r="M750" s="1612"/>
      <c r="N750" s="1613"/>
      <c r="O750" s="1470"/>
      <c r="P750" s="1471"/>
      <c r="Q750" s="1471"/>
      <c r="R750" s="1471"/>
      <c r="S750" s="1472"/>
      <c r="T750" s="1470"/>
      <c r="U750" s="1471"/>
      <c r="V750" s="1471"/>
      <c r="W750" s="1472"/>
      <c r="X750" s="1358">
        <f t="shared" si="46"/>
        <v>0</v>
      </c>
      <c r="Y750" s="1359"/>
      <c r="Z750" s="1359"/>
      <c r="AA750" s="1359"/>
      <c r="AB750" s="1360"/>
      <c r="AC750" s="1620"/>
      <c r="AD750" s="1621"/>
      <c r="AE750" s="1621"/>
      <c r="AF750" s="1621"/>
      <c r="AG750" s="1622"/>
      <c r="AH750" s="1361" t="str">
        <f t="shared" si="43"/>
        <v/>
      </c>
      <c r="AI750" s="1362"/>
      <c r="AJ750" s="1363"/>
      <c r="AK750" s="1355" t="s">
        <v>592</v>
      </c>
      <c r="AL750" s="1356"/>
      <c r="AM750" s="1356"/>
      <c r="AN750" s="1356"/>
      <c r="AO750" s="1357"/>
      <c r="AT750"/>
      <c r="AU750"/>
      <c r="AV750"/>
      <c r="AW750"/>
      <c r="AX750"/>
      <c r="AY750"/>
      <c r="AZ750" s="118" t="str">
        <f t="shared" si="16"/>
        <v>N/A</v>
      </c>
      <c r="BA750" s="34"/>
      <c r="BB750" s="34"/>
      <c r="BC750" s="34"/>
      <c r="BD750" s="34"/>
      <c r="BE750" s="34"/>
      <c r="BF750" s="294">
        <f t="shared" si="17"/>
        <v>0</v>
      </c>
      <c r="BG750" s="297">
        <f t="shared" si="18"/>
        <v>0</v>
      </c>
      <c r="BH750" s="298" t="str">
        <f t="shared" si="19"/>
        <v/>
      </c>
      <c r="BJ750" s="34"/>
      <c r="BK750" s="34"/>
      <c r="BL750" s="34"/>
      <c r="BM750" s="34"/>
      <c r="BN750" s="34"/>
      <c r="BO750"/>
      <c r="BP750"/>
      <c r="BQ750"/>
      <c r="BR750"/>
      <c r="BS750" s="294">
        <f t="shared" si="20"/>
        <v>0</v>
      </c>
      <c r="BT750" s="297">
        <f t="shared" si="21"/>
        <v>0</v>
      </c>
      <c r="BU750" s="298" t="str">
        <f t="shared" si="22"/>
        <v/>
      </c>
      <c r="CD750"/>
      <c r="CG750" s="1351">
        <f t="shared" si="44"/>
        <v>0</v>
      </c>
      <c r="CH750" s="1353"/>
      <c r="CI750" s="1335">
        <f t="shared" si="45"/>
        <v>0</v>
      </c>
      <c r="CJ750" s="1337"/>
      <c r="CK750" s="1351">
        <f t="shared" si="23"/>
        <v>0</v>
      </c>
      <c r="CL750" s="1353"/>
      <c r="CM750" s="1335">
        <f t="shared" si="24"/>
        <v>0</v>
      </c>
      <c r="CN750" s="1337"/>
      <c r="CP750" s="1332">
        <f t="shared" si="25"/>
        <v>0</v>
      </c>
      <c r="CQ750" s="1333"/>
      <c r="CR750" s="1333"/>
      <c r="CS750" s="1333"/>
      <c r="CT750" s="1334"/>
      <c r="CU750" s="1354">
        <f t="shared" si="26"/>
        <v>0</v>
      </c>
      <c r="CV750" s="1354"/>
      <c r="CW750" s="1354"/>
      <c r="CX750" s="1354"/>
      <c r="CY750" s="1354"/>
      <c r="CZ750" s="1354">
        <f t="shared" si="27"/>
        <v>0</v>
      </c>
      <c r="DA750" s="1354"/>
      <c r="DB750" s="1354"/>
      <c r="DC750" s="1354"/>
      <c r="DD750" s="1354"/>
      <c r="DE750" s="1354">
        <f t="shared" si="28"/>
        <v>0</v>
      </c>
      <c r="DF750" s="1354"/>
      <c r="DG750" s="1354"/>
      <c r="DH750" s="1354"/>
      <c r="DI750" s="1354"/>
      <c r="DJ750" s="1354">
        <f t="shared" si="29"/>
        <v>0</v>
      </c>
      <c r="DK750" s="1354"/>
      <c r="DL750" s="1354"/>
      <c r="DM750" s="1354"/>
      <c r="DN750" s="1354"/>
      <c r="DO750" s="1354">
        <f t="shared" si="30"/>
        <v>0</v>
      </c>
      <c r="DP750" s="1354"/>
      <c r="DQ750" s="1354"/>
      <c r="DR750" s="1354"/>
      <c r="DS750" s="1354"/>
      <c r="DT750" s="6"/>
      <c r="DU750" s="1368">
        <f t="shared" si="31"/>
        <v>0</v>
      </c>
      <c r="DV750" s="1368"/>
      <c r="DW750" s="1368"/>
      <c r="DX750" s="1368"/>
      <c r="DY750" s="1368"/>
      <c r="DZ750" s="1368">
        <f t="shared" si="32"/>
        <v>0</v>
      </c>
      <c r="EA750" s="1368"/>
      <c r="EB750" s="1368"/>
      <c r="EC750" s="1368"/>
      <c r="ED750" s="1368"/>
      <c r="EE750" s="1368">
        <f t="shared" si="33"/>
        <v>0</v>
      </c>
      <c r="EF750" s="1368"/>
      <c r="EG750" s="1368"/>
      <c r="EH750" s="1368"/>
      <c r="EI750" s="1368"/>
      <c r="EJ750" s="1368">
        <f t="shared" si="34"/>
        <v>0</v>
      </c>
      <c r="EK750" s="1368"/>
      <c r="EL750" s="1368"/>
      <c r="EM750" s="1368"/>
      <c r="EN750" s="1368"/>
      <c r="EO750" s="1368">
        <f t="shared" si="35"/>
        <v>0</v>
      </c>
      <c r="EP750" s="1368"/>
      <c r="EQ750" s="1368"/>
      <c r="ER750" s="1368"/>
      <c r="ES750" s="1368"/>
      <c r="ET750" s="1368">
        <f t="shared" si="36"/>
        <v>0</v>
      </c>
      <c r="EU750" s="1368"/>
      <c r="EV750" s="1368"/>
      <c r="EW750" s="1368"/>
      <c r="EX750" s="1368"/>
      <c r="EY750"/>
      <c r="EZ750" s="1351" t="str">
        <f t="shared" si="37"/>
        <v/>
      </c>
      <c r="FA750" s="1352"/>
      <c r="FB750" s="1352"/>
      <c r="FC750" s="1352"/>
      <c r="FD750" s="1353"/>
      <c r="FE750" s="1351" t="str">
        <f t="shared" si="38"/>
        <v/>
      </c>
      <c r="FF750" s="1352"/>
      <c r="FG750" s="1352"/>
      <c r="FH750" s="1352"/>
      <c r="FI750" s="1353"/>
      <c r="FJ750" s="1351" t="str">
        <f t="shared" si="39"/>
        <v/>
      </c>
      <c r="FK750" s="1352"/>
      <c r="FL750" s="1352"/>
      <c r="FM750" s="1352"/>
      <c r="FN750" s="1353"/>
      <c r="FO750" s="1351" t="str">
        <f t="shared" si="40"/>
        <v/>
      </c>
      <c r="FP750" s="1352"/>
      <c r="FQ750" s="1352"/>
      <c r="FR750" s="1352"/>
      <c r="FS750" s="1353"/>
      <c r="FT750" s="1351" t="str">
        <f t="shared" si="41"/>
        <v/>
      </c>
      <c r="FU750" s="1352"/>
      <c r="FV750" s="1352"/>
      <c r="FW750" s="1352"/>
      <c r="FX750" s="1353"/>
      <c r="FY750" s="1351" t="str">
        <f t="shared" si="42"/>
        <v/>
      </c>
      <c r="FZ750" s="1352"/>
      <c r="GA750" s="1352"/>
      <c r="GB750" s="1352"/>
      <c r="GC750" s="1353"/>
    </row>
    <row r="751" spans="1:185" s="3" customFormat="1" ht="12.95" customHeight="1">
      <c r="A751"/>
      <c r="B751" s="1355"/>
      <c r="C751" s="1356"/>
      <c r="D751" s="1356"/>
      <c r="E751" s="1356"/>
      <c r="F751" s="1357"/>
      <c r="G751" s="1364"/>
      <c r="H751" s="1365"/>
      <c r="I751" s="1365"/>
      <c r="J751" s="1366"/>
      <c r="K751" s="1611"/>
      <c r="L751" s="1612"/>
      <c r="M751" s="1612"/>
      <c r="N751" s="1613"/>
      <c r="O751" s="1470"/>
      <c r="P751" s="1471"/>
      <c r="Q751" s="1471"/>
      <c r="R751" s="1471"/>
      <c r="S751" s="1472"/>
      <c r="T751" s="1470"/>
      <c r="U751" s="1471"/>
      <c r="V751" s="1471"/>
      <c r="W751" s="1472"/>
      <c r="X751" s="1358">
        <f t="shared" si="46"/>
        <v>0</v>
      </c>
      <c r="Y751" s="1359"/>
      <c r="Z751" s="1359"/>
      <c r="AA751" s="1359"/>
      <c r="AB751" s="1360"/>
      <c r="AC751" s="1620"/>
      <c r="AD751" s="1621"/>
      <c r="AE751" s="1621"/>
      <c r="AF751" s="1621"/>
      <c r="AG751" s="1622"/>
      <c r="AH751" s="1361" t="str">
        <f t="shared" si="43"/>
        <v/>
      </c>
      <c r="AI751" s="1362"/>
      <c r="AJ751" s="1363"/>
      <c r="AK751" s="1355" t="s">
        <v>592</v>
      </c>
      <c r="AL751" s="1356"/>
      <c r="AM751" s="1356"/>
      <c r="AN751" s="1356"/>
      <c r="AO751" s="1357"/>
      <c r="AT751"/>
      <c r="AU751"/>
      <c r="AV751"/>
      <c r="AW751"/>
      <c r="AX751"/>
      <c r="AY751"/>
      <c r="AZ751" s="118" t="str">
        <f t="shared" si="16"/>
        <v>N/A</v>
      </c>
      <c r="BA751" s="34"/>
      <c r="BB751" s="34"/>
      <c r="BC751" s="34"/>
      <c r="BD751" s="34"/>
      <c r="BE751" s="34"/>
      <c r="BF751" s="294">
        <f t="shared" si="17"/>
        <v>0</v>
      </c>
      <c r="BG751" s="297">
        <f t="shared" si="18"/>
        <v>0</v>
      </c>
      <c r="BH751" s="298" t="str">
        <f t="shared" si="19"/>
        <v/>
      </c>
      <c r="BJ751" s="34"/>
      <c r="BK751" s="34"/>
      <c r="BL751" s="34"/>
      <c r="BM751" s="34"/>
      <c r="BN751" s="34"/>
      <c r="BO751"/>
      <c r="BP751"/>
      <c r="BQ751"/>
      <c r="BR751"/>
      <c r="BS751" s="294">
        <f t="shared" si="20"/>
        <v>0</v>
      </c>
      <c r="BT751" s="297">
        <f t="shared" si="21"/>
        <v>0</v>
      </c>
      <c r="BU751" s="298" t="str">
        <f t="shared" si="22"/>
        <v/>
      </c>
      <c r="CD751"/>
      <c r="CG751" s="1351">
        <f t="shared" si="44"/>
        <v>0</v>
      </c>
      <c r="CH751" s="1353"/>
      <c r="CI751" s="1335">
        <f t="shared" si="45"/>
        <v>0</v>
      </c>
      <c r="CJ751" s="1337"/>
      <c r="CK751" s="1351">
        <f t="shared" si="23"/>
        <v>0</v>
      </c>
      <c r="CL751" s="1353"/>
      <c r="CM751" s="1335">
        <f t="shared" si="24"/>
        <v>0</v>
      </c>
      <c r="CN751" s="1337"/>
      <c r="CP751" s="1332">
        <f t="shared" si="25"/>
        <v>0</v>
      </c>
      <c r="CQ751" s="1333"/>
      <c r="CR751" s="1333"/>
      <c r="CS751" s="1333"/>
      <c r="CT751" s="1334"/>
      <c r="CU751" s="1354">
        <f t="shared" si="26"/>
        <v>0</v>
      </c>
      <c r="CV751" s="1354"/>
      <c r="CW751" s="1354"/>
      <c r="CX751" s="1354"/>
      <c r="CY751" s="1354"/>
      <c r="CZ751" s="1354">
        <f t="shared" si="27"/>
        <v>0</v>
      </c>
      <c r="DA751" s="1354"/>
      <c r="DB751" s="1354"/>
      <c r="DC751" s="1354"/>
      <c r="DD751" s="1354"/>
      <c r="DE751" s="1354">
        <f t="shared" si="28"/>
        <v>0</v>
      </c>
      <c r="DF751" s="1354"/>
      <c r="DG751" s="1354"/>
      <c r="DH751" s="1354"/>
      <c r="DI751" s="1354"/>
      <c r="DJ751" s="1354">
        <f t="shared" si="29"/>
        <v>0</v>
      </c>
      <c r="DK751" s="1354"/>
      <c r="DL751" s="1354"/>
      <c r="DM751" s="1354"/>
      <c r="DN751" s="1354"/>
      <c r="DO751" s="1354">
        <f t="shared" si="30"/>
        <v>0</v>
      </c>
      <c r="DP751" s="1354"/>
      <c r="DQ751" s="1354"/>
      <c r="DR751" s="1354"/>
      <c r="DS751" s="1354"/>
      <c r="DT751" s="6"/>
      <c r="DU751" s="1368">
        <f t="shared" si="31"/>
        <v>0</v>
      </c>
      <c r="DV751" s="1368"/>
      <c r="DW751" s="1368"/>
      <c r="DX751" s="1368"/>
      <c r="DY751" s="1368"/>
      <c r="DZ751" s="1368">
        <f t="shared" si="32"/>
        <v>0</v>
      </c>
      <c r="EA751" s="1368"/>
      <c r="EB751" s="1368"/>
      <c r="EC751" s="1368"/>
      <c r="ED751" s="1368"/>
      <c r="EE751" s="1368">
        <f t="shared" si="33"/>
        <v>0</v>
      </c>
      <c r="EF751" s="1368"/>
      <c r="EG751" s="1368"/>
      <c r="EH751" s="1368"/>
      <c r="EI751" s="1368"/>
      <c r="EJ751" s="1368">
        <f t="shared" si="34"/>
        <v>0</v>
      </c>
      <c r="EK751" s="1368"/>
      <c r="EL751" s="1368"/>
      <c r="EM751" s="1368"/>
      <c r="EN751" s="1368"/>
      <c r="EO751" s="1368">
        <f t="shared" si="35"/>
        <v>0</v>
      </c>
      <c r="EP751" s="1368"/>
      <c r="EQ751" s="1368"/>
      <c r="ER751" s="1368"/>
      <c r="ES751" s="1368"/>
      <c r="ET751" s="1368">
        <f t="shared" si="36"/>
        <v>0</v>
      </c>
      <c r="EU751" s="1368"/>
      <c r="EV751" s="1368"/>
      <c r="EW751" s="1368"/>
      <c r="EX751" s="1368"/>
      <c r="EY751"/>
      <c r="EZ751" s="1351" t="str">
        <f t="shared" si="37"/>
        <v/>
      </c>
      <c r="FA751" s="1352"/>
      <c r="FB751" s="1352"/>
      <c r="FC751" s="1352"/>
      <c r="FD751" s="1353"/>
      <c r="FE751" s="1351" t="str">
        <f t="shared" si="38"/>
        <v/>
      </c>
      <c r="FF751" s="1352"/>
      <c r="FG751" s="1352"/>
      <c r="FH751" s="1352"/>
      <c r="FI751" s="1353"/>
      <c r="FJ751" s="1351" t="str">
        <f t="shared" si="39"/>
        <v/>
      </c>
      <c r="FK751" s="1352"/>
      <c r="FL751" s="1352"/>
      <c r="FM751" s="1352"/>
      <c r="FN751" s="1353"/>
      <c r="FO751" s="1351" t="str">
        <f t="shared" si="40"/>
        <v/>
      </c>
      <c r="FP751" s="1352"/>
      <c r="FQ751" s="1352"/>
      <c r="FR751" s="1352"/>
      <c r="FS751" s="1353"/>
      <c r="FT751" s="1351" t="str">
        <f t="shared" si="41"/>
        <v/>
      </c>
      <c r="FU751" s="1352"/>
      <c r="FV751" s="1352"/>
      <c r="FW751" s="1352"/>
      <c r="FX751" s="1353"/>
      <c r="FY751" s="1351" t="str">
        <f t="shared" si="42"/>
        <v/>
      </c>
      <c r="FZ751" s="1352"/>
      <c r="GA751" s="1352"/>
      <c r="GB751" s="1352"/>
      <c r="GC751" s="1353"/>
    </row>
    <row r="752" spans="1:185" s="3" customFormat="1" ht="12.95" customHeight="1">
      <c r="A752"/>
      <c r="B752" s="1355"/>
      <c r="C752" s="1356"/>
      <c r="D752" s="1356"/>
      <c r="E752" s="1356"/>
      <c r="F752" s="1357"/>
      <c r="G752" s="1364"/>
      <c r="H752" s="1365"/>
      <c r="I752" s="1365"/>
      <c r="J752" s="1366"/>
      <c r="K752" s="1611"/>
      <c r="L752" s="1612"/>
      <c r="M752" s="1612"/>
      <c r="N752" s="1613"/>
      <c r="O752" s="1470"/>
      <c r="P752" s="1471"/>
      <c r="Q752" s="1471"/>
      <c r="R752" s="1471"/>
      <c r="S752" s="1472"/>
      <c r="T752" s="1470"/>
      <c r="U752" s="1471"/>
      <c r="V752" s="1471"/>
      <c r="W752" s="1472"/>
      <c r="X752" s="1358">
        <f>O752+T752</f>
        <v>0</v>
      </c>
      <c r="Y752" s="1359"/>
      <c r="Z752" s="1359"/>
      <c r="AA752" s="1359"/>
      <c r="AB752" s="1360"/>
      <c r="AC752" s="1620"/>
      <c r="AD752" s="1621"/>
      <c r="AE752" s="1621"/>
      <c r="AF752" s="1621"/>
      <c r="AG752" s="1622"/>
      <c r="AH752" s="1361" t="str">
        <f t="shared" si="43"/>
        <v/>
      </c>
      <c r="AI752" s="1362"/>
      <c r="AJ752" s="1363"/>
      <c r="AK752" s="1355" t="s">
        <v>592</v>
      </c>
      <c r="AL752" s="1356"/>
      <c r="AM752" s="1356"/>
      <c r="AN752" s="1356"/>
      <c r="AO752" s="1357"/>
      <c r="AT752"/>
      <c r="AU752"/>
      <c r="AV752"/>
      <c r="AW752"/>
      <c r="AX752"/>
      <c r="AY752"/>
      <c r="AZ752" s="118" t="str">
        <f t="shared" si="16"/>
        <v>N/A</v>
      </c>
      <c r="BA752" s="34"/>
      <c r="BB752" s="34"/>
      <c r="BC752" s="34"/>
      <c r="BE752"/>
      <c r="BF752" s="294">
        <f t="shared" si="17"/>
        <v>0</v>
      </c>
      <c r="BG752" s="297">
        <f t="shared" si="18"/>
        <v>0</v>
      </c>
      <c r="BH752" s="298" t="str">
        <f t="shared" si="19"/>
        <v/>
      </c>
      <c r="BJ752" s="34"/>
      <c r="BK752" s="34"/>
      <c r="BL752" s="34"/>
      <c r="BM752" s="34"/>
      <c r="BN752" s="34"/>
      <c r="BO752"/>
      <c r="BP752"/>
      <c r="BQ752"/>
      <c r="BR752"/>
      <c r="BS752" s="860">
        <f t="shared" si="20"/>
        <v>0</v>
      </c>
      <c r="BT752" s="297">
        <f t="shared" si="21"/>
        <v>0</v>
      </c>
      <c r="BU752" s="298" t="str">
        <f t="shared" si="22"/>
        <v/>
      </c>
      <c r="CD752"/>
      <c r="CG752" s="1351">
        <f t="shared" si="44"/>
        <v>0</v>
      </c>
      <c r="CH752" s="1353"/>
      <c r="CI752" s="1335">
        <f t="shared" si="45"/>
        <v>0</v>
      </c>
      <c r="CJ752" s="1337"/>
      <c r="CK752" s="1351">
        <f t="shared" si="23"/>
        <v>0</v>
      </c>
      <c r="CL752" s="1353"/>
      <c r="CM752" s="1335">
        <f t="shared" si="24"/>
        <v>0</v>
      </c>
      <c r="CN752" s="1337"/>
      <c r="CP752" s="1332">
        <f t="shared" si="25"/>
        <v>0</v>
      </c>
      <c r="CQ752" s="1333"/>
      <c r="CR752" s="1333"/>
      <c r="CS752" s="1333"/>
      <c r="CT752" s="1334"/>
      <c r="CU752" s="1354">
        <f t="shared" si="26"/>
        <v>0</v>
      </c>
      <c r="CV752" s="1354"/>
      <c r="CW752" s="1354"/>
      <c r="CX752" s="1354"/>
      <c r="CY752" s="1354"/>
      <c r="CZ752" s="1354">
        <f t="shared" si="27"/>
        <v>0</v>
      </c>
      <c r="DA752" s="1354"/>
      <c r="DB752" s="1354"/>
      <c r="DC752" s="1354"/>
      <c r="DD752" s="1354"/>
      <c r="DE752" s="1354">
        <f t="shared" si="28"/>
        <v>0</v>
      </c>
      <c r="DF752" s="1354"/>
      <c r="DG752" s="1354"/>
      <c r="DH752" s="1354"/>
      <c r="DI752" s="1354"/>
      <c r="DJ752" s="1354">
        <f t="shared" si="29"/>
        <v>0</v>
      </c>
      <c r="DK752" s="1354"/>
      <c r="DL752" s="1354"/>
      <c r="DM752" s="1354"/>
      <c r="DN752" s="1354"/>
      <c r="DO752" s="1354">
        <f t="shared" si="30"/>
        <v>0</v>
      </c>
      <c r="DP752" s="1354"/>
      <c r="DQ752" s="1354"/>
      <c r="DR752" s="1354"/>
      <c r="DS752" s="1354"/>
      <c r="DT752" s="6"/>
      <c r="DU752" s="1368">
        <f t="shared" si="31"/>
        <v>0</v>
      </c>
      <c r="DV752" s="1368"/>
      <c r="DW752" s="1368"/>
      <c r="DX752" s="1368"/>
      <c r="DY752" s="1368"/>
      <c r="DZ752" s="1368">
        <f t="shared" si="32"/>
        <v>0</v>
      </c>
      <c r="EA752" s="1368"/>
      <c r="EB752" s="1368"/>
      <c r="EC752" s="1368"/>
      <c r="ED752" s="1368"/>
      <c r="EE752" s="1368">
        <f t="shared" si="33"/>
        <v>0</v>
      </c>
      <c r="EF752" s="1368"/>
      <c r="EG752" s="1368"/>
      <c r="EH752" s="1368"/>
      <c r="EI752" s="1368"/>
      <c r="EJ752" s="1368">
        <f t="shared" si="34"/>
        <v>0</v>
      </c>
      <c r="EK752" s="1368"/>
      <c r="EL752" s="1368"/>
      <c r="EM752" s="1368"/>
      <c r="EN752" s="1368"/>
      <c r="EO752" s="1368">
        <f t="shared" si="35"/>
        <v>0</v>
      </c>
      <c r="EP752" s="1368"/>
      <c r="EQ752" s="1368"/>
      <c r="ER752" s="1368"/>
      <c r="ES752" s="1368"/>
      <c r="ET752" s="1368">
        <f t="shared" si="36"/>
        <v>0</v>
      </c>
      <c r="EU752" s="1368"/>
      <c r="EV752" s="1368"/>
      <c r="EW752" s="1368"/>
      <c r="EX752" s="1368"/>
      <c r="EY752"/>
      <c r="EZ752" s="1351" t="str">
        <f t="shared" si="37"/>
        <v/>
      </c>
      <c r="FA752" s="1352"/>
      <c r="FB752" s="1352"/>
      <c r="FC752" s="1352"/>
      <c r="FD752" s="1353"/>
      <c r="FE752" s="1351" t="str">
        <f t="shared" si="38"/>
        <v/>
      </c>
      <c r="FF752" s="1352"/>
      <c r="FG752" s="1352"/>
      <c r="FH752" s="1352"/>
      <c r="FI752" s="1353"/>
      <c r="FJ752" s="1351" t="str">
        <f t="shared" si="39"/>
        <v/>
      </c>
      <c r="FK752" s="1352"/>
      <c r="FL752" s="1352"/>
      <c r="FM752" s="1352"/>
      <c r="FN752" s="1353"/>
      <c r="FO752" s="1351" t="str">
        <f t="shared" si="40"/>
        <v/>
      </c>
      <c r="FP752" s="1352"/>
      <c r="FQ752" s="1352"/>
      <c r="FR752" s="1352"/>
      <c r="FS752" s="1353"/>
      <c r="FT752" s="1351" t="str">
        <f t="shared" si="41"/>
        <v/>
      </c>
      <c r="FU752" s="1352"/>
      <c r="FV752" s="1352"/>
      <c r="FW752" s="1352"/>
      <c r="FX752" s="1353"/>
      <c r="FY752" s="1351" t="str">
        <f t="shared" si="42"/>
        <v/>
      </c>
      <c r="FZ752" s="1352"/>
      <c r="GA752" s="1352"/>
      <c r="GB752" s="1352"/>
      <c r="GC752" s="1353"/>
    </row>
    <row r="753" spans="1:185" s="3" customFormat="1" ht="12.95" customHeight="1">
      <c r="A753"/>
      <c r="B753" s="1408" t="s">
        <v>125</v>
      </c>
      <c r="C753" s="1409"/>
      <c r="D753" s="1409"/>
      <c r="E753" s="1409"/>
      <c r="F753" s="1411"/>
      <c r="G753" s="1725">
        <f>SUM(G718:G752)</f>
        <v>229</v>
      </c>
      <c r="H753" s="1726"/>
      <c r="I753" s="1726"/>
      <c r="J753" s="1727"/>
      <c r="K753" s="902" t="s">
        <v>124</v>
      </c>
      <c r="L753" s="5"/>
      <c r="M753" s="5"/>
      <c r="N753" s="46"/>
      <c r="O753" s="1358">
        <f>SUMPRODUCT(G718:G752,O718:O752)</f>
        <v>340321</v>
      </c>
      <c r="P753" s="1359"/>
      <c r="Q753" s="1359"/>
      <c r="R753" s="1359"/>
      <c r="S753" s="1360"/>
      <c r="T753"/>
      <c r="U753"/>
      <c r="V753"/>
      <c r="W753"/>
      <c r="X753" s="904" t="s">
        <v>901</v>
      </c>
      <c r="Y753" s="903"/>
      <c r="Z753" s="903"/>
      <c r="AA753" s="903"/>
      <c r="AB753" s="905"/>
      <c r="AC753" s="1624">
        <f>BH753</f>
        <v>0.44934497816593877</v>
      </c>
      <c r="AD753" s="1625"/>
      <c r="AE753" s="1625"/>
      <c r="AF753" s="1625"/>
      <c r="AG753" s="1626"/>
      <c r="AH753" s="1624">
        <f>IFERROR(BU753,"")</f>
        <v>0.44918243908718791</v>
      </c>
      <c r="AI753" s="1625"/>
      <c r="AJ753" s="1626"/>
      <c r="AK753"/>
      <c r="AL753"/>
      <c r="AM753"/>
      <c r="AN753"/>
      <c r="AO753"/>
      <c r="AP753" s="205"/>
      <c r="AQ753" s="205"/>
      <c r="AR753" s="205"/>
      <c r="AS753" s="205"/>
      <c r="AT753"/>
      <c r="AU753"/>
      <c r="AV753"/>
      <c r="AW753"/>
      <c r="AX753"/>
      <c r="AY753"/>
      <c r="AZ753" s="34"/>
      <c r="BA753" s="34"/>
      <c r="BB753" s="34"/>
      <c r="BC753" s="34"/>
      <c r="BE753" s="290" t="s">
        <v>900</v>
      </c>
      <c r="BF753" s="299">
        <f>SUM(BF718:BF752)</f>
        <v>229</v>
      </c>
      <c r="BG753" s="300">
        <f>SUM(BG718:BG752)</f>
        <v>1</v>
      </c>
      <c r="BH753" s="300">
        <f>SUM(BH718:BH752)</f>
        <v>0.44934497816593877</v>
      </c>
      <c r="BI753"/>
      <c r="BJ753"/>
      <c r="BK753"/>
      <c r="BL753"/>
      <c r="BO753"/>
      <c r="BP753"/>
      <c r="BQ753"/>
      <c r="BR753"/>
      <c r="BS753" s="859">
        <f>SUM(BS718:BS752)</f>
        <v>229</v>
      </c>
      <c r="BT753" s="300">
        <f>SUM(BT718:BT752)</f>
        <v>1</v>
      </c>
      <c r="BU753" s="300">
        <f>SUM(BU718:BU752)</f>
        <v>0.44918243908718791</v>
      </c>
      <c r="CI753" s="1351">
        <f>SUM(CI718:CJ752)</f>
        <v>0</v>
      </c>
      <c r="CJ753" s="1353"/>
      <c r="CM753" s="1351">
        <f>SUM(CM718:CN752)</f>
        <v>115</v>
      </c>
      <c r="CN753" s="1353"/>
      <c r="CP753" s="1351">
        <f>SUM(CP718:CT752)</f>
        <v>33</v>
      </c>
      <c r="CQ753" s="1352"/>
      <c r="CR753" s="1352"/>
      <c r="CS753" s="1352"/>
      <c r="CT753" s="1353"/>
      <c r="CU753" s="1367">
        <f>SUM(CU718:CY752)</f>
        <v>66</v>
      </c>
      <c r="CV753" s="1367"/>
      <c r="CW753" s="1367"/>
      <c r="CX753" s="1367"/>
      <c r="CY753" s="1367"/>
      <c r="CZ753" s="1367">
        <f>SUM(CZ718:DD752)</f>
        <v>130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17</v>
      </c>
      <c r="DV753" s="1367"/>
      <c r="DW753" s="1367"/>
      <c r="DX753" s="1367"/>
      <c r="DY753" s="1367"/>
      <c r="DZ753" s="1367">
        <f>SUM(DZ718:ED752)</f>
        <v>33</v>
      </c>
      <c r="EA753" s="1367"/>
      <c r="EB753" s="1367"/>
      <c r="EC753" s="1367"/>
      <c r="ED753" s="1367"/>
      <c r="EE753" s="1367">
        <f>SUM(EE718:EI752)</f>
        <v>65</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2517</v>
      </c>
      <c r="FA753" s="1367"/>
      <c r="FB753" s="1367"/>
      <c r="FC753" s="1367"/>
      <c r="FD753" s="1367"/>
      <c r="FE753" s="1367">
        <f>SUM(FE718:FI752)</f>
        <v>2695</v>
      </c>
      <c r="FF753" s="1367"/>
      <c r="FG753" s="1367"/>
      <c r="FH753" s="1367"/>
      <c r="FI753" s="1367"/>
      <c r="FJ753" s="1367">
        <f>SUM(FJ718:FN752)</f>
        <v>3235</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9" t="s">
        <v>1894</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1861</v>
      </c>
      <c r="DO754" s="1351">
        <f>CP753+CU753+CZ753+DE753+DJ753+DO753</f>
        <v>229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33</v>
      </c>
      <c r="CU755" s="3"/>
      <c r="CV755" s="3"/>
      <c r="CW755" s="3"/>
      <c r="CX755" s="3"/>
      <c r="CY755" s="861">
        <f>CU753*1</f>
        <v>66</v>
      </c>
      <c r="CZ755" s="3"/>
      <c r="DA755" s="3"/>
      <c r="DB755" s="3"/>
      <c r="DC755" s="3"/>
      <c r="DD755" s="861">
        <f>CZ753*2</f>
        <v>260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359</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359</v>
      </c>
      <c r="P756" s="1367"/>
      <c r="Q756" s="1367"/>
      <c r="R756" s="1367"/>
      <c r="S756" s="969"/>
      <c r="T756" s="969"/>
      <c r="U756" s="118" t="s">
        <v>1893</v>
      </c>
      <c r="V756" s="1032"/>
      <c r="W756" s="1032"/>
      <c r="X756" s="1032"/>
      <c r="Y756" s="1033"/>
      <c r="Z756" s="1033"/>
      <c r="AA756" s="1033"/>
      <c r="AB756" s="1033"/>
      <c r="AC756" s="1032"/>
      <c r="AD756" s="1032"/>
      <c r="AE756" s="1032"/>
      <c r="AF756" s="1032"/>
      <c r="AG756" s="1721">
        <v>0</v>
      </c>
      <c r="AH756" s="1721"/>
      <c r="AI756" s="1721"/>
      <c r="AJ756" s="172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8" t="s">
        <v>670</v>
      </c>
      <c r="AE759" s="1728"/>
      <c r="AF759" s="17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9" t="s">
        <v>285</v>
      </c>
      <c r="P769" s="1609"/>
      <c r="Q769" s="1609"/>
      <c r="R769" s="1609"/>
      <c r="S769" s="1609"/>
      <c r="T769" s="1514" t="s">
        <v>1680</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9"/>
      <c r="P770" s="1609"/>
      <c r="Q770" s="1609"/>
      <c r="R770" s="1609"/>
      <c r="S770" s="1609"/>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9"/>
      <c r="P771" s="1609"/>
      <c r="Q771" s="1609"/>
      <c r="R771" s="1609"/>
      <c r="S771" s="1609"/>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6">
        <v>1</v>
      </c>
      <c r="P773" s="1466"/>
      <c r="Q773" s="1466"/>
      <c r="R773" s="1466"/>
      <c r="S773" s="1466"/>
      <c r="T773" s="1611">
        <v>860</v>
      </c>
      <c r="U773" s="1612"/>
      <c r="V773" s="1612"/>
      <c r="W773" s="1613"/>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
        <v>163</v>
      </c>
      <c r="K774" s="1356"/>
      <c r="L774" s="1356"/>
      <c r="M774" s="1356"/>
      <c r="N774" s="1357"/>
      <c r="O774" s="1466">
        <v>1</v>
      </c>
      <c r="P774" s="1466"/>
      <c r="Q774" s="1466"/>
      <c r="R774" s="1466"/>
      <c r="S774" s="1466"/>
      <c r="T774" s="1611">
        <v>860</v>
      </c>
      <c r="U774" s="1612"/>
      <c r="V774" s="1612"/>
      <c r="W774" s="1613"/>
      <c r="X774" s="1470">
        <v>0</v>
      </c>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1</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11"/>
      <c r="U775" s="1612"/>
      <c r="V775" s="1612"/>
      <c r="W775" s="1613"/>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11"/>
      <c r="U776" s="1612"/>
      <c r="V776" s="1612"/>
      <c r="W776" s="1613"/>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9" t="s">
        <v>285</v>
      </c>
      <c r="P783" s="1609"/>
      <c r="Q783" s="1609"/>
      <c r="R783" s="1609"/>
      <c r="S783" s="1609"/>
      <c r="T783" s="1514" t="s">
        <v>1680</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9"/>
      <c r="P784" s="1609"/>
      <c r="Q784" s="1609"/>
      <c r="R784" s="1609"/>
      <c r="S784" s="1609"/>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9"/>
      <c r="P785" s="1609"/>
      <c r="Q785" s="1609"/>
      <c r="R785" s="1609"/>
      <c r="S785" s="1609"/>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11"/>
      <c r="U787" s="1612"/>
      <c r="V787" s="1612"/>
      <c r="W787" s="1613"/>
      <c r="X787" s="1470"/>
      <c r="Y787" s="1471"/>
      <c r="Z787" s="1471"/>
      <c r="AA787" s="1471"/>
      <c r="AB787" s="1472"/>
      <c r="AC787" s="1358">
        <f t="shared" ref="AC787:AC796" si="47">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8">IF(J787="SRO/Studio",O787,0)</f>
        <v>0</v>
      </c>
      <c r="CQ787" s="1333"/>
      <c r="CR787" s="1333"/>
      <c r="CS787" s="1333"/>
      <c r="CT787" s="1334"/>
      <c r="CU787" s="1332">
        <f t="shared" ref="CU787:CU796" si="49">IF(J787="1 Bedroom",O787,0)</f>
        <v>0</v>
      </c>
      <c r="CV787" s="1333"/>
      <c r="CW787" s="1333"/>
      <c r="CX787" s="1333"/>
      <c r="CY787" s="1334"/>
      <c r="CZ787" s="1332">
        <f t="shared" ref="CZ787:CZ796" si="50">IF(J787="2 Bedrooms",O787,0)</f>
        <v>0</v>
      </c>
      <c r="DA787" s="1333"/>
      <c r="DB787" s="1333"/>
      <c r="DC787" s="1333"/>
      <c r="DD787" s="1334"/>
      <c r="DE787" s="1332">
        <f t="shared" ref="DE787:DE796" si="51">IF(J787="3 Bedrooms",O787,0)</f>
        <v>0</v>
      </c>
      <c r="DF787" s="1333"/>
      <c r="DG787" s="1333"/>
      <c r="DH787" s="1333"/>
      <c r="DI787" s="1334"/>
      <c r="DJ787" s="1332">
        <f t="shared" ref="DJ787:DJ796" si="52">IF(J787="4 Bedrooms",O787,0)</f>
        <v>0</v>
      </c>
      <c r="DK787" s="1333"/>
      <c r="DL787" s="1333"/>
      <c r="DM787" s="1333"/>
      <c r="DN787" s="1334"/>
      <c r="DO787" s="1332">
        <f t="shared" ref="DO787:DO796" si="53">IF(J787="5 Bedrooms",O787,0)</f>
        <v>0</v>
      </c>
      <c r="DP787" s="1333"/>
      <c r="DQ787" s="1333"/>
      <c r="DR787" s="1333"/>
      <c r="DS787" s="1334"/>
      <c r="DT787" s="6"/>
      <c r="DU787" s="1332">
        <f t="shared" ref="DU787:DU796" si="54">IF(AND(CP787&gt;=1,AH787&gt;=0.1,AH787&lt;=1),O787,0)</f>
        <v>0</v>
      </c>
      <c r="DV787" s="1333"/>
      <c r="DW787" s="1333"/>
      <c r="DX787" s="1333"/>
      <c r="DY787" s="1334"/>
      <c r="DZ787" s="1332">
        <f t="shared" ref="DZ787:DZ796" si="55">IF(AND(CU787&gt;=1,AH787&gt;=0.1,AH787&lt;=1),O787,0)</f>
        <v>0</v>
      </c>
      <c r="EA787" s="1333"/>
      <c r="EB787" s="1333"/>
      <c r="EC787" s="1333"/>
      <c r="ED787" s="1334"/>
      <c r="EE787" s="1332">
        <f t="shared" ref="EE787:EE796" si="56">IF(AND(CZ787&gt;=1,AH787&gt;=0.1,AH787&lt;=1),O787,0)</f>
        <v>0</v>
      </c>
      <c r="EF787" s="1333"/>
      <c r="EG787" s="1333"/>
      <c r="EH787" s="1333"/>
      <c r="EI787" s="1334"/>
      <c r="EJ787" s="1332">
        <f t="shared" ref="EJ787:EJ796" si="57">IF(AND(DE787&gt;=1,AH787&gt;=0.1,AH787&lt;=1),O787,0)</f>
        <v>0</v>
      </c>
      <c r="EK787" s="1333"/>
      <c r="EL787" s="1333"/>
      <c r="EM787" s="1333"/>
      <c r="EN787" s="1334"/>
      <c r="EO787" s="1332">
        <f t="shared" ref="EO787:EO796" si="58">IF(AND(DJ787&gt;=1,AH787&gt;=0.1,AH787&lt;=1),O787,0)</f>
        <v>0</v>
      </c>
      <c r="EP787" s="1333"/>
      <c r="EQ787" s="1333"/>
      <c r="ER787" s="1333"/>
      <c r="ES787" s="1334"/>
      <c r="ET787" s="1332">
        <f t="shared" ref="ET787:ET796" si="59">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11"/>
      <c r="U788" s="1612"/>
      <c r="V788" s="1612"/>
      <c r="W788" s="1613"/>
      <c r="X788" s="1470"/>
      <c r="Y788" s="1471"/>
      <c r="Z788" s="1471"/>
      <c r="AA788" s="1471"/>
      <c r="AB788" s="1472"/>
      <c r="AC788" s="1358">
        <f t="shared" si="47"/>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8"/>
        <v>0</v>
      </c>
      <c r="CQ788" s="1333"/>
      <c r="CR788" s="1333"/>
      <c r="CS788" s="1333"/>
      <c r="CT788" s="1334"/>
      <c r="CU788" s="1332">
        <f t="shared" si="49"/>
        <v>0</v>
      </c>
      <c r="CV788" s="1333"/>
      <c r="CW788" s="1333"/>
      <c r="CX788" s="1333"/>
      <c r="CY788" s="1334"/>
      <c r="CZ788" s="1332">
        <f t="shared" si="50"/>
        <v>0</v>
      </c>
      <c r="DA788" s="1333"/>
      <c r="DB788" s="1333"/>
      <c r="DC788" s="1333"/>
      <c r="DD788" s="1334"/>
      <c r="DE788" s="1332">
        <f t="shared" si="51"/>
        <v>0</v>
      </c>
      <c r="DF788" s="1333"/>
      <c r="DG788" s="1333"/>
      <c r="DH788" s="1333"/>
      <c r="DI788" s="1334"/>
      <c r="DJ788" s="1332">
        <f t="shared" si="52"/>
        <v>0</v>
      </c>
      <c r="DK788" s="1333"/>
      <c r="DL788" s="1333"/>
      <c r="DM788" s="1333"/>
      <c r="DN788" s="1334"/>
      <c r="DO788" s="1332">
        <f t="shared" si="53"/>
        <v>0</v>
      </c>
      <c r="DP788" s="1333"/>
      <c r="DQ788" s="1333"/>
      <c r="DR788" s="1333"/>
      <c r="DS788" s="1334"/>
      <c r="DT788" s="6"/>
      <c r="DU788" s="1332">
        <f t="shared" si="54"/>
        <v>0</v>
      </c>
      <c r="DV788" s="1333"/>
      <c r="DW788" s="1333"/>
      <c r="DX788" s="1333"/>
      <c r="DY788" s="1334"/>
      <c r="DZ788" s="1332">
        <f t="shared" si="55"/>
        <v>0</v>
      </c>
      <c r="EA788" s="1333"/>
      <c r="EB788" s="1333"/>
      <c r="EC788" s="1333"/>
      <c r="ED788" s="1334"/>
      <c r="EE788" s="1332">
        <f t="shared" si="56"/>
        <v>0</v>
      </c>
      <c r="EF788" s="1333"/>
      <c r="EG788" s="1333"/>
      <c r="EH788" s="1333"/>
      <c r="EI788" s="1334"/>
      <c r="EJ788" s="1332">
        <f t="shared" si="57"/>
        <v>0</v>
      </c>
      <c r="EK788" s="1333"/>
      <c r="EL788" s="1333"/>
      <c r="EM788" s="1333"/>
      <c r="EN788" s="1334"/>
      <c r="EO788" s="1332">
        <f t="shared" si="58"/>
        <v>0</v>
      </c>
      <c r="EP788" s="1333"/>
      <c r="EQ788" s="1333"/>
      <c r="ER788" s="1333"/>
      <c r="ES788" s="1334"/>
      <c r="ET788" s="1332">
        <f t="shared" si="59"/>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11"/>
      <c r="U789" s="1612"/>
      <c r="V789" s="1612"/>
      <c r="W789" s="1613"/>
      <c r="X789" s="1470"/>
      <c r="Y789" s="1471"/>
      <c r="Z789" s="1471"/>
      <c r="AA789" s="1471"/>
      <c r="AB789" s="1472"/>
      <c r="AC789" s="1358">
        <f t="shared" si="47"/>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8"/>
        <v>0</v>
      </c>
      <c r="CQ789" s="1333"/>
      <c r="CR789" s="1333"/>
      <c r="CS789" s="1333"/>
      <c r="CT789" s="1334"/>
      <c r="CU789" s="1332">
        <f t="shared" si="49"/>
        <v>0</v>
      </c>
      <c r="CV789" s="1333"/>
      <c r="CW789" s="1333"/>
      <c r="CX789" s="1333"/>
      <c r="CY789" s="1334"/>
      <c r="CZ789" s="1332">
        <f t="shared" si="50"/>
        <v>0</v>
      </c>
      <c r="DA789" s="1333"/>
      <c r="DB789" s="1333"/>
      <c r="DC789" s="1333"/>
      <c r="DD789" s="1334"/>
      <c r="DE789" s="1332">
        <f t="shared" si="51"/>
        <v>0</v>
      </c>
      <c r="DF789" s="1333"/>
      <c r="DG789" s="1333"/>
      <c r="DH789" s="1333"/>
      <c r="DI789" s="1334"/>
      <c r="DJ789" s="1332">
        <f t="shared" si="52"/>
        <v>0</v>
      </c>
      <c r="DK789" s="1333"/>
      <c r="DL789" s="1333"/>
      <c r="DM789" s="1333"/>
      <c r="DN789" s="1334"/>
      <c r="DO789" s="1332">
        <f t="shared" si="53"/>
        <v>0</v>
      </c>
      <c r="DP789" s="1333"/>
      <c r="DQ789" s="1333"/>
      <c r="DR789" s="1333"/>
      <c r="DS789" s="1334"/>
      <c r="DT789" s="6"/>
      <c r="DU789" s="1332">
        <f t="shared" si="54"/>
        <v>0</v>
      </c>
      <c r="DV789" s="1333"/>
      <c r="DW789" s="1333"/>
      <c r="DX789" s="1333"/>
      <c r="DY789" s="1334"/>
      <c r="DZ789" s="1332">
        <f t="shared" si="55"/>
        <v>0</v>
      </c>
      <c r="EA789" s="1333"/>
      <c r="EB789" s="1333"/>
      <c r="EC789" s="1333"/>
      <c r="ED789" s="1334"/>
      <c r="EE789" s="1332">
        <f t="shared" si="56"/>
        <v>0</v>
      </c>
      <c r="EF789" s="1333"/>
      <c r="EG789" s="1333"/>
      <c r="EH789" s="1333"/>
      <c r="EI789" s="1334"/>
      <c r="EJ789" s="1332">
        <f t="shared" si="57"/>
        <v>0</v>
      </c>
      <c r="EK789" s="1333"/>
      <c r="EL789" s="1333"/>
      <c r="EM789" s="1333"/>
      <c r="EN789" s="1334"/>
      <c r="EO789" s="1332">
        <f t="shared" si="58"/>
        <v>0</v>
      </c>
      <c r="EP789" s="1333"/>
      <c r="EQ789" s="1333"/>
      <c r="ER789" s="1333"/>
      <c r="ES789" s="1334"/>
      <c r="ET789" s="1332">
        <f t="shared" si="59"/>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11"/>
      <c r="U790" s="1612"/>
      <c r="V790" s="1612"/>
      <c r="W790" s="1613"/>
      <c r="X790" s="1470"/>
      <c r="Y790" s="1471"/>
      <c r="Z790" s="1471"/>
      <c r="AA790" s="1471"/>
      <c r="AB790" s="1472"/>
      <c r="AC790" s="1358">
        <f t="shared" si="47"/>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8"/>
        <v>0</v>
      </c>
      <c r="CQ790" s="1333"/>
      <c r="CR790" s="1333"/>
      <c r="CS790" s="1333"/>
      <c r="CT790" s="1334"/>
      <c r="CU790" s="1332">
        <f t="shared" si="49"/>
        <v>0</v>
      </c>
      <c r="CV790" s="1333"/>
      <c r="CW790" s="1333"/>
      <c r="CX790" s="1333"/>
      <c r="CY790" s="1334"/>
      <c r="CZ790" s="1332">
        <f t="shared" si="50"/>
        <v>0</v>
      </c>
      <c r="DA790" s="1333"/>
      <c r="DB790" s="1333"/>
      <c r="DC790" s="1333"/>
      <c r="DD790" s="1334"/>
      <c r="DE790" s="1332">
        <f t="shared" si="51"/>
        <v>0</v>
      </c>
      <c r="DF790" s="1333"/>
      <c r="DG790" s="1333"/>
      <c r="DH790" s="1333"/>
      <c r="DI790" s="1334"/>
      <c r="DJ790" s="1332">
        <f t="shared" si="52"/>
        <v>0</v>
      </c>
      <c r="DK790" s="1333"/>
      <c r="DL790" s="1333"/>
      <c r="DM790" s="1333"/>
      <c r="DN790" s="1334"/>
      <c r="DO790" s="1332">
        <f t="shared" si="53"/>
        <v>0</v>
      </c>
      <c r="DP790" s="1333"/>
      <c r="DQ790" s="1333"/>
      <c r="DR790" s="1333"/>
      <c r="DS790" s="1334"/>
      <c r="DT790" s="6"/>
      <c r="DU790" s="1332">
        <f t="shared" si="54"/>
        <v>0</v>
      </c>
      <c r="DV790" s="1333"/>
      <c r="DW790" s="1333"/>
      <c r="DX790" s="1333"/>
      <c r="DY790" s="1334"/>
      <c r="DZ790" s="1332">
        <f t="shared" si="55"/>
        <v>0</v>
      </c>
      <c r="EA790" s="1333"/>
      <c r="EB790" s="1333"/>
      <c r="EC790" s="1333"/>
      <c r="ED790" s="1334"/>
      <c r="EE790" s="1332">
        <f t="shared" si="56"/>
        <v>0</v>
      </c>
      <c r="EF790" s="1333"/>
      <c r="EG790" s="1333"/>
      <c r="EH790" s="1333"/>
      <c r="EI790" s="1334"/>
      <c r="EJ790" s="1332">
        <f t="shared" si="57"/>
        <v>0</v>
      </c>
      <c r="EK790" s="1333"/>
      <c r="EL790" s="1333"/>
      <c r="EM790" s="1333"/>
      <c r="EN790" s="1334"/>
      <c r="EO790" s="1332">
        <f t="shared" si="58"/>
        <v>0</v>
      </c>
      <c r="EP790" s="1333"/>
      <c r="EQ790" s="1333"/>
      <c r="ER790" s="1333"/>
      <c r="ES790" s="1334"/>
      <c r="ET790" s="1332">
        <f t="shared" si="59"/>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11"/>
      <c r="U791" s="1612"/>
      <c r="V791" s="1612"/>
      <c r="W791" s="1613"/>
      <c r="X791" s="1470"/>
      <c r="Y791" s="1471"/>
      <c r="Z791" s="1471"/>
      <c r="AA791" s="1471"/>
      <c r="AB791" s="1472"/>
      <c r="AC791" s="1358">
        <f t="shared" si="47"/>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8"/>
        <v>0</v>
      </c>
      <c r="CQ791" s="1333"/>
      <c r="CR791" s="1333"/>
      <c r="CS791" s="1333"/>
      <c r="CT791" s="1334"/>
      <c r="CU791" s="1332">
        <f t="shared" si="49"/>
        <v>0</v>
      </c>
      <c r="CV791" s="1333"/>
      <c r="CW791" s="1333"/>
      <c r="CX791" s="1333"/>
      <c r="CY791" s="1334"/>
      <c r="CZ791" s="1332">
        <f t="shared" si="50"/>
        <v>0</v>
      </c>
      <c r="DA791" s="1333"/>
      <c r="DB791" s="1333"/>
      <c r="DC791" s="1333"/>
      <c r="DD791" s="1334"/>
      <c r="DE791" s="1332">
        <f t="shared" si="51"/>
        <v>0</v>
      </c>
      <c r="DF791" s="1333"/>
      <c r="DG791" s="1333"/>
      <c r="DH791" s="1333"/>
      <c r="DI791" s="1334"/>
      <c r="DJ791" s="1332">
        <f t="shared" si="52"/>
        <v>0</v>
      </c>
      <c r="DK791" s="1333"/>
      <c r="DL791" s="1333"/>
      <c r="DM791" s="1333"/>
      <c r="DN791" s="1334"/>
      <c r="DO791" s="1332">
        <f t="shared" si="53"/>
        <v>0</v>
      </c>
      <c r="DP791" s="1333"/>
      <c r="DQ791" s="1333"/>
      <c r="DR791" s="1333"/>
      <c r="DS791" s="1334"/>
      <c r="DT791" s="6"/>
      <c r="DU791" s="1332">
        <f t="shared" si="54"/>
        <v>0</v>
      </c>
      <c r="DV791" s="1333"/>
      <c r="DW791" s="1333"/>
      <c r="DX791" s="1333"/>
      <c r="DY791" s="1334"/>
      <c r="DZ791" s="1332">
        <f t="shared" si="55"/>
        <v>0</v>
      </c>
      <c r="EA791" s="1333"/>
      <c r="EB791" s="1333"/>
      <c r="EC791" s="1333"/>
      <c r="ED791" s="1334"/>
      <c r="EE791" s="1332">
        <f t="shared" si="56"/>
        <v>0</v>
      </c>
      <c r="EF791" s="1333"/>
      <c r="EG791" s="1333"/>
      <c r="EH791" s="1333"/>
      <c r="EI791" s="1334"/>
      <c r="EJ791" s="1332">
        <f t="shared" si="57"/>
        <v>0</v>
      </c>
      <c r="EK791" s="1333"/>
      <c r="EL791" s="1333"/>
      <c r="EM791" s="1333"/>
      <c r="EN791" s="1334"/>
      <c r="EO791" s="1332">
        <f t="shared" si="58"/>
        <v>0</v>
      </c>
      <c r="EP791" s="1333"/>
      <c r="EQ791" s="1333"/>
      <c r="ER791" s="1333"/>
      <c r="ES791" s="1334"/>
      <c r="ET791" s="1332">
        <f t="shared" si="59"/>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11"/>
      <c r="U792" s="1612"/>
      <c r="V792" s="1612"/>
      <c r="W792" s="1613"/>
      <c r="X792" s="1470"/>
      <c r="Y792" s="1471"/>
      <c r="Z792" s="1471"/>
      <c r="AA792" s="1471"/>
      <c r="AB792" s="1472"/>
      <c r="AC792" s="1358">
        <f t="shared" si="47"/>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8"/>
        <v>0</v>
      </c>
      <c r="CQ792" s="1333"/>
      <c r="CR792" s="1333"/>
      <c r="CS792" s="1333"/>
      <c r="CT792" s="1334"/>
      <c r="CU792" s="1332">
        <f t="shared" si="49"/>
        <v>0</v>
      </c>
      <c r="CV792" s="1333"/>
      <c r="CW792" s="1333"/>
      <c r="CX792" s="1333"/>
      <c r="CY792" s="1334"/>
      <c r="CZ792" s="1332">
        <f t="shared" si="50"/>
        <v>0</v>
      </c>
      <c r="DA792" s="1333"/>
      <c r="DB792" s="1333"/>
      <c r="DC792" s="1333"/>
      <c r="DD792" s="1334"/>
      <c r="DE792" s="1332">
        <f t="shared" si="51"/>
        <v>0</v>
      </c>
      <c r="DF792" s="1333"/>
      <c r="DG792" s="1333"/>
      <c r="DH792" s="1333"/>
      <c r="DI792" s="1334"/>
      <c r="DJ792" s="1332">
        <f t="shared" si="52"/>
        <v>0</v>
      </c>
      <c r="DK792" s="1333"/>
      <c r="DL792" s="1333"/>
      <c r="DM792" s="1333"/>
      <c r="DN792" s="1334"/>
      <c r="DO792" s="1332">
        <f t="shared" si="53"/>
        <v>0</v>
      </c>
      <c r="DP792" s="1333"/>
      <c r="DQ792" s="1333"/>
      <c r="DR792" s="1333"/>
      <c r="DS792" s="1334"/>
      <c r="DT792" s="6"/>
      <c r="DU792" s="1332">
        <f t="shared" si="54"/>
        <v>0</v>
      </c>
      <c r="DV792" s="1333"/>
      <c r="DW792" s="1333"/>
      <c r="DX792" s="1333"/>
      <c r="DY792" s="1334"/>
      <c r="DZ792" s="1332">
        <f t="shared" si="55"/>
        <v>0</v>
      </c>
      <c r="EA792" s="1333"/>
      <c r="EB792" s="1333"/>
      <c r="EC792" s="1333"/>
      <c r="ED792" s="1334"/>
      <c r="EE792" s="1332">
        <f t="shared" si="56"/>
        <v>0</v>
      </c>
      <c r="EF792" s="1333"/>
      <c r="EG792" s="1333"/>
      <c r="EH792" s="1333"/>
      <c r="EI792" s="1334"/>
      <c r="EJ792" s="1332">
        <f t="shared" si="57"/>
        <v>0</v>
      </c>
      <c r="EK792" s="1333"/>
      <c r="EL792" s="1333"/>
      <c r="EM792" s="1333"/>
      <c r="EN792" s="1334"/>
      <c r="EO792" s="1332">
        <f t="shared" si="58"/>
        <v>0</v>
      </c>
      <c r="EP792" s="1333"/>
      <c r="EQ792" s="1333"/>
      <c r="ER792" s="1333"/>
      <c r="ES792" s="1334"/>
      <c r="ET792" s="1332">
        <f t="shared" si="59"/>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11"/>
      <c r="U793" s="1612"/>
      <c r="V793" s="1612"/>
      <c r="W793" s="1613"/>
      <c r="X793" s="1470"/>
      <c r="Y793" s="1471"/>
      <c r="Z793" s="1471"/>
      <c r="AA793" s="1471"/>
      <c r="AB793" s="1472"/>
      <c r="AC793" s="1358">
        <f t="shared" si="47"/>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8"/>
        <v>0</v>
      </c>
      <c r="CQ793" s="1333"/>
      <c r="CR793" s="1333"/>
      <c r="CS793" s="1333"/>
      <c r="CT793" s="1334"/>
      <c r="CU793" s="1332">
        <f t="shared" si="49"/>
        <v>0</v>
      </c>
      <c r="CV793" s="1333"/>
      <c r="CW793" s="1333"/>
      <c r="CX793" s="1333"/>
      <c r="CY793" s="1334"/>
      <c r="CZ793" s="1332">
        <f t="shared" si="50"/>
        <v>0</v>
      </c>
      <c r="DA793" s="1333"/>
      <c r="DB793" s="1333"/>
      <c r="DC793" s="1333"/>
      <c r="DD793" s="1334"/>
      <c r="DE793" s="1332">
        <f t="shared" si="51"/>
        <v>0</v>
      </c>
      <c r="DF793" s="1333"/>
      <c r="DG793" s="1333"/>
      <c r="DH793" s="1333"/>
      <c r="DI793" s="1334"/>
      <c r="DJ793" s="1332">
        <f t="shared" si="52"/>
        <v>0</v>
      </c>
      <c r="DK793" s="1333"/>
      <c r="DL793" s="1333"/>
      <c r="DM793" s="1333"/>
      <c r="DN793" s="1334"/>
      <c r="DO793" s="1332">
        <f t="shared" si="53"/>
        <v>0</v>
      </c>
      <c r="DP793" s="1333"/>
      <c r="DQ793" s="1333"/>
      <c r="DR793" s="1333"/>
      <c r="DS793" s="1334"/>
      <c r="DT793" s="6"/>
      <c r="DU793" s="1332">
        <f t="shared" si="54"/>
        <v>0</v>
      </c>
      <c r="DV793" s="1333"/>
      <c r="DW793" s="1333"/>
      <c r="DX793" s="1333"/>
      <c r="DY793" s="1334"/>
      <c r="DZ793" s="1332">
        <f t="shared" si="55"/>
        <v>0</v>
      </c>
      <c r="EA793" s="1333"/>
      <c r="EB793" s="1333"/>
      <c r="EC793" s="1333"/>
      <c r="ED793" s="1334"/>
      <c r="EE793" s="1332">
        <f t="shared" si="56"/>
        <v>0</v>
      </c>
      <c r="EF793" s="1333"/>
      <c r="EG793" s="1333"/>
      <c r="EH793" s="1333"/>
      <c r="EI793" s="1334"/>
      <c r="EJ793" s="1332">
        <f t="shared" si="57"/>
        <v>0</v>
      </c>
      <c r="EK793" s="1333"/>
      <c r="EL793" s="1333"/>
      <c r="EM793" s="1333"/>
      <c r="EN793" s="1334"/>
      <c r="EO793" s="1332">
        <f t="shared" si="58"/>
        <v>0</v>
      </c>
      <c r="EP793" s="1333"/>
      <c r="EQ793" s="1333"/>
      <c r="ER793" s="1333"/>
      <c r="ES793" s="1334"/>
      <c r="ET793" s="1332">
        <f t="shared" si="59"/>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11"/>
      <c r="U794" s="1612"/>
      <c r="V794" s="1612"/>
      <c r="W794" s="1613"/>
      <c r="X794" s="1470"/>
      <c r="Y794" s="1471"/>
      <c r="Z794" s="1471"/>
      <c r="AA794" s="1471"/>
      <c r="AB794" s="1472"/>
      <c r="AC794" s="1358">
        <f t="shared" si="47"/>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8"/>
        <v>0</v>
      </c>
      <c r="CQ794" s="1333"/>
      <c r="CR794" s="1333"/>
      <c r="CS794" s="1333"/>
      <c r="CT794" s="1334"/>
      <c r="CU794" s="1332">
        <f t="shared" si="49"/>
        <v>0</v>
      </c>
      <c r="CV794" s="1333"/>
      <c r="CW794" s="1333"/>
      <c r="CX794" s="1333"/>
      <c r="CY794" s="1334"/>
      <c r="CZ794" s="1332">
        <f t="shared" si="50"/>
        <v>0</v>
      </c>
      <c r="DA794" s="1333"/>
      <c r="DB794" s="1333"/>
      <c r="DC794" s="1333"/>
      <c r="DD794" s="1334"/>
      <c r="DE794" s="1332">
        <f t="shared" si="51"/>
        <v>0</v>
      </c>
      <c r="DF794" s="1333"/>
      <c r="DG794" s="1333"/>
      <c r="DH794" s="1333"/>
      <c r="DI794" s="1334"/>
      <c r="DJ794" s="1332">
        <f t="shared" si="52"/>
        <v>0</v>
      </c>
      <c r="DK794" s="1333"/>
      <c r="DL794" s="1333"/>
      <c r="DM794" s="1333"/>
      <c r="DN794" s="1334"/>
      <c r="DO794" s="1332">
        <f t="shared" si="53"/>
        <v>0</v>
      </c>
      <c r="DP794" s="1333"/>
      <c r="DQ794" s="1333"/>
      <c r="DR794" s="1333"/>
      <c r="DS794" s="1334"/>
      <c r="DT794" s="6"/>
      <c r="DU794" s="1332">
        <f t="shared" si="54"/>
        <v>0</v>
      </c>
      <c r="DV794" s="1333"/>
      <c r="DW794" s="1333"/>
      <c r="DX794" s="1333"/>
      <c r="DY794" s="1334"/>
      <c r="DZ794" s="1332">
        <f t="shared" si="55"/>
        <v>0</v>
      </c>
      <c r="EA794" s="1333"/>
      <c r="EB794" s="1333"/>
      <c r="EC794" s="1333"/>
      <c r="ED794" s="1334"/>
      <c r="EE794" s="1332">
        <f t="shared" si="56"/>
        <v>0</v>
      </c>
      <c r="EF794" s="1333"/>
      <c r="EG794" s="1333"/>
      <c r="EH794" s="1333"/>
      <c r="EI794" s="1334"/>
      <c r="EJ794" s="1332">
        <f t="shared" si="57"/>
        <v>0</v>
      </c>
      <c r="EK794" s="1333"/>
      <c r="EL794" s="1333"/>
      <c r="EM794" s="1333"/>
      <c r="EN794" s="1334"/>
      <c r="EO794" s="1332">
        <f t="shared" si="58"/>
        <v>0</v>
      </c>
      <c r="EP794" s="1333"/>
      <c r="EQ794" s="1333"/>
      <c r="ER794" s="1333"/>
      <c r="ES794" s="1334"/>
      <c r="ET794" s="1332">
        <f t="shared" si="59"/>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11"/>
      <c r="U795" s="1612"/>
      <c r="V795" s="1612"/>
      <c r="W795" s="1613"/>
      <c r="X795" s="1470"/>
      <c r="Y795" s="1471"/>
      <c r="Z795" s="1471"/>
      <c r="AA795" s="1471"/>
      <c r="AB795" s="1472"/>
      <c r="AC795" s="1358">
        <f t="shared" si="47"/>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8"/>
        <v>0</v>
      </c>
      <c r="CQ795" s="1333"/>
      <c r="CR795" s="1333"/>
      <c r="CS795" s="1333"/>
      <c r="CT795" s="1334"/>
      <c r="CU795" s="1332">
        <f t="shared" si="49"/>
        <v>0</v>
      </c>
      <c r="CV795" s="1333"/>
      <c r="CW795" s="1333"/>
      <c r="CX795" s="1333"/>
      <c r="CY795" s="1334"/>
      <c r="CZ795" s="1332">
        <f t="shared" si="50"/>
        <v>0</v>
      </c>
      <c r="DA795" s="1333"/>
      <c r="DB795" s="1333"/>
      <c r="DC795" s="1333"/>
      <c r="DD795" s="1334"/>
      <c r="DE795" s="1332">
        <f t="shared" si="51"/>
        <v>0</v>
      </c>
      <c r="DF795" s="1333"/>
      <c r="DG795" s="1333"/>
      <c r="DH795" s="1333"/>
      <c r="DI795" s="1334"/>
      <c r="DJ795" s="1332">
        <f t="shared" si="52"/>
        <v>0</v>
      </c>
      <c r="DK795" s="1333"/>
      <c r="DL795" s="1333"/>
      <c r="DM795" s="1333"/>
      <c r="DN795" s="1334"/>
      <c r="DO795" s="1332">
        <f t="shared" si="53"/>
        <v>0</v>
      </c>
      <c r="DP795" s="1333"/>
      <c r="DQ795" s="1333"/>
      <c r="DR795" s="1333"/>
      <c r="DS795" s="1334"/>
      <c r="DT795" s="6"/>
      <c r="DU795" s="1332">
        <f t="shared" si="54"/>
        <v>0</v>
      </c>
      <c r="DV795" s="1333"/>
      <c r="DW795" s="1333"/>
      <c r="DX795" s="1333"/>
      <c r="DY795" s="1334"/>
      <c r="DZ795" s="1332">
        <f t="shared" si="55"/>
        <v>0</v>
      </c>
      <c r="EA795" s="1333"/>
      <c r="EB795" s="1333"/>
      <c r="EC795" s="1333"/>
      <c r="ED795" s="1334"/>
      <c r="EE795" s="1332">
        <f t="shared" si="56"/>
        <v>0</v>
      </c>
      <c r="EF795" s="1333"/>
      <c r="EG795" s="1333"/>
      <c r="EH795" s="1333"/>
      <c r="EI795" s="1334"/>
      <c r="EJ795" s="1332">
        <f t="shared" si="57"/>
        <v>0</v>
      </c>
      <c r="EK795" s="1333"/>
      <c r="EL795" s="1333"/>
      <c r="EM795" s="1333"/>
      <c r="EN795" s="1334"/>
      <c r="EO795" s="1332">
        <f t="shared" si="58"/>
        <v>0</v>
      </c>
      <c r="EP795" s="1333"/>
      <c r="EQ795" s="1333"/>
      <c r="ER795" s="1333"/>
      <c r="ES795" s="1334"/>
      <c r="ET795" s="1332">
        <f t="shared" si="59"/>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11"/>
      <c r="U796" s="1612"/>
      <c r="V796" s="1612"/>
      <c r="W796" s="1613"/>
      <c r="X796" s="1470"/>
      <c r="Y796" s="1471"/>
      <c r="Z796" s="1471"/>
      <c r="AA796" s="1471"/>
      <c r="AB796" s="1472"/>
      <c r="AC796" s="1358">
        <f t="shared" si="47"/>
        <v>0</v>
      </c>
      <c r="AD796" s="1359"/>
      <c r="AE796" s="1359"/>
      <c r="AF796" s="1359"/>
      <c r="AG796" s="1360"/>
      <c r="AH796"/>
      <c r="AI796"/>
      <c r="AJ796"/>
      <c r="AK796"/>
      <c r="AL796"/>
      <c r="AM796"/>
      <c r="AN796"/>
      <c r="AO796"/>
      <c r="AP796"/>
      <c r="AQ796"/>
      <c r="AR796"/>
      <c r="AS796"/>
      <c r="AT796"/>
      <c r="AU796"/>
      <c r="AV796"/>
      <c r="AW796"/>
      <c r="AX796"/>
      <c r="AY796"/>
      <c r="AZ796" s="3"/>
      <c r="CP796" s="1332">
        <f t="shared" si="48"/>
        <v>0</v>
      </c>
      <c r="CQ796" s="1333"/>
      <c r="CR796" s="1333"/>
      <c r="CS796" s="1333"/>
      <c r="CT796" s="1334"/>
      <c r="CU796" s="1332">
        <f t="shared" si="49"/>
        <v>0</v>
      </c>
      <c r="CV796" s="1333"/>
      <c r="CW796" s="1333"/>
      <c r="CX796" s="1333"/>
      <c r="CY796" s="1334"/>
      <c r="CZ796" s="1332">
        <f t="shared" si="50"/>
        <v>0</v>
      </c>
      <c r="DA796" s="1333"/>
      <c r="DB796" s="1333"/>
      <c r="DC796" s="1333"/>
      <c r="DD796" s="1334"/>
      <c r="DE796" s="1332">
        <f t="shared" si="51"/>
        <v>0</v>
      </c>
      <c r="DF796" s="1333"/>
      <c r="DG796" s="1333"/>
      <c r="DH796" s="1333"/>
      <c r="DI796" s="1334"/>
      <c r="DJ796" s="1332">
        <f t="shared" si="52"/>
        <v>0</v>
      </c>
      <c r="DK796" s="1333"/>
      <c r="DL796" s="1333"/>
      <c r="DM796" s="1333"/>
      <c r="DN796" s="1334"/>
      <c r="DO796" s="1332">
        <f t="shared" si="53"/>
        <v>0</v>
      </c>
      <c r="DP796" s="1333"/>
      <c r="DQ796" s="1333"/>
      <c r="DR796" s="1333"/>
      <c r="DS796" s="1334"/>
      <c r="DT796" s="6"/>
      <c r="DU796" s="1332">
        <f t="shared" si="54"/>
        <v>0</v>
      </c>
      <c r="DV796" s="1333"/>
      <c r="DW796" s="1333"/>
      <c r="DX796" s="1333"/>
      <c r="DY796" s="1334"/>
      <c r="DZ796" s="1332">
        <f t="shared" si="55"/>
        <v>0</v>
      </c>
      <c r="EA796" s="1333"/>
      <c r="EB796" s="1333"/>
      <c r="EC796" s="1333"/>
      <c r="ED796" s="1334"/>
      <c r="EE796" s="1332">
        <f t="shared" si="56"/>
        <v>0</v>
      </c>
      <c r="EF796" s="1333"/>
      <c r="EG796" s="1333"/>
      <c r="EH796" s="1333"/>
      <c r="EI796" s="1334"/>
      <c r="EJ796" s="1332">
        <f t="shared" si="57"/>
        <v>0</v>
      </c>
      <c r="EK796" s="1333"/>
      <c r="EL796" s="1333"/>
      <c r="EM796" s="1333"/>
      <c r="EN796" s="1334"/>
      <c r="EO796" s="1332">
        <f t="shared" si="58"/>
        <v>0</v>
      </c>
      <c r="EP796" s="1333"/>
      <c r="EQ796" s="1333"/>
      <c r="ER796" s="1333"/>
      <c r="ES796" s="1334"/>
      <c r="ET796" s="1332">
        <f t="shared" si="59"/>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32">
        <f>SUM(O787:S796)</f>
        <v>0</v>
      </c>
      <c r="P797" s="1632"/>
      <c r="Q797" s="1632"/>
      <c r="R797" s="1632"/>
      <c r="S797" s="1632"/>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340321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4083852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33</v>
      </c>
      <c r="CQ802" s="1349"/>
      <c r="CR802" s="1349"/>
      <c r="CS802" s="1349"/>
      <c r="CT802" s="1350"/>
      <c r="CU802" s="1348">
        <f>CU753+CU777+CU797</f>
        <v>66</v>
      </c>
      <c r="CV802" s="1349"/>
      <c r="CW802" s="1349"/>
      <c r="CX802" s="1349"/>
      <c r="CY802" s="1350"/>
      <c r="CZ802" s="1348">
        <f>CZ753+CZ777+CZ797</f>
        <v>132</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359</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0">
        <v>231</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20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53448</v>
      </c>
      <c r="AA808" s="1630"/>
      <c r="AB808" s="1630"/>
      <c r="AC808" s="1630"/>
      <c r="AD808" s="1630"/>
      <c r="AE808" s="163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5367948</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f>5300/2</f>
        <v>2650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2650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50" t="s">
        <v>334</v>
      </c>
      <c r="Q816" s="1651"/>
      <c r="R816" s="1651"/>
      <c r="S816" s="1651"/>
      <c r="T816" s="1651"/>
      <c r="U816" s="1651"/>
      <c r="V816" s="1651"/>
      <c r="W816" s="1651"/>
      <c r="X816" s="1651"/>
      <c r="Y816" s="1652"/>
      <c r="Z816" s="1477"/>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5300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9457100</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3" t="s">
        <v>126</v>
      </c>
      <c r="N823" s="1693"/>
      <c r="O823" s="1693"/>
      <c r="P823" s="1694"/>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5"/>
      <c r="N824" s="1695"/>
      <c r="O824" s="1695"/>
      <c r="P824" s="1696"/>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485"/>
      <c r="E825" s="1485"/>
      <c r="F825" s="1485"/>
      <c r="G825" s="1485"/>
      <c r="H825" s="1485"/>
      <c r="I825" s="48"/>
      <c r="J825" s="48"/>
      <c r="K825" s="48"/>
      <c r="L825" s="49"/>
      <c r="M825" s="1607"/>
      <c r="N825" s="1607"/>
      <c r="O825" s="1607"/>
      <c r="P825" s="1607"/>
      <c r="Q825" s="1607"/>
      <c r="R825" s="1607"/>
      <c r="S825" s="1607"/>
      <c r="T825" s="1607"/>
      <c r="U825" s="1607"/>
      <c r="V825" s="1607"/>
      <c r="W825" s="1607"/>
      <c r="X825" s="1607"/>
      <c r="Y825" s="1607"/>
      <c r="Z825" s="1607"/>
      <c r="AA825" s="1607"/>
      <c r="AB825" s="1607"/>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1"/>
      <c r="E826" s="1441"/>
      <c r="F826" s="1441"/>
      <c r="G826" s="1441"/>
      <c r="H826" s="1441"/>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1"/>
      <c r="E827" s="1441"/>
      <c r="F827" s="1441"/>
      <c r="G827" s="1441"/>
      <c r="H827" s="1441"/>
      <c r="I827" s="60"/>
      <c r="J827" s="60"/>
      <c r="K827" s="60"/>
      <c r="L827" s="61"/>
      <c r="M827" s="1607"/>
      <c r="N827" s="1607"/>
      <c r="O827" s="1607"/>
      <c r="P827" s="1607"/>
      <c r="Q827" s="1607"/>
      <c r="R827" s="1607"/>
      <c r="S827" s="1607"/>
      <c r="T827" s="1607"/>
      <c r="U827" s="1607"/>
      <c r="V827" s="1607"/>
      <c r="W827" s="1607"/>
      <c r="X827" s="1607"/>
      <c r="Y827" s="1607"/>
      <c r="Z827" s="1607"/>
      <c r="AA827" s="1607"/>
      <c r="AB827" s="1607"/>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763</v>
      </c>
      <c r="D828" s="1441"/>
      <c r="E828" s="1441"/>
      <c r="F828" s="1441"/>
      <c r="G828" s="1441"/>
      <c r="H828" s="1441"/>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460</v>
      </c>
      <c r="D829" s="1441"/>
      <c r="E829" s="1441"/>
      <c r="F829" s="1441"/>
      <c r="G829" s="1441"/>
      <c r="H829" s="1441"/>
      <c r="I829" s="60"/>
      <c r="J829" s="60"/>
      <c r="K829" s="60"/>
      <c r="L829" s="61"/>
      <c r="M829" s="1607"/>
      <c r="N829" s="1607"/>
      <c r="O829" s="1607"/>
      <c r="P829" s="1607"/>
      <c r="Q829" s="1607"/>
      <c r="R829" s="1607"/>
      <c r="S829" s="1607"/>
      <c r="T829" s="1607"/>
      <c r="U829" s="1607"/>
      <c r="V829" s="1607"/>
      <c r="W829" s="1607"/>
      <c r="X829" s="1607"/>
      <c r="Y829" s="1607"/>
      <c r="Z829" s="1607"/>
      <c r="AA829" s="1607"/>
      <c r="AB829" s="1607"/>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8" t="s">
        <v>784</v>
      </c>
      <c r="D830" s="1441"/>
      <c r="E830" s="1441"/>
      <c r="F830" s="1441"/>
      <c r="G830" s="1441"/>
      <c r="H830" s="1441"/>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50" t="s">
        <v>2681</v>
      </c>
      <c r="G831" s="1651"/>
      <c r="H831" s="1651"/>
      <c r="I831" s="1651"/>
      <c r="J831" s="1651"/>
      <c r="K831" s="1651"/>
      <c r="L831" s="1651"/>
      <c r="M831" s="1607">
        <v>0</v>
      </c>
      <c r="N831" s="1607"/>
      <c r="O831" s="1607"/>
      <c r="P831" s="1607"/>
      <c r="Q831" s="1607">
        <v>0</v>
      </c>
      <c r="R831" s="1607"/>
      <c r="S831" s="1607"/>
      <c r="T831" s="1607"/>
      <c r="U831" s="1607">
        <v>0</v>
      </c>
      <c r="V831" s="1607"/>
      <c r="W831" s="1607"/>
      <c r="X831" s="1607"/>
      <c r="Y831" s="1607">
        <v>0</v>
      </c>
      <c r="Z831" s="1607"/>
      <c r="AA831" s="1607"/>
      <c r="AB831" s="160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7">
        <f>SUM(M825:P831)</f>
        <v>0</v>
      </c>
      <c r="N832" s="1657"/>
      <c r="O832" s="1657"/>
      <c r="P832" s="1657"/>
      <c r="Q832" s="1657">
        <f>SUM(Q825:T831)</f>
        <v>0</v>
      </c>
      <c r="R832" s="1657"/>
      <c r="S832" s="1657"/>
      <c r="T832" s="1657"/>
      <c r="U832" s="1657">
        <f>SUM(U825:X831)</f>
        <v>0</v>
      </c>
      <c r="V832" s="1657"/>
      <c r="W832" s="1657"/>
      <c r="X832" s="1657"/>
      <c r="Y832" s="1657">
        <f>SUM(Y825:AB831)</f>
        <v>0</v>
      </c>
      <c r="Z832" s="1657"/>
      <c r="AA832" s="1657"/>
      <c r="AB832" s="1657"/>
      <c r="AC832" s="1657">
        <f>SUM(AC825:AF831)</f>
        <v>0</v>
      </c>
      <c r="AD832" s="1657"/>
      <c r="AE832" s="1657"/>
      <c r="AF832" s="1657"/>
      <c r="AG832" s="1657">
        <f>SUM(AG825:AJ831)</f>
        <v>0</v>
      </c>
      <c r="AH832" s="1657"/>
      <c r="AI832" s="1657"/>
      <c r="AJ832" s="165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3" t="s">
        <v>2682</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0"/>
      <c r="BJ841" s="1670"/>
      <c r="BK841" s="1670"/>
      <c r="BL841" s="167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6">
        <v>25000</v>
      </c>
      <c r="X842" s="1646"/>
      <c r="Y842" s="1646"/>
      <c r="Z842" s="1646"/>
      <c r="AA842" s="1646"/>
      <c r="AB842" s="1646"/>
      <c r="AC842" s="1646"/>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6">
        <v>50000</v>
      </c>
      <c r="X843" s="1646"/>
      <c r="Y843" s="1646"/>
      <c r="Z843" s="1646"/>
      <c r="AA843" s="1646"/>
      <c r="AB843" s="1646"/>
      <c r="AC843" s="1646"/>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6">
        <v>125000</v>
      </c>
      <c r="X844" s="1646"/>
      <c r="Y844" s="1646"/>
      <c r="Z844" s="1646"/>
      <c r="AA844" s="1646"/>
      <c r="AB844" s="1646"/>
      <c r="AC844" s="1646"/>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6">
        <v>1000000</v>
      </c>
      <c r="X845" s="1646"/>
      <c r="Y845" s="1646"/>
      <c r="Z845" s="1646"/>
      <c r="AA845" s="1646"/>
      <c r="AB845" s="1646"/>
      <c r="AC845" s="1646"/>
      <c r="AZ845" s="30"/>
      <c r="BA845" s="30"/>
      <c r="BB845" s="14"/>
      <c r="BC845" s="14"/>
      <c r="BD845" s="14"/>
      <c r="BE845" s="14"/>
      <c r="BF845" s="14"/>
      <c r="BG845" s="14"/>
      <c r="BH845" s="14"/>
      <c r="BI845" s="14"/>
      <c r="BJ845" s="14"/>
      <c r="BK845" s="14"/>
      <c r="BL845" s="14"/>
    </row>
    <row r="846" spans="1:64" ht="12.95" customHeight="1">
      <c r="J846" s="45" t="s">
        <v>170</v>
      </c>
      <c r="K846" s="5"/>
      <c r="L846" s="5"/>
      <c r="M846" s="1650" t="s">
        <v>2683</v>
      </c>
      <c r="N846" s="1651"/>
      <c r="O846" s="1651"/>
      <c r="P846" s="1651"/>
      <c r="Q846" s="1651"/>
      <c r="R846" s="1651"/>
      <c r="S846" s="1651"/>
      <c r="T846" s="1651"/>
      <c r="U846" s="1651"/>
      <c r="V846" s="1652"/>
      <c r="W846" s="1646">
        <f>16000+10000</f>
        <v>26000</v>
      </c>
      <c r="X846" s="1646"/>
      <c r="Y846" s="1646"/>
      <c r="Z846" s="1646"/>
      <c r="AA846" s="1646"/>
      <c r="AB846" s="1646"/>
      <c r="AC846" s="1646"/>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1226000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2"/>
      <c r="BH848" s="1642"/>
      <c r="BI848" s="1642"/>
      <c r="BJ848" s="1642"/>
      <c r="BK848" s="1642"/>
      <c r="BL848" s="1642"/>
    </row>
    <row r="849" spans="3:55" ht="12.95" customHeight="1">
      <c r="C849" s="2" t="s">
        <v>344</v>
      </c>
      <c r="J849" s="1408" t="s">
        <v>345</v>
      </c>
      <c r="K849" s="1409"/>
      <c r="L849" s="1409"/>
      <c r="M849" s="1409"/>
      <c r="N849" s="1409"/>
      <c r="O849" s="1409"/>
      <c r="P849" s="1409"/>
      <c r="Q849" s="1409"/>
      <c r="R849" s="1409"/>
      <c r="S849" s="1409"/>
      <c r="T849" s="1409"/>
      <c r="U849" s="1409"/>
      <c r="V849" s="1411"/>
      <c r="W849" s="1477">
        <v>196812</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61"/>
      <c r="X851" s="1661"/>
      <c r="Y851" s="1661"/>
      <c r="Z851" s="1661"/>
      <c r="AA851" s="1661"/>
      <c r="AB851" s="1661"/>
      <c r="AC851" s="1661"/>
      <c r="AZ851" s="1627"/>
      <c r="BA851" s="1627"/>
      <c r="BB851" s="14"/>
      <c r="BC851" s="14"/>
    </row>
    <row r="852" spans="3:55" ht="12.95" customHeight="1">
      <c r="J852" s="45" t="s">
        <v>351</v>
      </c>
      <c r="K852" s="5"/>
      <c r="L852" s="5"/>
      <c r="M852" s="5"/>
      <c r="N852" s="5"/>
      <c r="O852" s="5"/>
      <c r="P852" s="5"/>
      <c r="Q852" s="5"/>
      <c r="R852" s="5"/>
      <c r="S852" s="5"/>
      <c r="T852" s="5"/>
      <c r="U852" s="5"/>
      <c r="V852" s="46"/>
      <c r="W852" s="1661">
        <v>331612</v>
      </c>
      <c r="X852" s="1661"/>
      <c r="Y852" s="1661"/>
      <c r="Z852" s="1661"/>
      <c r="AA852" s="1661"/>
      <c r="AB852" s="1661"/>
      <c r="AC852" s="1661"/>
      <c r="AZ852" s="30"/>
      <c r="BA852" s="30"/>
      <c r="BB852" s="14"/>
      <c r="BC852" s="14"/>
    </row>
    <row r="853" spans="3:55" ht="12.95" customHeight="1">
      <c r="J853" s="45" t="s">
        <v>460</v>
      </c>
      <c r="K853" s="5"/>
      <c r="L853" s="5"/>
      <c r="M853" s="5"/>
      <c r="N853" s="5"/>
      <c r="O853" s="5"/>
      <c r="P853" s="5"/>
      <c r="Q853" s="5"/>
      <c r="R853" s="5"/>
      <c r="S853" s="5"/>
      <c r="T853" s="5"/>
      <c r="U853" s="5"/>
      <c r="V853" s="46"/>
      <c r="W853" s="1661">
        <v>658013</v>
      </c>
      <c r="X853" s="1661"/>
      <c r="Y853" s="1661"/>
      <c r="Z853" s="1661"/>
      <c r="AA853" s="1661"/>
      <c r="AB853" s="1661"/>
      <c r="AC853" s="1661"/>
      <c r="AZ853" s="30"/>
      <c r="BA853" s="30"/>
      <c r="BB853" s="14"/>
      <c r="BC853" s="14"/>
    </row>
    <row r="854" spans="3:55" ht="12.95" customHeight="1">
      <c r="J854" s="62" t="s">
        <v>621</v>
      </c>
      <c r="K854" s="5"/>
      <c r="L854" s="5"/>
      <c r="M854" s="5"/>
      <c r="N854" s="5"/>
      <c r="O854" s="5"/>
      <c r="P854" s="5"/>
      <c r="Q854" s="5"/>
      <c r="R854" s="5"/>
      <c r="S854" s="5"/>
      <c r="T854" s="5"/>
      <c r="U854" s="5"/>
      <c r="V854" s="46"/>
      <c r="W854" s="1661">
        <f>268023+71932</f>
        <v>339955</v>
      </c>
      <c r="X854" s="1661"/>
      <c r="Y854" s="1661"/>
      <c r="Z854" s="1661"/>
      <c r="AA854" s="1661"/>
      <c r="AB854" s="1661"/>
      <c r="AC854" s="1661"/>
      <c r="AZ854" s="34"/>
      <c r="BA854" s="34"/>
      <c r="BB854" s="34"/>
      <c r="BC854" s="34"/>
    </row>
    <row r="855" spans="3:55" ht="12.95" customHeight="1">
      <c r="J855" s="63"/>
      <c r="K855" s="48"/>
      <c r="L855" s="48"/>
      <c r="M855" s="48"/>
      <c r="N855" s="48"/>
      <c r="O855" s="48"/>
      <c r="P855" s="48"/>
      <c r="Q855" s="48"/>
      <c r="R855" s="48"/>
      <c r="S855" s="48"/>
      <c r="T855" s="48"/>
      <c r="U855" s="48"/>
      <c r="V855" s="54" t="s">
        <v>272</v>
      </c>
      <c r="W855" s="1662">
        <f>SUM(W851:W854)</f>
        <v>1329580</v>
      </c>
      <c r="X855" s="1662"/>
      <c r="Y855" s="1662"/>
      <c r="Z855" s="1662"/>
      <c r="AA855" s="1662"/>
      <c r="AB855" s="1662"/>
      <c r="AC855" s="1662"/>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8">
        <v>288560</v>
      </c>
      <c r="X857" s="1659"/>
      <c r="Y857" s="1659"/>
      <c r="Z857" s="1659"/>
      <c r="AA857" s="1659"/>
      <c r="AB857" s="1659"/>
      <c r="AC857" s="1660"/>
      <c r="AD857" s="528"/>
      <c r="AZ857" s="34"/>
      <c r="BA857" s="34"/>
      <c r="BB857" s="34"/>
      <c r="BC857" s="34"/>
    </row>
    <row r="858" spans="3:55" ht="12.95" customHeight="1">
      <c r="C858" s="2" t="s">
        <v>347</v>
      </c>
      <c r="J858" s="121" t="s">
        <v>1656</v>
      </c>
      <c r="K858" s="5"/>
      <c r="L858" s="5"/>
      <c r="M858" s="5"/>
      <c r="N858" s="5"/>
      <c r="O858" s="5"/>
      <c r="P858" s="5"/>
      <c r="Q858" s="5"/>
      <c r="R858" s="5"/>
      <c r="S858" s="5"/>
      <c r="T858" s="1644">
        <v>7</v>
      </c>
      <c r="U858" s="1606"/>
      <c r="V858" s="164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8">
        <v>230788</v>
      </c>
      <c r="X859" s="1659"/>
      <c r="Y859" s="1659"/>
      <c r="Z859" s="1659"/>
      <c r="AA859" s="1659"/>
      <c r="AB859" s="1659"/>
      <c r="AC859" s="1660"/>
      <c r="AD859" s="533"/>
      <c r="AZ859" s="34"/>
      <c r="BA859" s="34"/>
      <c r="BB859" s="34"/>
      <c r="BC859" s="34"/>
    </row>
    <row r="860" spans="3:55" ht="12.95" customHeight="1">
      <c r="C860" s="2"/>
      <c r="J860" s="121" t="s">
        <v>1657</v>
      </c>
      <c r="K860" s="5"/>
      <c r="L860" s="5"/>
      <c r="M860" s="5"/>
      <c r="N860" s="5"/>
      <c r="O860" s="5"/>
      <c r="P860" s="5"/>
      <c r="Q860" s="5"/>
      <c r="R860" s="5"/>
      <c r="S860" s="5"/>
      <c r="T860" s="1644">
        <v>2</v>
      </c>
      <c r="U860" s="1606"/>
      <c r="V860" s="1645"/>
      <c r="W860" s="874"/>
      <c r="X860" s="875"/>
      <c r="Y860" s="875"/>
      <c r="Z860" s="875"/>
      <c r="AA860" s="875"/>
      <c r="AB860" s="875"/>
      <c r="AC860" s="876"/>
      <c r="AD860" s="533"/>
      <c r="AZ860" s="34"/>
      <c r="BA860" s="34"/>
      <c r="BB860" s="34"/>
      <c r="BC860" s="34"/>
    </row>
    <row r="861" spans="3:55" ht="12.95" customHeight="1">
      <c r="J861" s="45" t="s">
        <v>170</v>
      </c>
      <c r="K861" s="5"/>
      <c r="L861" s="5"/>
      <c r="M861" s="1650" t="s">
        <v>2684</v>
      </c>
      <c r="N861" s="1651"/>
      <c r="O861" s="1651"/>
      <c r="P861" s="1651"/>
      <c r="Q861" s="1651"/>
      <c r="R861" s="1651"/>
      <c r="S861" s="1651"/>
      <c r="T861" s="1651"/>
      <c r="U861" s="1651"/>
      <c r="V861" s="1652"/>
      <c r="W861" s="1658">
        <v>162750</v>
      </c>
      <c r="X861" s="1659"/>
      <c r="Y861" s="1659"/>
      <c r="Z861" s="1659"/>
      <c r="AA861" s="1659"/>
      <c r="AB861" s="1659"/>
      <c r="AC861" s="1660"/>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7">
        <f>SUM(W857:W861)</f>
        <v>682098</v>
      </c>
      <c r="X862" s="1648"/>
      <c r="Y862" s="1648"/>
      <c r="Z862" s="1648"/>
      <c r="AA862" s="1648"/>
      <c r="AB862" s="1648"/>
      <c r="AC862" s="1649"/>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8">
        <f>1700*231</f>
        <v>392700</v>
      </c>
      <c r="X863" s="1659"/>
      <c r="Y863" s="1659"/>
      <c r="Z863" s="1659"/>
      <c r="AA863" s="1659"/>
      <c r="AB863" s="1659"/>
      <c r="AC863" s="1660"/>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6">
        <v>128096</v>
      </c>
      <c r="X865" s="1646"/>
      <c r="Y865" s="1646"/>
      <c r="Z865" s="1646"/>
      <c r="AA865" s="1646"/>
      <c r="AB865" s="1646"/>
      <c r="AC865" s="1646"/>
      <c r="AU865" s="14"/>
      <c r="AZ865" s="34"/>
      <c r="BA865" s="34"/>
      <c r="BB865" s="34"/>
      <c r="BC865" s="34"/>
    </row>
    <row r="866" spans="3:55" ht="12.95" customHeight="1">
      <c r="J866" s="45" t="s">
        <v>523</v>
      </c>
      <c r="K866" s="5"/>
      <c r="L866" s="5"/>
      <c r="M866" s="5"/>
      <c r="N866" s="5"/>
      <c r="O866" s="5"/>
      <c r="P866" s="5"/>
      <c r="Q866" s="5"/>
      <c r="R866" s="5"/>
      <c r="S866" s="5"/>
      <c r="T866" s="5"/>
      <c r="U866" s="5"/>
      <c r="V866" s="46"/>
      <c r="W866" s="1646">
        <v>138600</v>
      </c>
      <c r="X866" s="1646"/>
      <c r="Y866" s="1646"/>
      <c r="Z866" s="1646"/>
      <c r="AA866" s="1646"/>
      <c r="AB866" s="1646"/>
      <c r="AC866" s="1646"/>
      <c r="AU866" s="4"/>
      <c r="AZ866" s="34"/>
      <c r="BA866" s="34"/>
      <c r="BB866" s="34"/>
      <c r="BC866" s="34"/>
    </row>
    <row r="867" spans="3:55" ht="12.95" customHeight="1">
      <c r="J867" s="45" t="s">
        <v>522</v>
      </c>
      <c r="K867" s="5"/>
      <c r="L867" s="5"/>
      <c r="M867" s="5"/>
      <c r="N867" s="5"/>
      <c r="O867" s="5"/>
      <c r="P867" s="5"/>
      <c r="Q867" s="5"/>
      <c r="R867" s="5"/>
      <c r="S867" s="5"/>
      <c r="T867" s="5"/>
      <c r="U867" s="5"/>
      <c r="V867" s="46"/>
      <c r="W867" s="1646">
        <v>425792</v>
      </c>
      <c r="X867" s="1646"/>
      <c r="Y867" s="1646"/>
      <c r="Z867" s="1646"/>
      <c r="AA867" s="1646"/>
      <c r="AB867" s="1646"/>
      <c r="AC867" s="1646"/>
      <c r="AU867" s="4"/>
      <c r="AZ867" s="34"/>
      <c r="BA867" s="34"/>
      <c r="BB867" s="34"/>
      <c r="BC867" s="34"/>
    </row>
    <row r="868" spans="3:55" ht="12.95" customHeight="1">
      <c r="J868" s="45" t="s">
        <v>521</v>
      </c>
      <c r="K868" s="5"/>
      <c r="L868" s="5"/>
      <c r="M868" s="5"/>
      <c r="N868" s="5"/>
      <c r="O868" s="5"/>
      <c r="P868" s="5"/>
      <c r="Q868" s="5"/>
      <c r="R868" s="5"/>
      <c r="S868" s="5"/>
      <c r="T868" s="5"/>
      <c r="U868" s="5"/>
      <c r="V868" s="46"/>
      <c r="W868" s="1646">
        <v>50000</v>
      </c>
      <c r="X868" s="1646"/>
      <c r="Y868" s="1646"/>
      <c r="Z868" s="1646"/>
      <c r="AA868" s="1646"/>
      <c r="AB868" s="1646"/>
      <c r="AC868" s="1646"/>
      <c r="AU868" s="4"/>
      <c r="AZ868" s="34"/>
      <c r="BA868" s="34"/>
      <c r="BB868" s="34"/>
      <c r="BC868" s="34"/>
    </row>
    <row r="869" spans="3:55" ht="12.95" customHeight="1">
      <c r="J869" s="45" t="s">
        <v>520</v>
      </c>
      <c r="K869" s="5"/>
      <c r="L869" s="5"/>
      <c r="M869" s="5"/>
      <c r="N869" s="5"/>
      <c r="O869" s="5"/>
      <c r="P869" s="5"/>
      <c r="Q869" s="5"/>
      <c r="R869" s="5"/>
      <c r="S869" s="5"/>
      <c r="T869" s="5"/>
      <c r="U869" s="5"/>
      <c r="V869" s="46"/>
      <c r="W869" s="1646">
        <v>35000</v>
      </c>
      <c r="X869" s="1646"/>
      <c r="Y869" s="1646"/>
      <c r="Z869" s="1646"/>
      <c r="AA869" s="1646"/>
      <c r="AB869" s="1646"/>
      <c r="AC869" s="1646"/>
      <c r="AU869" s="4"/>
      <c r="AZ869" s="34"/>
      <c r="BA869" s="34"/>
      <c r="BB869" s="34"/>
      <c r="BC869" s="34"/>
    </row>
    <row r="870" spans="3:55" ht="12.95" customHeight="1">
      <c r="J870" s="45" t="s">
        <v>519</v>
      </c>
      <c r="K870" s="5"/>
      <c r="L870" s="5"/>
      <c r="M870" s="5"/>
      <c r="N870" s="5"/>
      <c r="O870" s="5"/>
      <c r="P870" s="5"/>
      <c r="Q870" s="5"/>
      <c r="R870" s="5"/>
      <c r="S870" s="5"/>
      <c r="T870" s="5"/>
      <c r="U870" s="5"/>
      <c r="V870" s="46"/>
      <c r="W870" s="1646">
        <v>92190</v>
      </c>
      <c r="X870" s="1646"/>
      <c r="Y870" s="1646"/>
      <c r="Z870" s="1646"/>
      <c r="AA870" s="1646"/>
      <c r="AB870" s="1646"/>
      <c r="AC870" s="1646"/>
      <c r="AU870" s="4"/>
      <c r="AZ870" s="34"/>
      <c r="BA870" s="34"/>
      <c r="BB870" s="34"/>
      <c r="BC870" s="34"/>
    </row>
    <row r="871" spans="3:55" ht="12.95" customHeight="1">
      <c r="J871" s="45" t="s">
        <v>170</v>
      </c>
      <c r="K871" s="5"/>
      <c r="L871" s="5"/>
      <c r="M871" s="1650" t="s">
        <v>2723</v>
      </c>
      <c r="N871" s="1651"/>
      <c r="O871" s="1651"/>
      <c r="P871" s="1651"/>
      <c r="Q871" s="1651"/>
      <c r="R871" s="1651"/>
      <c r="S871" s="1651"/>
      <c r="T871" s="1651"/>
      <c r="U871" s="1651"/>
      <c r="V871" s="1652"/>
      <c r="W871" s="1646">
        <v>145935</v>
      </c>
      <c r="X871" s="1646"/>
      <c r="Y871" s="1646"/>
      <c r="Z871" s="1646"/>
      <c r="AA871" s="1646"/>
      <c r="AB871" s="1646"/>
      <c r="AC871" s="1646"/>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8">
        <f>SUM(W865:W871)</f>
        <v>1015613</v>
      </c>
      <c r="X872" s="1608"/>
      <c r="Y872" s="1608"/>
      <c r="Z872" s="1608"/>
      <c r="AA872" s="1608"/>
      <c r="AB872" s="1608"/>
      <c r="AC872" s="16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50" t="s">
        <v>2685</v>
      </c>
      <c r="N874" s="1651"/>
      <c r="O874" s="1651"/>
      <c r="P874" s="1651"/>
      <c r="Q874" s="1651"/>
      <c r="R874" s="1651"/>
      <c r="S874" s="1651"/>
      <c r="T874" s="1651"/>
      <c r="U874" s="1651"/>
      <c r="V874" s="1652"/>
      <c r="W874" s="1477"/>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50" t="s">
        <v>334</v>
      </c>
      <c r="N875" s="1651"/>
      <c r="O875" s="1651"/>
      <c r="P875" s="1651"/>
      <c r="Q875" s="1651"/>
      <c r="R875" s="1651"/>
      <c r="S875" s="1651"/>
      <c r="T875" s="1651"/>
      <c r="U875" s="1651"/>
      <c r="V875" s="1652"/>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50" t="s">
        <v>334</v>
      </c>
      <c r="N876" s="1651"/>
      <c r="O876" s="1651"/>
      <c r="P876" s="1651"/>
      <c r="Q876" s="1651"/>
      <c r="R876" s="1651"/>
      <c r="S876" s="1651"/>
      <c r="T876" s="1651"/>
      <c r="U876" s="1651"/>
      <c r="V876" s="1652"/>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50" t="s">
        <v>334</v>
      </c>
      <c r="N877" s="1651"/>
      <c r="O877" s="1651"/>
      <c r="P877" s="1651"/>
      <c r="Q877" s="1651"/>
      <c r="R877" s="1651"/>
      <c r="S877" s="1651"/>
      <c r="T877" s="1651"/>
      <c r="U877" s="1651"/>
      <c r="V877" s="1652"/>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50" t="s">
        <v>334</v>
      </c>
      <c r="N878" s="1651"/>
      <c r="O878" s="1651"/>
      <c r="P878" s="1651"/>
      <c r="Q878" s="1651"/>
      <c r="R878" s="1651"/>
      <c r="S878" s="1651"/>
      <c r="T878" s="1651"/>
      <c r="U878" s="1651"/>
      <c r="V878" s="1652"/>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4842803</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3">
        <f>O797+O777+G753</f>
        <v>231</v>
      </c>
      <c r="AD884" s="1653"/>
      <c r="AE884" s="1653"/>
      <c r="AF884" s="1653"/>
      <c r="AG884" s="1653"/>
      <c r="AH884" s="1654"/>
      <c r="AL884" s="4"/>
      <c r="AM884" s="4"/>
      <c r="AN884" s="4"/>
      <c r="AO884" s="4"/>
      <c r="AP884" s="4"/>
      <c r="AQ884" s="4"/>
      <c r="AR884" s="4"/>
      <c r="AS884" s="4"/>
      <c r="AT884" s="4"/>
      <c r="AZ884" s="34"/>
      <c r="BA884" s="34"/>
      <c r="BB884" s="34"/>
      <c r="BC884" s="34"/>
    </row>
    <row r="885" spans="3:55" ht="12.9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08">
        <f>IF(ISERROR((ROUNDDOWN(AC883/AC884,0))),0,(ROUNDDOWN(AC883/AC884,0)))</f>
        <v>20964</v>
      </c>
      <c r="AD885" s="1608"/>
      <c r="AE885" s="1608"/>
      <c r="AF885" s="1608"/>
      <c r="AG885" s="1608"/>
      <c r="AH885" s="16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5">
        <f>ROUND((AC883+AF627+AF628)/12*3,0)</f>
        <v>1969742</v>
      </c>
      <c r="AD886" s="1656"/>
      <c r="AE886" s="1656"/>
      <c r="AF886" s="1656"/>
      <c r="AG886" s="1656"/>
      <c r="AH886" s="165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f>15*231*12</f>
        <v>41580</v>
      </c>
      <c r="AD887" s="1646"/>
      <c r="AE887" s="1646"/>
      <c r="AF887" s="1646"/>
      <c r="AG887" s="1646"/>
      <c r="AH887" s="1646"/>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125000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300*231</f>
        <v>69300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191971</v>
      </c>
      <c r="AD891" s="1338"/>
      <c r="AE891" s="1338"/>
      <c r="AF891" s="1338"/>
      <c r="AG891" s="1338"/>
      <c r="AH891" s="1339"/>
      <c r="AZ891" s="34"/>
      <c r="BA891" s="34"/>
      <c r="BB891" s="34"/>
      <c r="BC891" s="34"/>
    </row>
    <row r="892" spans="3:55" ht="12.9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73" t="s">
        <v>957</v>
      </c>
      <c r="D894" s="1674"/>
      <c r="E894" s="1674"/>
      <c r="F894" s="1674"/>
      <c r="G894" s="1674"/>
      <c r="H894" s="1674"/>
      <c r="I894" s="1674"/>
      <c r="J894" s="1674"/>
      <c r="K894" s="1674"/>
      <c r="L894" s="1674"/>
      <c r="M894" s="1674"/>
      <c r="N894" s="1674"/>
      <c r="O894" s="1674"/>
      <c r="P894" s="1674"/>
      <c r="Q894" s="1674"/>
      <c r="R894" s="1674"/>
      <c r="S894" s="1674"/>
      <c r="T894" s="1674"/>
      <c r="U894" s="1674"/>
      <c r="V894" s="1674"/>
      <c r="W894" s="1674"/>
      <c r="X894" s="1674"/>
      <c r="Y894" s="1674"/>
      <c r="Z894" s="1674"/>
      <c r="AA894" s="1674"/>
      <c r="AB894" s="1675"/>
      <c r="AC894" s="1646"/>
      <c r="AD894" s="1646"/>
      <c r="AE894" s="1646"/>
      <c r="AF894" s="1646"/>
      <c r="AG894" s="1646"/>
      <c r="AH894" s="1646"/>
      <c r="AZ894" s="34"/>
      <c r="BA894" s="34"/>
      <c r="BB894" s="34"/>
      <c r="BC894" s="34"/>
    </row>
    <row r="895" spans="3:55" ht="12.95" customHeight="1">
      <c r="C895" s="1673" t="s">
        <v>957</v>
      </c>
      <c r="D895" s="1674"/>
      <c r="E895" s="1674"/>
      <c r="F895" s="1674"/>
      <c r="G895" s="1674"/>
      <c r="H895" s="1674"/>
      <c r="I895" s="1674"/>
      <c r="J895" s="1674"/>
      <c r="K895" s="1674"/>
      <c r="L895" s="1674"/>
      <c r="M895" s="1674"/>
      <c r="N895" s="1674"/>
      <c r="O895" s="1674"/>
      <c r="P895" s="1674"/>
      <c r="Q895" s="1674"/>
      <c r="R895" s="1674"/>
      <c r="S895" s="1674"/>
      <c r="T895" s="1674"/>
      <c r="U895" s="1674"/>
      <c r="V895" s="1674"/>
      <c r="W895" s="1674"/>
      <c r="X895" s="1674"/>
      <c r="Y895" s="1674"/>
      <c r="Z895" s="1674"/>
      <c r="AA895" s="1674"/>
      <c r="AB895" s="1675"/>
      <c r="AC895" s="1646"/>
      <c r="AD895" s="1646"/>
      <c r="AE895" s="1646"/>
      <c r="AF895" s="1646"/>
      <c r="AG895" s="1646"/>
      <c r="AH895" s="1646"/>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43"/>
      <c r="BE899" s="1643"/>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43"/>
      <c r="BE900" s="1643"/>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42"/>
      <c r="BE901" s="1642"/>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42"/>
      <c r="BE902" s="164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2"/>
      <c r="BE903" s="1642"/>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3"/>
      <c r="BE904" s="1642"/>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1"/>
      <c r="BE905" s="1671"/>
      <c r="BF905" s="167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0"/>
      <c r="BE906" s="1670"/>
      <c r="BF906" s="167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2"/>
      <c r="BE907" s="164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3"/>
      <c r="BE908" s="1642"/>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3"/>
      <c r="BE910" s="1642"/>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8" t="s">
        <v>793</v>
      </c>
      <c r="G915" s="1719"/>
      <c r="H915" s="1719"/>
      <c r="I915" s="1719"/>
      <c r="J915" s="1719"/>
      <c r="K915" s="1719"/>
      <c r="L915" s="1719"/>
      <c r="M915" s="1719"/>
      <c r="N915" s="1719"/>
      <c r="O915" s="1719"/>
      <c r="P915" s="1719"/>
      <c r="Q915" s="1719"/>
      <c r="R915" s="1719"/>
      <c r="S915" s="1719"/>
      <c r="T915" s="1720"/>
      <c r="U915" s="1761" t="s">
        <v>31</v>
      </c>
      <c r="V915" s="1693"/>
      <c r="W915" s="1693"/>
      <c r="X915" s="1693"/>
      <c r="Y915" s="1693"/>
      <c r="Z915" s="1693"/>
      <c r="AA915" s="43"/>
      <c r="AB915" s="105"/>
      <c r="AC915" s="105"/>
      <c r="AD915" s="105"/>
      <c r="AE915" s="105"/>
      <c r="AF915" s="106"/>
      <c r="AZ915" s="34"/>
      <c r="BA915" s="34"/>
      <c r="BB915" s="34"/>
      <c r="BC915" s="34"/>
    </row>
    <row r="916" spans="1:58" ht="12.95" customHeight="1">
      <c r="B916" s="2"/>
      <c r="F916" s="1762" t="s">
        <v>819</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2.95" customHeight="1">
      <c r="B917" s="2"/>
      <c r="F917" s="1764"/>
      <c r="G917" s="1695"/>
      <c r="H917" s="1695"/>
      <c r="I917" s="1695"/>
      <c r="J917" s="1695"/>
      <c r="K917" s="1695"/>
      <c r="L917" s="1695"/>
      <c r="M917" s="1695"/>
      <c r="N917" s="1695"/>
      <c r="O917" s="1695"/>
      <c r="P917" s="1695"/>
      <c r="Q917" s="1695"/>
      <c r="R917" s="1695"/>
      <c r="S917" s="1695"/>
      <c r="T917" s="1696"/>
      <c r="U917" s="1764"/>
      <c r="V917" s="1695"/>
      <c r="W917" s="1695"/>
      <c r="X917" s="1695"/>
      <c r="Y917" s="1695"/>
      <c r="Z917" s="1695"/>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6" t="s">
        <v>546</v>
      </c>
      <c r="V918" s="1427"/>
      <c r="W918" s="1427"/>
      <c r="X918" s="1427"/>
      <c r="Y918" s="1427"/>
      <c r="Z918" s="1428"/>
      <c r="AA918" s="1640">
        <f>AO627+AO628</f>
        <v>47000000</v>
      </c>
      <c r="AB918" s="1529"/>
      <c r="AC918" s="1529"/>
      <c r="AD918" s="1529"/>
      <c r="AE918" s="1529"/>
      <c r="AF918" s="164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6" t="s">
        <v>592</v>
      </c>
      <c r="V919" s="1427"/>
      <c r="W919" s="1427"/>
      <c r="X919" s="1427"/>
      <c r="Y919" s="1427"/>
      <c r="Z919" s="1428"/>
      <c r="AA919" s="1640"/>
      <c r="AB919" s="1529"/>
      <c r="AC919" s="1529"/>
      <c r="AD919" s="1529"/>
      <c r="AE919" s="1529"/>
      <c r="AF919" s="164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6" t="s">
        <v>592</v>
      </c>
      <c r="V920" s="1427"/>
      <c r="W920" s="1427"/>
      <c r="X920" s="1427"/>
      <c r="Y920" s="1427"/>
      <c r="Z920" s="1428"/>
      <c r="AA920" s="1640"/>
      <c r="AB920" s="1529"/>
      <c r="AC920" s="1529"/>
      <c r="AD920" s="1529"/>
      <c r="AE920" s="1529"/>
      <c r="AF920" s="164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6" t="s">
        <v>592</v>
      </c>
      <c r="V921" s="1427"/>
      <c r="W921" s="1427"/>
      <c r="X921" s="1427"/>
      <c r="Y921" s="1427"/>
      <c r="Z921" s="1428"/>
      <c r="AA921" s="1640"/>
      <c r="AB921" s="1529"/>
      <c r="AC921" s="1529"/>
      <c r="AD921" s="1529"/>
      <c r="AE921" s="1529"/>
      <c r="AF921" s="164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6" t="s">
        <v>592</v>
      </c>
      <c r="V922" s="1427"/>
      <c r="W922" s="1427"/>
      <c r="X922" s="1427"/>
      <c r="Y922" s="1427"/>
      <c r="Z922" s="1428"/>
      <c r="AA922" s="1640"/>
      <c r="AB922" s="1529"/>
      <c r="AC922" s="1529"/>
      <c r="AD922" s="1529"/>
      <c r="AE922" s="1529"/>
      <c r="AF922" s="164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6" t="s">
        <v>592</v>
      </c>
      <c r="V923" s="1427"/>
      <c r="W923" s="1427"/>
      <c r="X923" s="1427"/>
      <c r="Y923" s="1427"/>
      <c r="Z923" s="1428"/>
      <c r="AA923" s="1640"/>
      <c r="AB923" s="1529"/>
      <c r="AC923" s="1529"/>
      <c r="AD923" s="1529"/>
      <c r="AE923" s="1529"/>
      <c r="AF923" s="164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6" t="s">
        <v>592</v>
      </c>
      <c r="V924" s="1427"/>
      <c r="W924" s="1427"/>
      <c r="X924" s="1427"/>
      <c r="Y924" s="1427"/>
      <c r="Z924" s="1428"/>
      <c r="AA924" s="1640"/>
      <c r="AB924" s="1529"/>
      <c r="AC924" s="1529"/>
      <c r="AD924" s="1529"/>
      <c r="AE924" s="1529"/>
      <c r="AF924" s="164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6" t="s">
        <v>592</v>
      </c>
      <c r="V925" s="1427"/>
      <c r="W925" s="1427"/>
      <c r="X925" s="1427"/>
      <c r="Y925" s="1427"/>
      <c r="Z925" s="1428"/>
      <c r="AA925" s="1640"/>
      <c r="AB925" s="1529"/>
      <c r="AC925" s="1529"/>
      <c r="AD925" s="1529"/>
      <c r="AE925" s="1529"/>
      <c r="AF925" s="1641"/>
      <c r="AZ925" s="34"/>
      <c r="BA925" s="34"/>
      <c r="BB925" s="34"/>
      <c r="BC925" s="34"/>
    </row>
    <row r="926" spans="1:58" ht="12.95" customHeight="1">
      <c r="F926" s="1633" t="s">
        <v>2193</v>
      </c>
      <c r="G926" s="1634"/>
      <c r="H926" s="1634"/>
      <c r="I926" s="1634"/>
      <c r="J926" s="1634"/>
      <c r="K926" s="1634"/>
      <c r="L926" s="1634"/>
      <c r="M926" s="1634"/>
      <c r="N926" s="1634"/>
      <c r="O926" s="1634"/>
      <c r="P926" s="1634"/>
      <c r="Q926" s="1634"/>
      <c r="R926" s="1634"/>
      <c r="S926" s="1634"/>
      <c r="T926" s="1635"/>
      <c r="U926" s="1636" t="s">
        <v>592</v>
      </c>
      <c r="V926" s="1427"/>
      <c r="W926" s="1427"/>
      <c r="X926" s="1427"/>
      <c r="Y926" s="1427"/>
      <c r="Z926" s="1428"/>
      <c r="AA926" s="1640"/>
      <c r="AB926" s="1529"/>
      <c r="AC926" s="1529"/>
      <c r="AD926" s="1529"/>
      <c r="AE926" s="1529"/>
      <c r="AF926" s="1641"/>
      <c r="AZ926" s="34"/>
      <c r="BA926" s="34"/>
      <c r="BB926" s="34"/>
      <c r="BC926" s="34"/>
    </row>
    <row r="927" spans="1:58" ht="12.95" customHeight="1">
      <c r="F927" s="1633" t="s">
        <v>680</v>
      </c>
      <c r="G927" s="1634"/>
      <c r="H927" s="1634"/>
      <c r="I927" s="1634"/>
      <c r="J927" s="1634"/>
      <c r="K927" s="1634"/>
      <c r="L927" s="1634"/>
      <c r="M927" s="1634"/>
      <c r="N927" s="1634"/>
      <c r="O927" s="1634"/>
      <c r="P927" s="1634"/>
      <c r="Q927" s="1634"/>
      <c r="R927" s="1634"/>
      <c r="S927" s="1634"/>
      <c r="T927" s="1635"/>
      <c r="U927" s="1636" t="s">
        <v>592</v>
      </c>
      <c r="V927" s="1427"/>
      <c r="W927" s="1427"/>
      <c r="X927" s="1427"/>
      <c r="Y927" s="1427"/>
      <c r="Z927" s="1428"/>
      <c r="AA927" s="1640"/>
      <c r="AB927" s="1529"/>
      <c r="AC927" s="1529"/>
      <c r="AD927" s="1529"/>
      <c r="AE927" s="1529"/>
      <c r="AF927" s="1641"/>
      <c r="AU927" s="2"/>
      <c r="AZ927" s="34"/>
      <c r="BA927" s="34"/>
      <c r="BB927" s="34"/>
      <c r="BC927" s="34"/>
    </row>
    <row r="928" spans="1:58" ht="12.95" customHeight="1">
      <c r="F928" s="1633" t="s">
        <v>2194</v>
      </c>
      <c r="G928" s="1634"/>
      <c r="H928" s="1634"/>
      <c r="I928" s="1634"/>
      <c r="J928" s="1634"/>
      <c r="K928" s="1634"/>
      <c r="L928" s="1634"/>
      <c r="M928" s="1634"/>
      <c r="N928" s="1634"/>
      <c r="O928" s="1634"/>
      <c r="P928" s="1634"/>
      <c r="Q928" s="1634"/>
      <c r="R928" s="1634"/>
      <c r="S928" s="1634"/>
      <c r="T928" s="1635"/>
      <c r="U928" s="1636" t="s">
        <v>592</v>
      </c>
      <c r="V928" s="1427"/>
      <c r="W928" s="1427"/>
      <c r="X928" s="1427"/>
      <c r="Y928" s="1427"/>
      <c r="Z928" s="1428"/>
      <c r="AA928" s="1640"/>
      <c r="AB928" s="1529"/>
      <c r="AC928" s="1529"/>
      <c r="AD928" s="1529"/>
      <c r="AE928" s="1529"/>
      <c r="AF928" s="1641"/>
      <c r="AU928" s="2"/>
      <c r="AZ928" s="34"/>
      <c r="BA928" s="34"/>
      <c r="BB928" s="34"/>
      <c r="BC928" s="34"/>
    </row>
    <row r="929" spans="6:55" ht="12.95" customHeight="1">
      <c r="F929" s="1633" t="s">
        <v>2195</v>
      </c>
      <c r="G929" s="1634"/>
      <c r="H929" s="1634"/>
      <c r="I929" s="1634"/>
      <c r="J929" s="1634"/>
      <c r="K929" s="1634"/>
      <c r="L929" s="1634"/>
      <c r="M929" s="1634"/>
      <c r="N929" s="1634"/>
      <c r="O929" s="1634"/>
      <c r="P929" s="1634"/>
      <c r="Q929" s="1634"/>
      <c r="R929" s="1634"/>
      <c r="S929" s="1634"/>
      <c r="T929" s="1635"/>
      <c r="U929" s="1636" t="s">
        <v>592</v>
      </c>
      <c r="V929" s="1427"/>
      <c r="W929" s="1427"/>
      <c r="X929" s="1427"/>
      <c r="Y929" s="1427"/>
      <c r="Z929" s="1428"/>
      <c r="AA929" s="1640"/>
      <c r="AB929" s="1529"/>
      <c r="AC929" s="1529"/>
      <c r="AD929" s="1529"/>
      <c r="AE929" s="1529"/>
      <c r="AF929" s="1641"/>
      <c r="AU929" s="2"/>
      <c r="AZ929" s="34"/>
      <c r="BA929" s="34"/>
      <c r="BB929" s="34"/>
      <c r="BC929" s="34"/>
    </row>
    <row r="930" spans="6:55" ht="12.95" customHeight="1">
      <c r="F930" s="1633" t="s">
        <v>2196</v>
      </c>
      <c r="G930" s="1634"/>
      <c r="H930" s="1634"/>
      <c r="I930" s="1634"/>
      <c r="J930" s="1634"/>
      <c r="K930" s="1634"/>
      <c r="L930" s="1634"/>
      <c r="M930" s="1634"/>
      <c r="N930" s="1634"/>
      <c r="O930" s="1634"/>
      <c r="P930" s="1634"/>
      <c r="Q930" s="1634"/>
      <c r="R930" s="1634"/>
      <c r="S930" s="1634"/>
      <c r="T930" s="1635"/>
      <c r="U930" s="1636" t="s">
        <v>592</v>
      </c>
      <c r="V930" s="1427"/>
      <c r="W930" s="1427"/>
      <c r="X930" s="1427"/>
      <c r="Y930" s="1427"/>
      <c r="Z930" s="1428"/>
      <c r="AA930" s="1640"/>
      <c r="AB930" s="1529"/>
      <c r="AC930" s="1529"/>
      <c r="AD930" s="1529"/>
      <c r="AE930" s="1529"/>
      <c r="AF930" s="1641"/>
      <c r="AU930" s="2"/>
      <c r="AZ930" s="34"/>
      <c r="BA930" s="34"/>
      <c r="BB930" s="34"/>
      <c r="BC930" s="34"/>
    </row>
    <row r="931" spans="6:55" ht="12.95" customHeight="1">
      <c r="F931" s="1633" t="s">
        <v>2197</v>
      </c>
      <c r="G931" s="1634"/>
      <c r="H931" s="1634"/>
      <c r="I931" s="1634"/>
      <c r="J931" s="1634"/>
      <c r="K931" s="1634"/>
      <c r="L931" s="1634"/>
      <c r="M931" s="1634"/>
      <c r="N931" s="1634"/>
      <c r="O931" s="1634"/>
      <c r="P931" s="1634"/>
      <c r="Q931" s="1634"/>
      <c r="R931" s="1634"/>
      <c r="S931" s="1634"/>
      <c r="T931" s="1635"/>
      <c r="U931" s="1636" t="s">
        <v>592</v>
      </c>
      <c r="V931" s="1427"/>
      <c r="W931" s="1427"/>
      <c r="X931" s="1427"/>
      <c r="Y931" s="1427"/>
      <c r="Z931" s="1428"/>
      <c r="AA931" s="1640"/>
      <c r="AB931" s="1529"/>
      <c r="AC931" s="1529"/>
      <c r="AD931" s="1529"/>
      <c r="AE931" s="1529"/>
      <c r="AF931" s="1641"/>
      <c r="AU931" s="2"/>
      <c r="AZ931" s="34"/>
      <c r="BA931" s="34"/>
      <c r="BB931" s="34"/>
      <c r="BC931" s="34"/>
    </row>
    <row r="932" spans="6:55" ht="12.95" customHeight="1">
      <c r="F932" s="1633" t="s">
        <v>2198</v>
      </c>
      <c r="G932" s="1634"/>
      <c r="H932" s="1634"/>
      <c r="I932" s="1634"/>
      <c r="J932" s="1634"/>
      <c r="K932" s="1634"/>
      <c r="L932" s="1634"/>
      <c r="M932" s="1634"/>
      <c r="N932" s="1634"/>
      <c r="O932" s="1634"/>
      <c r="P932" s="1634"/>
      <c r="Q932" s="1634"/>
      <c r="R932" s="1634"/>
      <c r="S932" s="1634"/>
      <c r="T932" s="1635"/>
      <c r="U932" s="1636" t="s">
        <v>592</v>
      </c>
      <c r="V932" s="1427"/>
      <c r="W932" s="1427"/>
      <c r="X932" s="1427"/>
      <c r="Y932" s="1427"/>
      <c r="Z932" s="1428"/>
      <c r="AA932" s="1640"/>
      <c r="AB932" s="1529"/>
      <c r="AC932" s="1529"/>
      <c r="AD932" s="1529"/>
      <c r="AE932" s="1529"/>
      <c r="AF932" s="1641"/>
      <c r="AZ932" s="30"/>
      <c r="BA932" s="30"/>
    </row>
    <row r="933" spans="6:55" ht="12.95" customHeight="1">
      <c r="F933" s="178" t="s">
        <v>677</v>
      </c>
      <c r="G933" s="5"/>
      <c r="H933" s="5"/>
      <c r="I933" s="5"/>
      <c r="J933" s="5"/>
      <c r="K933" s="5"/>
      <c r="L933" s="5"/>
      <c r="M933" s="5"/>
      <c r="N933" s="5"/>
      <c r="O933" s="5"/>
      <c r="P933" s="5"/>
      <c r="Q933" s="5"/>
      <c r="R933" s="5"/>
      <c r="S933" s="5"/>
      <c r="T933" s="46"/>
      <c r="U933" s="1636" t="s">
        <v>592</v>
      </c>
      <c r="V933" s="1427"/>
      <c r="W933" s="1427"/>
      <c r="X933" s="1427"/>
      <c r="Y933" s="1427"/>
      <c r="Z933" s="1428"/>
      <c r="AA933" s="1640"/>
      <c r="AB933" s="1529"/>
      <c r="AC933" s="1529"/>
      <c r="AD933" s="1529"/>
      <c r="AE933" s="1529"/>
      <c r="AF933" s="1641"/>
    </row>
    <row r="934" spans="6:55" ht="12.95" customHeight="1">
      <c r="F934" s="121" t="s">
        <v>1278</v>
      </c>
      <c r="G934" s="5"/>
      <c r="H934" s="5"/>
      <c r="I934" s="5"/>
      <c r="J934" s="5"/>
      <c r="K934" s="5"/>
      <c r="L934" s="5"/>
      <c r="M934" s="5"/>
      <c r="N934" s="5"/>
      <c r="O934" s="5"/>
      <c r="P934" s="5"/>
      <c r="Q934" s="5"/>
      <c r="R934" s="5"/>
      <c r="S934" s="5"/>
      <c r="T934" s="46"/>
      <c r="U934" s="1636" t="s">
        <v>592</v>
      </c>
      <c r="V934" s="1427"/>
      <c r="W934" s="1427"/>
      <c r="X934" s="1427"/>
      <c r="Y934" s="1427"/>
      <c r="Z934" s="1428"/>
      <c r="AA934" s="1640"/>
      <c r="AB934" s="1529"/>
      <c r="AC934" s="1529"/>
      <c r="AD934" s="1529"/>
      <c r="AE934" s="1529"/>
      <c r="AF934" s="1641"/>
      <c r="AZ934" s="30"/>
      <c r="BA934" s="14"/>
    </row>
    <row r="935" spans="6:55" ht="12.95" customHeight="1">
      <c r="F935" s="66" t="s">
        <v>803</v>
      </c>
      <c r="G935" s="5"/>
      <c r="H935" s="5"/>
      <c r="I935" s="5"/>
      <c r="J935" s="5"/>
      <c r="K935" s="5"/>
      <c r="L935" s="5"/>
      <c r="M935" s="5"/>
      <c r="N935" s="5"/>
      <c r="O935" s="5"/>
      <c r="P935" s="5"/>
      <c r="Q935" s="5"/>
      <c r="R935" s="5"/>
      <c r="S935" s="5"/>
      <c r="T935" s="46"/>
      <c r="U935" s="1636" t="s">
        <v>592</v>
      </c>
      <c r="V935" s="1427"/>
      <c r="W935" s="1427"/>
      <c r="X935" s="1427"/>
      <c r="Y935" s="1427"/>
      <c r="Z935" s="1428"/>
      <c r="AA935" s="1640"/>
      <c r="AB935" s="1529"/>
      <c r="AC935" s="1529"/>
      <c r="AD935" s="1529"/>
      <c r="AE935" s="1529"/>
      <c r="AF935" s="1641"/>
      <c r="AZ935" s="30"/>
      <c r="BA935" s="14"/>
    </row>
    <row r="936" spans="6:55" ht="12.95" customHeight="1">
      <c r="F936" s="1637" t="s">
        <v>2202</v>
      </c>
      <c r="G936" s="1638"/>
      <c r="H936" s="1638"/>
      <c r="I936" s="1638"/>
      <c r="J936" s="1638"/>
      <c r="K936" s="1638"/>
      <c r="L936" s="1638"/>
      <c r="M936" s="1638"/>
      <c r="N936" s="1638"/>
      <c r="O936" s="1638"/>
      <c r="P936" s="1638"/>
      <c r="Q936" s="1638"/>
      <c r="R936" s="1638"/>
      <c r="S936" s="1638"/>
      <c r="T936" s="1639"/>
      <c r="U936" s="1636" t="s">
        <v>592</v>
      </c>
      <c r="V936" s="1427"/>
      <c r="W936" s="1427"/>
      <c r="X936" s="1427"/>
      <c r="Y936" s="1427"/>
      <c r="Z936" s="1428"/>
      <c r="AA936" s="1640"/>
      <c r="AB936" s="1529"/>
      <c r="AC936" s="1529"/>
      <c r="AD936" s="1529"/>
      <c r="AE936" s="1529"/>
      <c r="AF936" s="1641"/>
      <c r="AZ936" s="30"/>
      <c r="BA936" s="14"/>
    </row>
    <row r="937" spans="6:55" ht="12.95" customHeight="1">
      <c r="F937" s="1637" t="s">
        <v>2203</v>
      </c>
      <c r="G937" s="1638"/>
      <c r="H937" s="1638"/>
      <c r="I937" s="1638"/>
      <c r="J937" s="1638"/>
      <c r="K937" s="1638"/>
      <c r="L937" s="1638"/>
      <c r="M937" s="1638"/>
      <c r="N937" s="1638"/>
      <c r="O937" s="1638"/>
      <c r="P937" s="1638"/>
      <c r="Q937" s="1638"/>
      <c r="R937" s="1638"/>
      <c r="S937" s="1638"/>
      <c r="T937" s="1639"/>
      <c r="U937" s="1636" t="s">
        <v>592</v>
      </c>
      <c r="V937" s="1427"/>
      <c r="W937" s="1427"/>
      <c r="X937" s="1427"/>
      <c r="Y937" s="1427"/>
      <c r="Z937" s="1428"/>
      <c r="AA937" s="1640"/>
      <c r="AB937" s="1529"/>
      <c r="AC937" s="1529"/>
      <c r="AD937" s="1529"/>
      <c r="AE937" s="1529"/>
      <c r="AF937" s="1641"/>
      <c r="AZ937" s="30"/>
      <c r="BA937" s="30"/>
    </row>
    <row r="938" spans="6:55" ht="12.95" customHeight="1">
      <c r="F938" s="1633" t="s">
        <v>2199</v>
      </c>
      <c r="G938" s="1634"/>
      <c r="H938" s="1634"/>
      <c r="I938" s="1634"/>
      <c r="J938" s="1634"/>
      <c r="K938" s="1634"/>
      <c r="L938" s="1634"/>
      <c r="M938" s="1634"/>
      <c r="N938" s="1634"/>
      <c r="O938" s="1634"/>
      <c r="P938" s="1634"/>
      <c r="Q938" s="1634"/>
      <c r="R938" s="1634"/>
      <c r="S938" s="1634"/>
      <c r="T938" s="1635"/>
      <c r="U938" s="1636" t="s">
        <v>592</v>
      </c>
      <c r="V938" s="1427"/>
      <c r="W938" s="1427"/>
      <c r="X938" s="1427"/>
      <c r="Y938" s="1427"/>
      <c r="Z938" s="1428"/>
      <c r="AA938" s="1640"/>
      <c r="AB938" s="1529"/>
      <c r="AC938" s="1529"/>
      <c r="AD938" s="1529"/>
      <c r="AE938" s="1529"/>
      <c r="AF938" s="1641"/>
      <c r="AZ938" s="30"/>
      <c r="BA938" s="30"/>
    </row>
    <row r="939" spans="6:55" ht="12.95" customHeight="1">
      <c r="F939" s="1633" t="s">
        <v>2200</v>
      </c>
      <c r="G939" s="1634"/>
      <c r="H939" s="1634"/>
      <c r="I939" s="1634"/>
      <c r="J939" s="1634"/>
      <c r="K939" s="1634"/>
      <c r="L939" s="1634"/>
      <c r="M939" s="1634"/>
      <c r="N939" s="1634"/>
      <c r="O939" s="1634"/>
      <c r="P939" s="1634"/>
      <c r="Q939" s="1634"/>
      <c r="R939" s="1634"/>
      <c r="S939" s="1634"/>
      <c r="T939" s="1635"/>
      <c r="U939" s="1636" t="s">
        <v>592</v>
      </c>
      <c r="V939" s="1427"/>
      <c r="W939" s="1427"/>
      <c r="X939" s="1427"/>
      <c r="Y939" s="1427"/>
      <c r="Z939" s="1428"/>
      <c r="AA939" s="1640"/>
      <c r="AB939" s="1529"/>
      <c r="AC939" s="1529"/>
      <c r="AD939" s="1529"/>
      <c r="AE939" s="1529"/>
      <c r="AF939" s="1641"/>
      <c r="AZ939" s="30"/>
      <c r="BA939" s="30"/>
    </row>
    <row r="940" spans="6:55" ht="12.95" customHeight="1">
      <c r="F940" s="1633" t="s">
        <v>2201</v>
      </c>
      <c r="G940" s="1634"/>
      <c r="H940" s="1634"/>
      <c r="I940" s="1634"/>
      <c r="J940" s="1634"/>
      <c r="K940" s="1634"/>
      <c r="L940" s="1634"/>
      <c r="M940" s="1634"/>
      <c r="N940" s="1634"/>
      <c r="O940" s="1634"/>
      <c r="P940" s="1634"/>
      <c r="Q940" s="1634"/>
      <c r="R940" s="1634"/>
      <c r="S940" s="1634"/>
      <c r="T940" s="1635"/>
      <c r="U940" s="1636" t="s">
        <v>592</v>
      </c>
      <c r="V940" s="1427"/>
      <c r="W940" s="1427"/>
      <c r="X940" s="1427"/>
      <c r="Y940" s="1427"/>
      <c r="Z940" s="1428"/>
      <c r="AA940" s="1640"/>
      <c r="AB940" s="1529"/>
      <c r="AC940" s="1529"/>
      <c r="AD940" s="1529"/>
      <c r="AE940" s="1529"/>
      <c r="AF940" s="164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6" t="s">
        <v>592</v>
      </c>
      <c r="V941" s="1427"/>
      <c r="W941" s="1427"/>
      <c r="X941" s="1427"/>
      <c r="Y941" s="1427"/>
      <c r="Z941" s="1428"/>
      <c r="AA941" s="1640"/>
      <c r="AB941" s="1529"/>
      <c r="AC941" s="1529"/>
      <c r="AD941" s="1529"/>
      <c r="AE941" s="1529"/>
      <c r="AF941" s="1641"/>
      <c r="AZ941" s="34"/>
      <c r="BA941" s="34"/>
      <c r="BB941" s="14"/>
      <c r="BC941" s="14"/>
    </row>
    <row r="942" spans="6:55" ht="12.95" customHeight="1">
      <c r="F942" s="1637" t="s">
        <v>2204</v>
      </c>
      <c r="G942" s="1638"/>
      <c r="H942" s="1638"/>
      <c r="I942" s="1638"/>
      <c r="J942" s="1638"/>
      <c r="K942" s="1638"/>
      <c r="L942" s="1638"/>
      <c r="M942" s="1638"/>
      <c r="N942" s="1638"/>
      <c r="O942" s="1638"/>
      <c r="P942" s="1638"/>
      <c r="Q942" s="1638"/>
      <c r="R942" s="1638"/>
      <c r="S942" s="1638"/>
      <c r="T942" s="1639"/>
      <c r="U942" s="1636" t="s">
        <v>592</v>
      </c>
      <c r="V942" s="1427"/>
      <c r="W942" s="1427"/>
      <c r="X942" s="1427"/>
      <c r="Y942" s="1427"/>
      <c r="Z942" s="1428"/>
      <c r="AA942" s="1640"/>
      <c r="AB942" s="1529"/>
      <c r="AC942" s="1529"/>
      <c r="AD942" s="1529"/>
      <c r="AE942" s="1529"/>
      <c r="AF942" s="164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6" t="s">
        <v>592</v>
      </c>
      <c r="V943" s="1427"/>
      <c r="W943" s="1427"/>
      <c r="X943" s="1427"/>
      <c r="Y943" s="1427"/>
      <c r="Z943" s="1428"/>
      <c r="AA943" s="1640"/>
      <c r="AB943" s="1529"/>
      <c r="AC943" s="1529"/>
      <c r="AD943" s="1529"/>
      <c r="AE943" s="1529"/>
      <c r="AF943" s="1641"/>
      <c r="AZ943" s="34"/>
      <c r="BA943" s="34"/>
      <c r="BB943" s="34"/>
      <c r="BC943" s="34"/>
    </row>
    <row r="944" spans="6:55" ht="12.95" customHeight="1">
      <c r="F944" s="1637" t="s">
        <v>2205</v>
      </c>
      <c r="G944" s="1638"/>
      <c r="H944" s="1638"/>
      <c r="I944" s="1638"/>
      <c r="J944" s="1638"/>
      <c r="K944" s="1638"/>
      <c r="L944" s="1638"/>
      <c r="M944" s="1638"/>
      <c r="N944" s="1638"/>
      <c r="O944" s="1638"/>
      <c r="P944" s="1638"/>
      <c r="Q944" s="1638"/>
      <c r="R944" s="1638"/>
      <c r="S944" s="1638"/>
      <c r="T944" s="1639"/>
      <c r="U944" s="1636" t="s">
        <v>592</v>
      </c>
      <c r="V944" s="1427"/>
      <c r="W944" s="1427"/>
      <c r="X944" s="1427"/>
      <c r="Y944" s="1427"/>
      <c r="Z944" s="1428"/>
      <c r="AA944" s="1640"/>
      <c r="AB944" s="1529"/>
      <c r="AC944" s="1529"/>
      <c r="AD944" s="1529"/>
      <c r="AE944" s="1529"/>
      <c r="AF944" s="1641"/>
      <c r="AZ944" s="34"/>
      <c r="BA944" s="34"/>
      <c r="BB944" s="34"/>
      <c r="BC944" s="34"/>
    </row>
    <row r="945" spans="1:55" ht="12.95" customHeight="1">
      <c r="F945" s="45" t="s">
        <v>807</v>
      </c>
      <c r="G945" s="5"/>
      <c r="H945" s="5"/>
      <c r="I945" s="5"/>
      <c r="J945" s="5"/>
      <c r="K945" s="5"/>
      <c r="L945" s="5"/>
      <c r="M945" s="5"/>
      <c r="N945" s="5"/>
      <c r="O945" s="5"/>
      <c r="P945" s="1636" t="s">
        <v>670</v>
      </c>
      <c r="Q945" s="1427"/>
      <c r="R945" s="1427"/>
      <c r="S945" s="1427"/>
      <c r="T945" s="1428"/>
      <c r="U945" s="1636" t="s">
        <v>592</v>
      </c>
      <c r="V945" s="1427"/>
      <c r="W945" s="1427"/>
      <c r="X945" s="1427"/>
      <c r="Y945" s="1427"/>
      <c r="Z945" s="1428"/>
      <c r="AA945" s="1640"/>
      <c r="AB945" s="1529"/>
      <c r="AC945" s="1529"/>
      <c r="AD945" s="1529"/>
      <c r="AE945" s="1529"/>
      <c r="AF945" s="1641"/>
      <c r="AZ945" s="34"/>
      <c r="BA945" s="34"/>
      <c r="BB945" s="34"/>
      <c r="BC945" s="34"/>
    </row>
    <row r="946" spans="1:55" ht="12.95" customHeight="1">
      <c r="F946" s="1633" t="s">
        <v>2192</v>
      </c>
      <c r="G946" s="1634"/>
      <c r="H946" s="1635"/>
      <c r="I946" s="1650" t="s">
        <v>334</v>
      </c>
      <c r="J946" s="1651"/>
      <c r="K946" s="1651"/>
      <c r="L946" s="1651"/>
      <c r="M946" s="1651"/>
      <c r="N946" s="1651"/>
      <c r="O946" s="1651"/>
      <c r="P946" s="1651"/>
      <c r="Q946" s="1651"/>
      <c r="R946" s="1651"/>
      <c r="S946" s="1651"/>
      <c r="T946" s="1652"/>
      <c r="U946" s="1636" t="s">
        <v>592</v>
      </c>
      <c r="V946" s="1427"/>
      <c r="W946" s="1427"/>
      <c r="X946" s="1427"/>
      <c r="Y946" s="1427"/>
      <c r="Z946" s="1428"/>
      <c r="AA946" s="1640"/>
      <c r="AB946" s="1529"/>
      <c r="AC946" s="1529"/>
      <c r="AD946" s="1529"/>
      <c r="AE946" s="1529"/>
      <c r="AF946" s="1641"/>
      <c r="AZ946" s="34"/>
      <c r="BA946" s="34"/>
      <c r="BB946" s="34"/>
      <c r="BC946" s="34"/>
    </row>
    <row r="947" spans="1:55" ht="12.95" customHeight="1">
      <c r="F947" s="45" t="s">
        <v>86</v>
      </c>
      <c r="G947" s="48"/>
      <c r="H947" s="48"/>
      <c r="I947" s="1650" t="s">
        <v>334</v>
      </c>
      <c r="J947" s="1651"/>
      <c r="K947" s="1651"/>
      <c r="L947" s="1651"/>
      <c r="M947" s="1651"/>
      <c r="N947" s="1651"/>
      <c r="O947" s="1651"/>
      <c r="P947" s="1651"/>
      <c r="Q947" s="1651"/>
      <c r="R947" s="1651"/>
      <c r="S947" s="1651"/>
      <c r="T947" s="1652"/>
      <c r="U947" s="1636" t="s">
        <v>592</v>
      </c>
      <c r="V947" s="1427"/>
      <c r="W947" s="1427"/>
      <c r="X947" s="1427"/>
      <c r="Y947" s="1427"/>
      <c r="Z947" s="1428"/>
      <c r="AA947" s="1640"/>
      <c r="AB947" s="1529"/>
      <c r="AC947" s="1529"/>
      <c r="AD947" s="1529"/>
      <c r="AE947" s="1529"/>
      <c r="AF947" s="1641"/>
      <c r="AZ947" s="34"/>
      <c r="BA947" s="34"/>
      <c r="BB947" s="34"/>
      <c r="BC947" s="34"/>
    </row>
    <row r="948" spans="1:55" ht="12.95" customHeight="1">
      <c r="F948" s="45" t="s">
        <v>10</v>
      </c>
      <c r="G948" s="48"/>
      <c r="H948" s="48"/>
      <c r="I948" s="1705" t="s">
        <v>334</v>
      </c>
      <c r="J948" s="1706"/>
      <c r="K948" s="1706"/>
      <c r="L948" s="1706"/>
      <c r="M948" s="1706"/>
      <c r="N948" s="1706"/>
      <c r="O948" s="1706"/>
      <c r="P948" s="1706"/>
      <c r="Q948" s="1706"/>
      <c r="R948" s="1706"/>
      <c r="S948" s="1706"/>
      <c r="T948" s="1707"/>
      <c r="U948" s="1636" t="s">
        <v>592</v>
      </c>
      <c r="V948" s="1427"/>
      <c r="W948" s="1427"/>
      <c r="X948" s="1427"/>
      <c r="Y948" s="1427"/>
      <c r="Z948" s="1428"/>
      <c r="AA948" s="1640"/>
      <c r="AB948" s="1529"/>
      <c r="AC948" s="1529"/>
      <c r="AD948" s="1529"/>
      <c r="AE948" s="1529"/>
      <c r="AF948" s="1641"/>
      <c r="AV948" s="2"/>
      <c r="AW948" s="2"/>
      <c r="AX948" s="2"/>
      <c r="AY948" s="2"/>
      <c r="AZ948" s="34"/>
      <c r="BA948" s="34"/>
      <c r="BB948" s="34"/>
      <c r="BC948" s="34"/>
    </row>
    <row r="949" spans="1:55" ht="12.95" customHeight="1">
      <c r="F949" s="47" t="s">
        <v>170</v>
      </c>
      <c r="G949" s="48"/>
      <c r="H949" s="48"/>
      <c r="I949" s="1705" t="s">
        <v>334</v>
      </c>
      <c r="J949" s="1706"/>
      <c r="K949" s="1706"/>
      <c r="L949" s="1706"/>
      <c r="M949" s="1706"/>
      <c r="N949" s="1706"/>
      <c r="O949" s="1706"/>
      <c r="P949" s="1706"/>
      <c r="Q949" s="1706"/>
      <c r="R949" s="1706"/>
      <c r="S949" s="1706"/>
      <c r="T949" s="1707"/>
      <c r="U949" s="1636" t="s">
        <v>592</v>
      </c>
      <c r="V949" s="1427"/>
      <c r="W949" s="1427"/>
      <c r="X949" s="1427"/>
      <c r="Y949" s="1427"/>
      <c r="Z949" s="1428"/>
      <c r="AA949" s="1640"/>
      <c r="AB949" s="1529"/>
      <c r="AC949" s="1529"/>
      <c r="AD949" s="1529"/>
      <c r="AE949" s="1529"/>
      <c r="AF949" s="1641"/>
      <c r="AU949" s="2"/>
      <c r="AZ949" s="34"/>
      <c r="BA949" s="34"/>
      <c r="BB949" s="34"/>
      <c r="BC949" s="34"/>
    </row>
    <row r="950" spans="1:55" ht="12.95" customHeight="1">
      <c r="F950" s="47" t="s">
        <v>170</v>
      </c>
      <c r="G950" s="48"/>
      <c r="H950" s="48"/>
      <c r="I950" s="1705" t="s">
        <v>334</v>
      </c>
      <c r="J950" s="1706"/>
      <c r="K950" s="1706"/>
      <c r="L950" s="1706"/>
      <c r="M950" s="1706"/>
      <c r="N950" s="1706"/>
      <c r="O950" s="1706"/>
      <c r="P950" s="1706"/>
      <c r="Q950" s="1706"/>
      <c r="R950" s="1706"/>
      <c r="S950" s="1706"/>
      <c r="T950" s="1707"/>
      <c r="U950" s="1636" t="s">
        <v>592</v>
      </c>
      <c r="V950" s="1427"/>
      <c r="W950" s="1427"/>
      <c r="X950" s="1427"/>
      <c r="Y950" s="1427"/>
      <c r="Z950" s="1428"/>
      <c r="AA950" s="1640"/>
      <c r="AB950" s="1529"/>
      <c r="AC950" s="1529"/>
      <c r="AD950" s="1529"/>
      <c r="AE950" s="1529"/>
      <c r="AF950" s="164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9">
        <v>46143</v>
      </c>
      <c r="N955" s="1630"/>
      <c r="O955" s="1630"/>
      <c r="P955" s="1630"/>
      <c r="Q955" s="1630"/>
      <c r="R955" s="1630"/>
      <c r="S955" s="1631"/>
      <c r="U955" s="66" t="s">
        <v>11</v>
      </c>
      <c r="V955" s="5"/>
      <c r="W955" s="5"/>
      <c r="X955" s="5"/>
      <c r="Y955" s="5"/>
      <c r="Z955" s="5"/>
      <c r="AA955" s="5"/>
      <c r="AB955" s="5"/>
      <c r="AC955" s="5"/>
      <c r="AD955" s="46"/>
      <c r="AE955" s="1709"/>
      <c r="AF955" s="1630"/>
      <c r="AG955" s="1630"/>
      <c r="AH955" s="1630"/>
      <c r="AI955" s="1630"/>
      <c r="AJ955" s="1630"/>
      <c r="AK955" s="1631"/>
      <c r="AZ955" s="34"/>
      <c r="BA955" s="34"/>
      <c r="BB955" s="34"/>
      <c r="BC955" s="34"/>
    </row>
    <row r="956" spans="1:55" ht="12.95" customHeight="1">
      <c r="C956" s="66" t="s">
        <v>12</v>
      </c>
      <c r="D956" s="5"/>
      <c r="E956" s="5"/>
      <c r="F956" s="5"/>
      <c r="G956" s="5"/>
      <c r="H956" s="5"/>
      <c r="I956" s="5"/>
      <c r="J956" s="5"/>
      <c r="K956" s="5"/>
      <c r="L956" s="46"/>
      <c r="M956" s="1464" t="s">
        <v>2686</v>
      </c>
      <c r="N956" s="1527"/>
      <c r="O956" s="1527"/>
      <c r="P956" s="1527"/>
      <c r="Q956" s="1527"/>
      <c r="R956" s="1527"/>
      <c r="S956" s="1669"/>
      <c r="U956" s="66" t="s">
        <v>12</v>
      </c>
      <c r="V956" s="5"/>
      <c r="W956" s="5"/>
      <c r="X956" s="5"/>
      <c r="Y956" s="5"/>
      <c r="Z956" s="5"/>
      <c r="AA956" s="5"/>
      <c r="AB956" s="5"/>
      <c r="AC956" s="5"/>
      <c r="AD956" s="46"/>
      <c r="AE956" s="1464"/>
      <c r="AF956" s="1527"/>
      <c r="AG956" s="1527"/>
      <c r="AH956" s="1527"/>
      <c r="AI956" s="1527"/>
      <c r="AJ956" s="1527"/>
      <c r="AK956" s="1669"/>
      <c r="AZ956" s="34"/>
      <c r="BA956" s="34"/>
      <c r="BB956" s="34"/>
      <c r="BC956" s="34"/>
    </row>
    <row r="957" spans="1:55" ht="12.95" customHeight="1">
      <c r="C957" s="66" t="s">
        <v>881</v>
      </c>
      <c r="D957" s="5"/>
      <c r="E957" s="5"/>
      <c r="J957" s="1813" t="s">
        <v>2687</v>
      </c>
      <c r="K957" s="1814"/>
      <c r="L957" s="1814"/>
      <c r="M957" s="1814"/>
      <c r="N957" s="1814"/>
      <c r="O957" s="1814"/>
      <c r="P957" s="1814"/>
      <c r="Q957" s="1814"/>
      <c r="R957" s="1814"/>
      <c r="S957" s="1815"/>
      <c r="U957" s="66" t="s">
        <v>881</v>
      </c>
      <c r="V957" s="5"/>
      <c r="W957" s="5"/>
      <c r="AB957" s="1813" t="s">
        <v>307</v>
      </c>
      <c r="AC957" s="1814"/>
      <c r="AD957" s="1814"/>
      <c r="AE957" s="1814"/>
      <c r="AF957" s="1814"/>
      <c r="AG957" s="1814"/>
      <c r="AH957" s="1814"/>
      <c r="AI957" s="1814"/>
      <c r="AJ957" s="1814"/>
      <c r="AK957" s="1815"/>
      <c r="AZ957" s="34"/>
      <c r="BA957" s="34"/>
      <c r="BB957" s="34"/>
      <c r="BC957" s="34"/>
    </row>
    <row r="958" spans="1:55" ht="12.95" customHeight="1">
      <c r="C958" s="66" t="s">
        <v>13</v>
      </c>
      <c r="D958" s="5"/>
      <c r="E958" s="5"/>
      <c r="F958" s="5"/>
      <c r="G958" s="5"/>
      <c r="H958" s="5"/>
      <c r="I958" s="5"/>
      <c r="J958" s="5"/>
      <c r="K958" s="5"/>
      <c r="L958" s="46"/>
      <c r="M958" s="1710">
        <v>1</v>
      </c>
      <c r="N958" s="1711"/>
      <c r="O958" s="1711"/>
      <c r="P958" s="1711"/>
      <c r="Q958" s="1711"/>
      <c r="R958" s="1711"/>
      <c r="S958" s="1712"/>
      <c r="U958" s="66" t="s">
        <v>13</v>
      </c>
      <c r="V958" s="5"/>
      <c r="W958" s="5"/>
      <c r="X958" s="5"/>
      <c r="Y958" s="5"/>
      <c r="Z958" s="5"/>
      <c r="AA958" s="5"/>
      <c r="AB958" s="5"/>
      <c r="AC958" s="5"/>
      <c r="AD958" s="46"/>
      <c r="AE958" s="1784"/>
      <c r="AF958" s="1711"/>
      <c r="AG958" s="1711"/>
      <c r="AH958" s="1711"/>
      <c r="AI958" s="1711"/>
      <c r="AJ958" s="1711"/>
      <c r="AK958" s="1712"/>
      <c r="AZ958" s="34"/>
      <c r="BA958" s="34"/>
      <c r="BB958" s="34"/>
      <c r="BC958" s="34"/>
    </row>
    <row r="959" spans="1:55" ht="12.95" customHeight="1">
      <c r="C959" s="66" t="s">
        <v>14</v>
      </c>
      <c r="D959" s="5"/>
      <c r="E959" s="5"/>
      <c r="F959" s="5"/>
      <c r="G959" s="5"/>
      <c r="H959" s="5"/>
      <c r="I959" s="5"/>
      <c r="J959" s="5"/>
      <c r="K959" s="5"/>
      <c r="L959" s="46"/>
      <c r="M959" s="1730">
        <v>231</v>
      </c>
      <c r="N959" s="1615"/>
      <c r="O959" s="1615"/>
      <c r="P959" s="1615"/>
      <c r="Q959" s="1615"/>
      <c r="R959" s="1615"/>
      <c r="S959" s="1616"/>
      <c r="U959" s="66" t="s">
        <v>14</v>
      </c>
      <c r="V959" s="5"/>
      <c r="W959" s="5"/>
      <c r="X959" s="5"/>
      <c r="Y959" s="5"/>
      <c r="Z959" s="5"/>
      <c r="AA959" s="5"/>
      <c r="AB959" s="5"/>
      <c r="AC959" s="5"/>
      <c r="AD959" s="46"/>
      <c r="AE959" s="1730"/>
      <c r="AF959" s="1615"/>
      <c r="AG959" s="1615"/>
      <c r="AH959" s="1615"/>
      <c r="AI959" s="1615"/>
      <c r="AJ959" s="1615"/>
      <c r="AK959" s="1616"/>
      <c r="AV959" s="2"/>
      <c r="AW959" s="2"/>
      <c r="AX959" s="2"/>
      <c r="AY959" s="2"/>
      <c r="AZ959" s="34"/>
      <c r="BA959" s="34"/>
      <c r="BB959" s="34"/>
      <c r="BC959" s="34"/>
    </row>
    <row r="960" spans="1:55" ht="12.95" customHeight="1">
      <c r="C960" s="66" t="s">
        <v>15</v>
      </c>
      <c r="D960" s="5"/>
      <c r="E960" s="5"/>
      <c r="F960" s="5"/>
      <c r="G960" s="5"/>
      <c r="H960" s="5"/>
      <c r="I960" s="5"/>
      <c r="J960" s="5"/>
      <c r="K960" s="5"/>
      <c r="L960" s="46"/>
      <c r="M960" s="1640">
        <f>788925*12</f>
        <v>9467100</v>
      </c>
      <c r="N960" s="1529"/>
      <c r="O960" s="1529"/>
      <c r="P960" s="1529"/>
      <c r="Q960" s="1529"/>
      <c r="R960" s="1529"/>
      <c r="S960" s="1641"/>
      <c r="U960" s="66" t="s">
        <v>15</v>
      </c>
      <c r="V960" s="5"/>
      <c r="W960" s="5"/>
      <c r="X960" s="5"/>
      <c r="Y960" s="5"/>
      <c r="Z960" s="5"/>
      <c r="AA960" s="5"/>
      <c r="AB960" s="5"/>
      <c r="AC960" s="5"/>
      <c r="AD960" s="46"/>
      <c r="AE960" s="1640"/>
      <c r="AF960" s="1529"/>
      <c r="AG960" s="1529"/>
      <c r="AH960" s="1529"/>
      <c r="AI960" s="1529"/>
      <c r="AJ960" s="1529"/>
      <c r="AK960" s="1641"/>
      <c r="AV960" s="2"/>
      <c r="AW960" s="2"/>
      <c r="AX960" s="2"/>
      <c r="AY960" s="2"/>
      <c r="AZ960" s="34"/>
      <c r="BA960" s="34"/>
      <c r="BB960" s="34"/>
      <c r="BC960" s="34"/>
    </row>
    <row r="961" spans="1:64" ht="12.95" customHeight="1">
      <c r="C961" s="66" t="s">
        <v>16</v>
      </c>
      <c r="D961" s="5"/>
      <c r="E961" s="5"/>
      <c r="F961" s="5"/>
      <c r="G961" s="5"/>
      <c r="H961" s="5"/>
      <c r="I961" s="5"/>
      <c r="J961" s="5"/>
      <c r="K961" s="5"/>
      <c r="L961" s="46"/>
      <c r="M961" s="1640">
        <f>M960*20</f>
        <v>189342000</v>
      </c>
      <c r="N961" s="1529"/>
      <c r="O961" s="1529"/>
      <c r="P961" s="1529"/>
      <c r="Q961" s="1529"/>
      <c r="R961" s="1529"/>
      <c r="S961" s="1641"/>
      <c r="U961" s="66" t="s">
        <v>16</v>
      </c>
      <c r="V961" s="5"/>
      <c r="W961" s="5"/>
      <c r="X961" s="5"/>
      <c r="Y961" s="5"/>
      <c r="Z961" s="5"/>
      <c r="AA961" s="5"/>
      <c r="AB961" s="5"/>
      <c r="AC961" s="5"/>
      <c r="AD961" s="46"/>
      <c r="AE961" s="1640"/>
      <c r="AF961" s="1529"/>
      <c r="AG961" s="1529"/>
      <c r="AH961" s="1529"/>
      <c r="AI961" s="1529"/>
      <c r="AJ961" s="1529"/>
      <c r="AK961" s="1641"/>
      <c r="AV961" s="2"/>
      <c r="AW961" s="2"/>
      <c r="AX961" s="2"/>
      <c r="AY961" s="2"/>
      <c r="AZ961" s="34"/>
      <c r="BB961" s="34"/>
      <c r="BC961" s="34"/>
    </row>
    <row r="962" spans="1:64" ht="12.95" customHeight="1">
      <c r="C962" s="121" t="s">
        <v>1662</v>
      </c>
      <c r="D962" s="5"/>
      <c r="E962" s="5"/>
      <c r="F962" s="5"/>
      <c r="G962" s="5"/>
      <c r="H962" s="5"/>
      <c r="I962" s="5"/>
      <c r="J962" s="5"/>
      <c r="K962" s="5"/>
      <c r="L962" s="46"/>
      <c r="M962" s="1781">
        <v>20</v>
      </c>
      <c r="N962" s="1782"/>
      <c r="O962" s="1782"/>
      <c r="P962" s="1782"/>
      <c r="Q962" s="1782"/>
      <c r="R962" s="1782"/>
      <c r="S962" s="1783"/>
      <c r="U962" s="121" t="s">
        <v>1662</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6"/>
      <c r="N967" s="1667"/>
      <c r="O967" s="1667"/>
      <c r="P967" s="1667"/>
      <c r="Q967" s="1667"/>
      <c r="R967" s="1667"/>
      <c r="S967" s="1668"/>
      <c r="T967" s="66" t="s">
        <v>791</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6"/>
      <c r="N968" s="1667"/>
      <c r="O968" s="1667"/>
      <c r="P968" s="1667"/>
      <c r="Q968" s="1667"/>
      <c r="R968" s="1667"/>
      <c r="S968" s="1668"/>
      <c r="T968" s="66" t="s">
        <v>790</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3" t="s">
        <v>592</v>
      </c>
      <c r="N969" s="1714"/>
      <c r="O969" s="1714"/>
      <c r="P969" s="1714"/>
      <c r="Q969" s="1714"/>
      <c r="R969" s="1714"/>
      <c r="S969" s="1715"/>
      <c r="T969" s="45" t="s">
        <v>337</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6"/>
      <c r="N970" s="1667"/>
      <c r="O970" s="1667"/>
      <c r="P970" s="1667"/>
      <c r="Q970" s="1667"/>
      <c r="R970" s="1667"/>
      <c r="S970" s="1668"/>
      <c r="T970" s="45" t="s">
        <v>338</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6">
        <v>7962372</v>
      </c>
      <c r="N971" s="1667"/>
      <c r="O971" s="1667"/>
      <c r="P971" s="1667"/>
      <c r="Q971" s="1667"/>
      <c r="R971" s="1667"/>
      <c r="S971" s="1668"/>
      <c r="T971" s="45" t="s">
        <v>376</v>
      </c>
      <c r="U971" s="5"/>
      <c r="V971" s="5"/>
      <c r="W971" s="5"/>
      <c r="X971" s="5"/>
      <c r="Y971" s="5"/>
      <c r="Z971" s="46"/>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3" t="s">
        <v>2687</v>
      </c>
      <c r="N972" s="1814"/>
      <c r="O972" s="1814"/>
      <c r="P972" s="1814"/>
      <c r="Q972" s="1814"/>
      <c r="R972" s="1814"/>
      <c r="S972" s="1815"/>
      <c r="T972" s="1768"/>
      <c r="U972" s="1769"/>
      <c r="V972" s="1769"/>
      <c r="W972" s="1769"/>
      <c r="X972" s="1769"/>
      <c r="Y972" s="1769"/>
      <c r="Z972" s="1770"/>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6"/>
      <c r="N973" s="1667"/>
      <c r="O973" s="1667"/>
      <c r="P973" s="1667"/>
      <c r="Q973" s="1667"/>
      <c r="R973" s="1667"/>
      <c r="S973" s="1668"/>
      <c r="T973" s="1768"/>
      <c r="U973" s="1769"/>
      <c r="V973" s="1769"/>
      <c r="W973" s="1769"/>
      <c r="X973" s="1769"/>
      <c r="Y973" s="1769"/>
      <c r="Z973" s="1770"/>
      <c r="AA973" s="1666"/>
      <c r="AB973" s="1667"/>
      <c r="AC973" s="1667"/>
      <c r="AD973" s="1667"/>
      <c r="AE973" s="1667"/>
      <c r="AF973" s="1667"/>
      <c r="AG973" s="166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546</v>
      </c>
      <c r="P974" s="1372"/>
      <c r="Q974" s="92"/>
      <c r="R974" s="92"/>
      <c r="S974" s="93"/>
      <c r="T974" s="41" t="s">
        <v>170</v>
      </c>
      <c r="U974" s="42"/>
      <c r="V974" s="42"/>
      <c r="W974" s="1816" t="s">
        <v>334</v>
      </c>
      <c r="X974" s="1817"/>
      <c r="Y974" s="1817"/>
      <c r="Z974" s="1817"/>
      <c r="AA974" s="1817"/>
      <c r="AB974" s="1817"/>
      <c r="AC974" s="1817"/>
      <c r="AD974" s="1817"/>
      <c r="AE974" s="1817"/>
      <c r="AF974" s="1817"/>
      <c r="AG974" s="1818"/>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485"/>
      <c r="H975" s="1485"/>
      <c r="I975" s="1485"/>
      <c r="J975" s="1485"/>
      <c r="K975" s="1485"/>
      <c r="L975" s="1485"/>
      <c r="M975" s="1666">
        <f>M960</f>
        <v>9467100</v>
      </c>
      <c r="N975" s="1667"/>
      <c r="O975" s="1667"/>
      <c r="P975" s="1667"/>
      <c r="Q975" s="1667"/>
      <c r="R975" s="1667"/>
      <c r="S975" s="1668"/>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2"/>
      <c r="BH976" s="1642"/>
      <c r="BI976" s="1642"/>
      <c r="BJ976" s="1642"/>
      <c r="BK976" s="1642"/>
      <c r="BL976" s="164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549</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6" t="s">
        <v>639</v>
      </c>
      <c r="E985" s="1797"/>
      <c r="F985" s="1797"/>
      <c r="G985" s="1797"/>
      <c r="H985" s="1797"/>
      <c r="I985" s="1797"/>
      <c r="J985" s="1797"/>
      <c r="K985" s="1797"/>
      <c r="L985" s="1797"/>
      <c r="M985" s="1797"/>
      <c r="N985" s="1797"/>
      <c r="O985" s="1797"/>
      <c r="P985" s="1797"/>
      <c r="Q985" s="1798"/>
      <c r="R985" s="1796" t="s">
        <v>640</v>
      </c>
      <c r="S985" s="1797"/>
      <c r="T985" s="1797"/>
      <c r="U985" s="1797"/>
      <c r="V985" s="1797"/>
      <c r="W985" s="1797"/>
      <c r="X985" s="1797"/>
      <c r="Y985" s="1797"/>
      <c r="Z985" s="1797"/>
      <c r="AA985" s="1798"/>
      <c r="AB985" s="1796" t="s">
        <v>641</v>
      </c>
      <c r="AC985" s="1797"/>
      <c r="AD985" s="1797"/>
      <c r="AE985" s="1797"/>
      <c r="AF985" s="1797"/>
      <c r="AG985" s="1797"/>
      <c r="AH985" s="1797"/>
      <c r="AI985" s="1798"/>
      <c r="AJ985" s="1796" t="s">
        <v>642</v>
      </c>
      <c r="AK985" s="1797"/>
      <c r="AL985" s="1797"/>
      <c r="AM985" s="1797"/>
      <c r="AN985" s="1797"/>
      <c r="AO985" s="1797"/>
      <c r="AP985" s="1797"/>
      <c r="AQ985" s="1798"/>
      <c r="AR985" s="68"/>
      <c r="AS985" s="68"/>
      <c r="AT985" s="68"/>
      <c r="AU985" s="68"/>
      <c r="AV985" s="68"/>
      <c r="AW985" s="68"/>
      <c r="AX985" s="68"/>
      <c r="AY985" s="68"/>
      <c r="AZ985" s="30"/>
      <c r="BB985" s="14"/>
      <c r="BC985" s="14"/>
    </row>
    <row r="986" spans="1:64" ht="12.95" customHeight="1">
      <c r="A986" s="14"/>
      <c r="B986" s="73"/>
      <c r="C986" s="929"/>
      <c r="D986" s="1802" t="s">
        <v>634</v>
      </c>
      <c r="E986" s="1803"/>
      <c r="F986" s="1803"/>
      <c r="G986" s="1803"/>
      <c r="H986" s="1803"/>
      <c r="I986" s="1803"/>
      <c r="J986" s="1803"/>
      <c r="K986" s="1803"/>
      <c r="L986" s="1803"/>
      <c r="M986" s="1803"/>
      <c r="N986" s="1803"/>
      <c r="O986" s="1803"/>
      <c r="P986" s="1803"/>
      <c r="Q986" s="1804"/>
      <c r="R986" s="1789">
        <f>IF(ISNA(IF($CU$122="4%",(INDEX($CS$160:$CW$217,MATCH($DG$122,$CR$160:$CR$217,0),MATCH(D986,$CS$159:$CW$159,0))),(INDEX($CZ$160:$DD$217,MATCH($DG$122,$CY$160:$CY$217,0),MATCH(D986,$CZ$159:$DD$159,0))))),0,IF($CU$122="4%",(INDEX($CS$160:$CW$217,MATCH($DG$122,$CR$160:$CR$217,0),MATCH(D986,$CS$159:$CW$159,0))),(INDEX($CZ$160:$DD$217,MATCH($DG$122,$CY$160:$CY$217,0),MATCH(D986,$CZ$159:$DD$159,0)))))</f>
        <v>473390</v>
      </c>
      <c r="S986" s="1789"/>
      <c r="T986" s="1789"/>
      <c r="U986" s="1789"/>
      <c r="V986" s="1789"/>
      <c r="W986" s="1789"/>
      <c r="X986" s="1789"/>
      <c r="Y986" s="1789"/>
      <c r="Z986" s="1789"/>
      <c r="AA986" s="1789"/>
      <c r="AB986" s="1786">
        <f>CP802</f>
        <v>33</v>
      </c>
      <c r="AC986" s="1787"/>
      <c r="AD986" s="1787"/>
      <c r="AE986" s="1787"/>
      <c r="AF986" s="1787"/>
      <c r="AG986" s="1787"/>
      <c r="AH986" s="1787"/>
      <c r="AI986" s="1788"/>
      <c r="AJ986" s="1722">
        <f>IF(ISERROR((R986*AB986)),0,(R986*AB986))</f>
        <v>15621870</v>
      </c>
      <c r="AK986" s="1723"/>
      <c r="AL986" s="1723"/>
      <c r="AM986" s="1723"/>
      <c r="AN986" s="1723"/>
      <c r="AO986" s="1723"/>
      <c r="AP986" s="1723"/>
      <c r="AQ986" s="1724"/>
      <c r="AR986" s="68"/>
      <c r="AS986" s="68"/>
      <c r="AT986" s="68"/>
      <c r="AU986" s="68"/>
      <c r="AV986" s="68"/>
      <c r="AW986" s="68"/>
      <c r="AX986" s="68"/>
      <c r="AY986" s="68"/>
      <c r="AZ986" s="30"/>
      <c r="BB986" s="14"/>
      <c r="BC986" s="14"/>
    </row>
    <row r="987" spans="1:64" ht="12.95" customHeight="1">
      <c r="A987" s="14"/>
      <c r="B987" s="73"/>
      <c r="C987" s="83"/>
      <c r="D987" s="1802" t="s">
        <v>325</v>
      </c>
      <c r="E987" s="1803"/>
      <c r="F987" s="1803"/>
      <c r="G987" s="1803"/>
      <c r="H987" s="1803"/>
      <c r="I987" s="1803"/>
      <c r="J987" s="1803"/>
      <c r="K987" s="1803"/>
      <c r="L987" s="1803"/>
      <c r="M987" s="1803"/>
      <c r="N987" s="1803"/>
      <c r="O987" s="1803"/>
      <c r="P987" s="1803"/>
      <c r="Q987" s="1804"/>
      <c r="R987" s="1789">
        <f>IF(ISNA(IF($CU$122="4%",(INDEX($CS$160:$CW$217,MATCH($DG$122,$CR$160:$CR$217,0),MATCH(D987,$CS$159:$CW$159,0))),(INDEX($CZ$160:$DD$217,MATCH($DG$122,$CY$160:$CY$217,0),MATCH(D987,$CZ$159:$DD$159,0))))),0,IF($CU$122="4%",(INDEX($CS$160:$CW$217,MATCH($DG$122,$CR$160:$CR$217,0),MATCH(D987,$CS$159:$CW$159,0))),(INDEX($CZ$160:$DD$217,MATCH($DG$122,$CY$160:$CY$217,0),MATCH(D987,$CZ$159:$DD$159,0)))))</f>
        <v>545814</v>
      </c>
      <c r="S987" s="1789"/>
      <c r="T987" s="1789"/>
      <c r="U987" s="1789"/>
      <c r="V987" s="1789"/>
      <c r="W987" s="1789"/>
      <c r="X987" s="1789"/>
      <c r="Y987" s="1789"/>
      <c r="Z987" s="1789"/>
      <c r="AA987" s="1789"/>
      <c r="AB987" s="1786">
        <f>CU802</f>
        <v>66</v>
      </c>
      <c r="AC987" s="1787"/>
      <c r="AD987" s="1787"/>
      <c r="AE987" s="1787"/>
      <c r="AF987" s="1787"/>
      <c r="AG987" s="1787"/>
      <c r="AH987" s="1787"/>
      <c r="AI987" s="1788"/>
      <c r="AJ987" s="1722">
        <f>IF(ISERROR((R987*AB987)),0,(R987*AB987))</f>
        <v>36023724</v>
      </c>
      <c r="AK987" s="1723"/>
      <c r="AL987" s="1723"/>
      <c r="AM987" s="1723"/>
      <c r="AN987" s="1723"/>
      <c r="AO987" s="1723"/>
      <c r="AP987" s="1723"/>
      <c r="AQ987" s="1724"/>
      <c r="AR987" s="68"/>
      <c r="AS987" s="68"/>
      <c r="AT987" s="68"/>
      <c r="AU987" s="68"/>
      <c r="AV987" s="68"/>
      <c r="AW987" s="68"/>
      <c r="AX987" s="68"/>
      <c r="AY987" s="68"/>
      <c r="AZ987" s="30"/>
      <c r="BB987" s="14"/>
      <c r="BC987" s="14"/>
    </row>
    <row r="988" spans="1:64" ht="12.95" customHeight="1">
      <c r="A988" s="14"/>
      <c r="B988" s="73"/>
      <c r="C988" s="83"/>
      <c r="D988" s="1802" t="s">
        <v>163</v>
      </c>
      <c r="E988" s="1803"/>
      <c r="F988" s="1803"/>
      <c r="G988" s="1803"/>
      <c r="H988" s="1803"/>
      <c r="I988" s="1803"/>
      <c r="J988" s="1803"/>
      <c r="K988" s="1803"/>
      <c r="L988" s="1803"/>
      <c r="M988" s="1803"/>
      <c r="N988" s="1803"/>
      <c r="O988" s="1803"/>
      <c r="P988" s="1803"/>
      <c r="Q988" s="1804"/>
      <c r="R988" s="1789">
        <f>IF(ISNA(IF($CU$122="4%",(INDEX($CS$160:$CW$217,MATCH($DG$122,$CR$160:$CR$217,0),MATCH(D988,$CS$159:$CW$159,0))),(INDEX($CZ$160:$DD$217,MATCH($DG$122,$CY$160:$CY$217,0),MATCH(D988,$CZ$159:$DD$159,0))))),0,IF($CU$122="4%",(INDEX($CS$160:$CW$217,MATCH($DG$122,$CR$160:$CR$217,0),MATCH(D988,$CS$159:$CW$159,0))),(INDEX($CZ$160:$DD$217,MATCH($DG$122,$CY$160:$CY$217,0),MATCH(D988,$CZ$159:$DD$159,0)))))</f>
        <v>658400</v>
      </c>
      <c r="S988" s="1789"/>
      <c r="T988" s="1789"/>
      <c r="U988" s="1789"/>
      <c r="V988" s="1789"/>
      <c r="W988" s="1789"/>
      <c r="X988" s="1789"/>
      <c r="Y988" s="1789"/>
      <c r="Z988" s="1789"/>
      <c r="AA988" s="1789"/>
      <c r="AB988" s="1786">
        <f>CZ802</f>
        <v>132</v>
      </c>
      <c r="AC988" s="1787"/>
      <c r="AD988" s="1787"/>
      <c r="AE988" s="1787"/>
      <c r="AF988" s="1787"/>
      <c r="AG988" s="1787"/>
      <c r="AH988" s="1787"/>
      <c r="AI988" s="1788"/>
      <c r="AJ988" s="1722">
        <f>IF(ISERROR((R988*AB988)),0,(R988*AB988))</f>
        <v>86908800</v>
      </c>
      <c r="AK988" s="1723"/>
      <c r="AL988" s="1723"/>
      <c r="AM988" s="1723"/>
      <c r="AN988" s="1723"/>
      <c r="AO988" s="1723"/>
      <c r="AP988" s="1723"/>
      <c r="AQ988" s="1724"/>
      <c r="AR988" s="68"/>
      <c r="AS988" s="68"/>
      <c r="AT988" s="68"/>
      <c r="AU988" s="68"/>
      <c r="AV988" s="68"/>
      <c r="AW988" s="68"/>
      <c r="AX988" s="68"/>
      <c r="AY988" s="68"/>
      <c r="AZ988" s="30"/>
      <c r="BB988" s="14"/>
      <c r="BC988" s="14"/>
    </row>
    <row r="989" spans="1:64" ht="12.95" customHeight="1">
      <c r="A989" s="14"/>
      <c r="B989" s="73"/>
      <c r="C989" s="83"/>
      <c r="D989" s="1802" t="s">
        <v>164</v>
      </c>
      <c r="E989" s="1803"/>
      <c r="F989" s="1803"/>
      <c r="G989" s="1803"/>
      <c r="H989" s="1803"/>
      <c r="I989" s="1803"/>
      <c r="J989" s="1803"/>
      <c r="K989" s="1803"/>
      <c r="L989" s="1803"/>
      <c r="M989" s="1803"/>
      <c r="N989" s="1803"/>
      <c r="O989" s="1803"/>
      <c r="P989" s="1803"/>
      <c r="Q989" s="1804"/>
      <c r="R989" s="1789">
        <f>IF(ISNA(IF($CU$122="4%",(INDEX($CS$160:$CW$217,MATCH($DG$122,$CR$160:$CR$217,0),MATCH(D989,$CS$159:$CW$159,0))),(INDEX($CZ$160:$DD$217,MATCH($DG$122,$CY$160:$CY$217,0),MATCH(D989,$CZ$159:$DD$159,0))))),0,IF($CU$122="4%",(INDEX($CS$160:$CW$217,MATCH($DG$122,$CR$160:$CR$217,0),MATCH(D989,$CS$159:$CW$159,0))),(INDEX($CZ$160:$DD$217,MATCH($DG$122,$CY$160:$CY$217,0),MATCH(D989,$CZ$159:$DD$159,0)))))</f>
        <v>842752</v>
      </c>
      <c r="S989" s="1789"/>
      <c r="T989" s="1789"/>
      <c r="U989" s="1789"/>
      <c r="V989" s="1789"/>
      <c r="W989" s="1789"/>
      <c r="X989" s="1789"/>
      <c r="Y989" s="1789"/>
      <c r="Z989" s="1789"/>
      <c r="AA989" s="1789"/>
      <c r="AB989" s="1786">
        <f>DE802</f>
        <v>0</v>
      </c>
      <c r="AC989" s="1787"/>
      <c r="AD989" s="1787"/>
      <c r="AE989" s="1787"/>
      <c r="AF989" s="1787"/>
      <c r="AG989" s="1787"/>
      <c r="AH989" s="1787"/>
      <c r="AI989" s="1788"/>
      <c r="AJ989" s="1722">
        <f>IF(ISERROR((R989*AB989)),0,(R989*AB989))</f>
        <v>0</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2.95" customHeight="1">
      <c r="A990" s="14"/>
      <c r="B990" s="47"/>
      <c r="C990" s="78"/>
      <c r="D990" s="1802" t="s">
        <v>461</v>
      </c>
      <c r="E990" s="1803"/>
      <c r="F990" s="1803"/>
      <c r="G990" s="1803"/>
      <c r="H990" s="1803"/>
      <c r="I990" s="1803"/>
      <c r="J990" s="1803"/>
      <c r="K990" s="1803"/>
      <c r="L990" s="1803"/>
      <c r="M990" s="1803"/>
      <c r="N990" s="1803"/>
      <c r="O990" s="1803"/>
      <c r="P990" s="1803"/>
      <c r="Q990" s="1804"/>
      <c r="R990" s="1789">
        <f>IF(ISNA(IF($CU$122="4%",(INDEX($CS$160:$CW$217,MATCH($DG$122,$CR$160:$CR$217,0),MATCH(D990,$CS$159:$CW$159,0))),(INDEX($CZ$160:$DD$217,MATCH($DG$122,$CY$160:$CY$217,0),MATCH(D990,$CZ$159:$DD$159,0))))),0,IF($CU$122="4%",(INDEX($CS$160:$CW$217,MATCH($DG$122,$CR$160:$CR$217,0),MATCH(D990,$CS$159:$CW$159,0))),(INDEX($CZ$160:$DD$217,MATCH($DG$122,$CY$160:$CY$217,0),MATCH(D990,$CZ$159:$DD$159,0)))))</f>
        <v>938878</v>
      </c>
      <c r="S990" s="1789"/>
      <c r="T990" s="1789"/>
      <c r="U990" s="1789"/>
      <c r="V990" s="1789"/>
      <c r="W990" s="1789"/>
      <c r="X990" s="1789"/>
      <c r="Y990" s="1789"/>
      <c r="Z990" s="1789"/>
      <c r="AA990" s="1789"/>
      <c r="AB990" s="1786">
        <f>DO802+DJ802</f>
        <v>0</v>
      </c>
      <c r="AC990" s="1787"/>
      <c r="AD990" s="1787"/>
      <c r="AE990" s="1787"/>
      <c r="AF990" s="1787"/>
      <c r="AG990" s="1787"/>
      <c r="AH990" s="1787"/>
      <c r="AI990" s="1788"/>
      <c r="AJ990" s="1722">
        <f>IF(ISERROR((R990*AB990)),0,(R990*AB990))</f>
        <v>0</v>
      </c>
      <c r="AK990" s="1723"/>
      <c r="AL990" s="1723"/>
      <c r="AM990" s="1723"/>
      <c r="AN990" s="1723"/>
      <c r="AO990" s="1723"/>
      <c r="AP990" s="1723"/>
      <c r="AQ990" s="1724"/>
      <c r="AR990" s="68"/>
      <c r="AS990" s="68"/>
      <c r="AT990" s="68"/>
      <c r="AU990" s="68"/>
      <c r="AV990" s="68"/>
      <c r="AW990" s="68"/>
      <c r="AX990" s="68"/>
      <c r="AY990" s="68"/>
      <c r="AZ990" s="30"/>
      <c r="BB990" s="14"/>
      <c r="BC990" s="14"/>
    </row>
    <row r="991" spans="1:64" ht="12.95"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231</v>
      </c>
      <c r="AC991" s="1787"/>
      <c r="AD991" s="1787"/>
      <c r="AE991" s="1787"/>
      <c r="AF991" s="1787"/>
      <c r="AG991" s="1787"/>
      <c r="AH991" s="1787"/>
      <c r="AI991" s="1788"/>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2.95" customHeight="1">
      <c r="A992" s="14"/>
      <c r="B992" s="1799" t="s">
        <v>513</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2">
        <f>SUM(AJ986:AQ990)</f>
        <v>138554394</v>
      </c>
      <c r="AK992" s="1723"/>
      <c r="AL992" s="1723"/>
      <c r="AM992" s="1723"/>
      <c r="AN992" s="1723"/>
      <c r="AO992" s="1723"/>
      <c r="AP992" s="1723"/>
      <c r="AQ992" s="1724"/>
      <c r="AR992" s="68"/>
      <c r="AS992" s="68"/>
      <c r="AT992" s="68"/>
      <c r="AU992" s="68"/>
      <c r="AV992" s="68"/>
      <c r="AW992" s="68"/>
      <c r="AX992" s="68"/>
      <c r="AY992" s="68"/>
      <c r="AZ992" s="34"/>
      <c r="BB992" s="34"/>
      <c r="BC992" s="34"/>
    </row>
    <row r="993" spans="1:55" ht="12.95"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1" t="s">
        <v>667</v>
      </c>
      <c r="AG993" s="1832"/>
      <c r="AH993" s="1832"/>
      <c r="AI993" s="1833"/>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2.95" customHeight="1">
      <c r="A994" s="14"/>
      <c r="B994" s="73"/>
      <c r="C994" s="927" t="s">
        <v>669</v>
      </c>
      <c r="D994" s="1740" t="s">
        <v>1221</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4" t="s">
        <v>670</v>
      </c>
      <c r="AH994" s="1835"/>
      <c r="AI994" s="87"/>
      <c r="AJ994" s="1731">
        <f>ROUND(IF(AND(AG994="yes",D1000&gt;0),AJ992*0.2,0),0)</f>
        <v>0</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2.95" customHeight="1">
      <c r="A995" s="14"/>
      <c r="B995" s="257"/>
      <c r="C995" s="256"/>
      <c r="D995" s="1774" t="s">
        <v>2235</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2.95" customHeight="1">
      <c r="A996" s="14"/>
      <c r="B996" s="257"/>
      <c r="C996" s="256"/>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2.95" customHeight="1">
      <c r="A997" s="14"/>
      <c r="B997" s="257"/>
      <c r="C997" s="256"/>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2.95" customHeight="1">
      <c r="A998" s="14"/>
      <c r="B998" s="257"/>
      <c r="C998" s="256"/>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2.95" customHeight="1">
      <c r="A999" s="14"/>
      <c r="B999" s="257"/>
      <c r="C999" s="256"/>
      <c r="D999" s="1777" t="s">
        <v>2206</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2.95" customHeight="1">
      <c r="A1000" s="14"/>
      <c r="B1000" s="257"/>
      <c r="C1000" s="256"/>
      <c r="D1000" s="1746"/>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2.95" customHeight="1">
      <c r="A1001" s="14"/>
      <c r="B1001" s="255"/>
      <c r="C1001" s="318"/>
      <c r="D1001" s="1771" t="s">
        <v>1287</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2.95" customHeight="1">
      <c r="A1002" s="14"/>
      <c r="B1002" s="257"/>
      <c r="C1002" s="82"/>
      <c r="D1002" s="1774" t="s">
        <v>1285</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2.95" customHeight="1">
      <c r="A1003" s="14"/>
      <c r="B1003" s="257"/>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229</v>
      </c>
      <c r="AZ1003" s="34"/>
      <c r="BB1003" s="34"/>
    </row>
    <row r="1004" spans="1:55" ht="12.95" customHeight="1">
      <c r="A1004" s="14"/>
      <c r="B1004" s="257"/>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2.95" customHeight="1">
      <c r="A1005" s="14"/>
      <c r="B1005" s="257"/>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0</v>
      </c>
      <c r="AZ1005" s="34"/>
      <c r="BB1005" s="34"/>
    </row>
    <row r="1006" spans="1:55" ht="12.95"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0.5</v>
      </c>
      <c r="AZ1006" s="34"/>
      <c r="BB1006" s="34"/>
    </row>
    <row r="1007" spans="1:55" ht="12.95" customHeight="1">
      <c r="A1007" s="14"/>
      <c r="B1007" s="255"/>
      <c r="C1007" s="80" t="s">
        <v>673</v>
      </c>
      <c r="D1007" s="1771" t="s">
        <v>1684</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670</v>
      </c>
      <c r="AH1007" s="1758"/>
      <c r="AI1007" s="87"/>
      <c r="AJ1007" s="1731">
        <f>ROUND(IF(AG1007="yes",AJ992*0.1,0),0)</f>
        <v>0</v>
      </c>
      <c r="AK1007" s="1732"/>
      <c r="AL1007" s="1732"/>
      <c r="AM1007" s="1732"/>
      <c r="AN1007" s="1732"/>
      <c r="AO1007" s="1732"/>
      <c r="AP1007" s="1732"/>
      <c r="AQ1007" s="1733"/>
      <c r="AR1007" s="68"/>
      <c r="AS1007" s="68"/>
      <c r="AT1007" s="68"/>
      <c r="AU1007" s="68"/>
      <c r="AV1007" s="68"/>
      <c r="AW1007" s="68"/>
      <c r="AX1007" s="68"/>
      <c r="BB1007" s="34"/>
    </row>
    <row r="1008" spans="1:55" ht="12.95" customHeight="1">
      <c r="A1008" s="14"/>
      <c r="B1008" s="73"/>
      <c r="C1008" s="74"/>
      <c r="D1008" s="1702" t="s">
        <v>1286</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2.95"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2.95"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2.95" customHeight="1">
      <c r="A1011" s="14"/>
      <c r="B1011" s="79"/>
      <c r="C1011" s="80" t="s">
        <v>212</v>
      </c>
      <c r="D1011" s="1771" t="s">
        <v>1288</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1289</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1842</v>
      </c>
      <c r="AZ1012" s="3" t="s">
        <v>2607</v>
      </c>
    </row>
    <row r="1013" spans="1:52" ht="12.95" customHeight="1">
      <c r="A1013" s="14"/>
      <c r="B1013" s="79"/>
      <c r="C1013" s="80" t="s">
        <v>215</v>
      </c>
      <c r="D1013" s="1771" t="s">
        <v>1290</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2" t="s">
        <v>1291</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5" t="str">
        <f>IF(AND(AG1013="yes",T212&lt;&gt;1),"The project may not be eligible for this boost","")</f>
        <v/>
      </c>
      <c r="AG1014" s="1856"/>
      <c r="AH1014" s="1856"/>
      <c r="AI1014" s="1857"/>
      <c r="AJ1014" s="1734"/>
      <c r="AK1014" s="1735"/>
      <c r="AL1014" s="1735"/>
      <c r="AM1014" s="1735"/>
      <c r="AN1014" s="1735"/>
      <c r="AO1014" s="1735"/>
      <c r="AP1014" s="1735"/>
      <c r="AQ1014" s="1736"/>
      <c r="AR1014" s="68"/>
      <c r="AS1014" s="68"/>
      <c r="AT1014" s="68"/>
      <c r="AU1014" s="68"/>
      <c r="AV1014" s="68"/>
      <c r="AW1014" s="68"/>
      <c r="AX1014" s="3">
        <v>2</v>
      </c>
      <c r="AY1014" s="200">
        <f t="shared" ref="AY1014:AY1023" si="60">IF((_xlfn.XLOOKUP(AX1014,$C$1065:$C$1103,$A$1065:$A$1103,"",0,1))="Yes",AZ1014,0)</f>
        <v>0</v>
      </c>
      <c r="AZ1014" s="1255">
        <v>0.15</v>
      </c>
    </row>
    <row r="1015" spans="1:52"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8"/>
      <c r="AG1015" s="1859"/>
      <c r="AH1015" s="1859"/>
      <c r="AI1015" s="1860"/>
      <c r="AJ1015" s="1737"/>
      <c r="AK1015" s="1738"/>
      <c r="AL1015" s="1738"/>
      <c r="AM1015" s="1738"/>
      <c r="AN1015" s="1738"/>
      <c r="AO1015" s="1738"/>
      <c r="AP1015" s="1738"/>
      <c r="AQ1015" s="1739"/>
      <c r="AR1015" s="68"/>
      <c r="AS1015" s="68"/>
      <c r="AT1015" s="68"/>
      <c r="AU1015" s="68"/>
      <c r="AV1015" s="68"/>
      <c r="AW1015" s="68"/>
      <c r="AX1015" s="3">
        <v>3</v>
      </c>
      <c r="AY1015" s="200">
        <f t="shared" si="60"/>
        <v>0</v>
      </c>
      <c r="AZ1015" s="1255">
        <v>0.05</v>
      </c>
    </row>
    <row r="1016" spans="1:52" ht="12.95" customHeight="1">
      <c r="A1016" s="14"/>
      <c r="B1016" s="79"/>
      <c r="C1016" s="80" t="s">
        <v>218</v>
      </c>
      <c r="D1016" s="1740" t="s">
        <v>2236</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f t="shared" si="60"/>
        <v>0</v>
      </c>
      <c r="AZ1016" s="1255">
        <v>0.02</v>
      </c>
    </row>
    <row r="1017" spans="1:52" ht="12.95" customHeight="1">
      <c r="A1017" s="14"/>
      <c r="B1017" s="73"/>
      <c r="C1017" s="74"/>
      <c r="D1017" s="1702" t="s">
        <v>1292</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49" t="str">
        <f>IF(AND(AG1016="Yes",AY1024=0),AY1027,"")</f>
        <v/>
      </c>
      <c r="AG1017" s="1850"/>
      <c r="AH1017" s="1850"/>
      <c r="AI1017" s="1851"/>
      <c r="AJ1017" s="1734"/>
      <c r="AK1017" s="1735"/>
      <c r="AL1017" s="1735"/>
      <c r="AM1017" s="1735"/>
      <c r="AN1017" s="1735"/>
      <c r="AO1017" s="1735"/>
      <c r="AP1017" s="1735"/>
      <c r="AQ1017" s="1736"/>
      <c r="AR1017" s="68"/>
      <c r="AS1017" s="68"/>
      <c r="AT1017" s="68"/>
      <c r="AU1017" s="68"/>
      <c r="AV1017" s="68"/>
      <c r="AW1017" s="68"/>
      <c r="AX1017" s="3">
        <v>5</v>
      </c>
      <c r="AY1017" s="200">
        <f t="shared" si="60"/>
        <v>0</v>
      </c>
      <c r="AZ1017" s="1255">
        <v>0.04</v>
      </c>
    </row>
    <row r="1018" spans="1:52" ht="12.95"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49"/>
      <c r="AG1018" s="1850"/>
      <c r="AH1018" s="1850"/>
      <c r="AI1018" s="1851"/>
      <c r="AJ1018" s="1734"/>
      <c r="AK1018" s="1735"/>
      <c r="AL1018" s="1735"/>
      <c r="AM1018" s="1735"/>
      <c r="AN1018" s="1735"/>
      <c r="AO1018" s="1735"/>
      <c r="AP1018" s="1735"/>
      <c r="AQ1018" s="1736"/>
      <c r="AR1018" s="68"/>
      <c r="AS1018" s="68"/>
      <c r="AT1018" s="68"/>
      <c r="AU1018" s="68"/>
      <c r="AV1018" s="68"/>
      <c r="AW1018" s="68"/>
      <c r="AX1018" s="3">
        <v>6</v>
      </c>
      <c r="AY1018" s="200">
        <f t="shared" si="60"/>
        <v>0</v>
      </c>
      <c r="AZ1018" s="1255">
        <v>0.04</v>
      </c>
    </row>
    <row r="1019" spans="1:52" ht="12.95"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2"/>
      <c r="AG1019" s="1853"/>
      <c r="AH1019" s="1853"/>
      <c r="AI1019" s="1854"/>
      <c r="AJ1019" s="1737"/>
      <c r="AK1019" s="1738"/>
      <c r="AL1019" s="1738"/>
      <c r="AM1019" s="1738"/>
      <c r="AN1019" s="1738"/>
      <c r="AO1019" s="1738"/>
      <c r="AP1019" s="1738"/>
      <c r="AQ1019" s="1739"/>
      <c r="AR1019" s="68"/>
      <c r="AS1019" s="68"/>
      <c r="AT1019" s="68"/>
      <c r="AU1019" s="68"/>
      <c r="AV1019" s="68"/>
      <c r="AW1019" s="68"/>
      <c r="AX1019" s="3">
        <v>7</v>
      </c>
      <c r="AY1019" s="200">
        <f t="shared" si="60"/>
        <v>0</v>
      </c>
      <c r="AZ1019" s="1255">
        <v>0.01</v>
      </c>
    </row>
    <row r="1020" spans="1:52" ht="12.95" customHeight="1">
      <c r="A1020" s="14"/>
      <c r="B1020" s="79"/>
      <c r="C1020" s="80" t="s">
        <v>223</v>
      </c>
      <c r="D1020" s="1819" t="s">
        <v>1293</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f t="shared" si="60"/>
        <v>0</v>
      </c>
      <c r="AZ1020" s="1255">
        <v>0.01</v>
      </c>
    </row>
    <row r="1021" spans="1:52" ht="12.95"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6" t="str">
        <f>IF(AG1020="yes","Please Select Type and Enter Amount:","")</f>
        <v/>
      </c>
      <c r="AG1021" s="1837"/>
      <c r="AH1021" s="1837"/>
      <c r="AI1021" s="1838"/>
      <c r="AJ1021" s="1734"/>
      <c r="AK1021" s="1735"/>
      <c r="AL1021" s="1735"/>
      <c r="AM1021" s="1735"/>
      <c r="AN1021" s="1735"/>
      <c r="AO1021" s="1735"/>
      <c r="AP1021" s="1735"/>
      <c r="AQ1021" s="1736"/>
      <c r="AR1021" s="68"/>
      <c r="AS1021" s="68"/>
      <c r="AT1021" s="68"/>
      <c r="AU1021" s="68"/>
      <c r="AV1021" s="68"/>
      <c r="AW1021" s="68"/>
      <c r="AX1021" s="3">
        <v>9</v>
      </c>
      <c r="AY1021" s="200">
        <f t="shared" si="60"/>
        <v>0</v>
      </c>
      <c r="AZ1021" s="1255">
        <v>0.01</v>
      </c>
    </row>
    <row r="1022" spans="1:52" ht="12.95" customHeight="1">
      <c r="A1022" s="14"/>
      <c r="B1022" s="81"/>
      <c r="C1022" s="84"/>
      <c r="D1022" s="1702" t="s">
        <v>1294</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36"/>
      <c r="AG1022" s="1837"/>
      <c r="AH1022" s="1837"/>
      <c r="AI1022" s="1838"/>
      <c r="AJ1022" s="1734"/>
      <c r="AK1022" s="1735"/>
      <c r="AL1022" s="1735"/>
      <c r="AM1022" s="1735"/>
      <c r="AN1022" s="1735"/>
      <c r="AO1022" s="1735"/>
      <c r="AP1022" s="1735"/>
      <c r="AQ1022" s="1736"/>
      <c r="AR1022" s="68"/>
      <c r="AS1022" s="68"/>
      <c r="AT1022" s="68"/>
      <c r="AU1022" s="68"/>
      <c r="AV1022" s="68"/>
      <c r="AW1022" s="68"/>
      <c r="AX1022" s="3">
        <v>10</v>
      </c>
      <c r="AY1022" s="200">
        <f t="shared" si="60"/>
        <v>0</v>
      </c>
      <c r="AZ1022" s="1255">
        <v>0.02</v>
      </c>
    </row>
    <row r="1023" spans="1:52" ht="12.95"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3">
        <v>11</v>
      </c>
      <c r="AY1023" s="200">
        <f t="shared" si="60"/>
        <v>0</v>
      </c>
      <c r="AZ1023" s="1255">
        <v>0.02</v>
      </c>
    </row>
    <row r="1024" spans="1:52" ht="12.95" customHeight="1">
      <c r="A1024" s="14"/>
      <c r="B1024" s="81"/>
      <c r="C1024" s="84"/>
      <c r="D1024" s="526" t="s">
        <v>359</v>
      </c>
      <c r="E1024" s="90"/>
      <c r="F1024" s="90"/>
      <c r="G1024" s="104"/>
      <c r="H1024" s="104"/>
      <c r="I1024" s="49"/>
      <c r="J1024" s="1828" t="s">
        <v>592</v>
      </c>
      <c r="K1024" s="1829"/>
      <c r="L1024" s="1829"/>
      <c r="M1024" s="1829"/>
      <c r="N1024" s="1829"/>
      <c r="O1024" s="1829"/>
      <c r="P1024" s="1829"/>
      <c r="Q1024" s="1829"/>
      <c r="R1024" s="1829"/>
      <c r="S1024" s="1829"/>
      <c r="T1024" s="1829"/>
      <c r="U1024" s="1829"/>
      <c r="V1024" s="1829"/>
      <c r="W1024" s="1829"/>
      <c r="X1024" s="1829"/>
      <c r="Y1024" s="1829"/>
      <c r="Z1024" s="1829"/>
      <c r="AA1024" s="1829"/>
      <c r="AB1024" s="1829"/>
      <c r="AC1024" s="1829"/>
      <c r="AD1024" s="1829"/>
      <c r="AE1024" s="1830"/>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71" t="s">
        <v>1295</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670</v>
      </c>
      <c r="AH1025" s="1758"/>
      <c r="AI1025" s="87"/>
      <c r="AJ1025" s="1731">
        <f>ROUND(IF(AG1025="Yes",AF1027,0),0)</f>
        <v>0</v>
      </c>
      <c r="AK1025" s="1732"/>
      <c r="AL1025" s="1732"/>
      <c r="AM1025" s="1732"/>
      <c r="AN1025" s="1732"/>
      <c r="AO1025" s="1732"/>
      <c r="AP1025" s="1732"/>
      <c r="AQ1025" s="1733"/>
      <c r="AR1025" s="68"/>
      <c r="AS1025" s="68"/>
      <c r="AT1025" s="68"/>
      <c r="AU1025" s="68"/>
      <c r="AV1025" s="68"/>
      <c r="AW1025" s="68"/>
      <c r="AX1025" s="68"/>
      <c r="AY1025" s="68"/>
    </row>
    <row r="1026" spans="1:57" ht="12.95" customHeight="1">
      <c r="A1026" s="14"/>
      <c r="B1026" s="73"/>
      <c r="C1026" s="74"/>
      <c r="D1026" s="1702" t="s">
        <v>1691</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5" t="str">
        <f>IF(AG1025="yes","Enter Amount:","")</f>
        <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2.95"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80"/>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2.95" customHeight="1">
      <c r="A1029" s="14"/>
      <c r="B1029" s="79"/>
      <c r="C1029" s="80" t="s">
        <v>234</v>
      </c>
      <c r="D1029" s="1740" t="s">
        <v>1296</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546</v>
      </c>
      <c r="AH1029" s="1758"/>
      <c r="AI1029" s="87"/>
      <c r="AJ1029" s="1731">
        <f>ROUND(IF(AG1029="yes",(AJ992*0.1),0),0)</f>
        <v>13855439</v>
      </c>
      <c r="AK1029" s="1732"/>
      <c r="AL1029" s="1732"/>
      <c r="AM1029" s="1732"/>
      <c r="AN1029" s="1732"/>
      <c r="AO1029" s="1732"/>
      <c r="AP1029" s="1732"/>
      <c r="AQ1029" s="1733"/>
      <c r="AR1029" s="68"/>
      <c r="AS1029" s="68"/>
      <c r="AT1029" s="68"/>
      <c r="AU1029" s="68"/>
      <c r="AV1029" s="68"/>
      <c r="AW1029" s="68"/>
      <c r="AX1029" s="68"/>
      <c r="AY1029" s="68"/>
    </row>
    <row r="1030" spans="1:57" ht="12.95" customHeight="1">
      <c r="A1030" s="14"/>
      <c r="B1030" s="73"/>
      <c r="C1030" s="74"/>
      <c r="D1030" s="1702" t="s">
        <v>1297</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2.95"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2.95" customHeight="1">
      <c r="A1032" s="14"/>
      <c r="B1032" s="73"/>
      <c r="C1032" s="339" t="s">
        <v>688</v>
      </c>
      <c r="D1032" s="1771" t="s">
        <v>1687</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2.95" customHeight="1">
      <c r="A1033" s="14"/>
      <c r="B1033" s="73"/>
      <c r="C1033" s="74"/>
      <c r="D1033" s="1808"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9"/>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2.95" customHeight="1">
      <c r="A1034" s="14"/>
      <c r="B1034" s="73"/>
      <c r="C1034" s="74"/>
      <c r="D1034" s="180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9"/>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2.95" customHeight="1">
      <c r="A1035" s="14"/>
      <c r="B1035" s="73"/>
      <c r="C1035" s="74"/>
      <c r="D1035" s="1810"/>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2.95" customHeight="1">
      <c r="A1036" s="14"/>
      <c r="B1036" s="73"/>
      <c r="C1036" s="339" t="s">
        <v>688</v>
      </c>
      <c r="D1036" s="1740" t="s">
        <v>1689</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670</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2.95" customHeight="1">
      <c r="A1037" s="14"/>
      <c r="B1037" s="73"/>
      <c r="C1037" s="74"/>
      <c r="D1037" s="1808"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9"/>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2.95" customHeight="1">
      <c r="A1038" s="14"/>
      <c r="B1038" s="73"/>
      <c r="C1038" s="74"/>
      <c r="D1038" s="180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9"/>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131000</v>
      </c>
      <c r="BB1038" s="1183" t="s">
        <v>2489</v>
      </c>
      <c r="BC1038" s="1183"/>
      <c r="BD1038" s="1183"/>
      <c r="BE1038" s="1183"/>
    </row>
    <row r="1039" spans="1:57" ht="12.95" customHeight="1">
      <c r="A1039" s="14"/>
      <c r="B1039" s="73"/>
      <c r="C1039" s="74"/>
      <c r="D1039" s="180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9"/>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0.50218340611353707</v>
      </c>
      <c r="BB1039" s="3" t="s">
        <v>2493</v>
      </c>
    </row>
    <row r="1040" spans="1:57" ht="12.95" customHeight="1">
      <c r="A1040" s="14"/>
      <c r="B1040" s="73"/>
      <c r="C1040" s="74"/>
      <c r="D1040" s="1810"/>
      <c r="E1040" s="1811"/>
      <c r="F1040" s="1811"/>
      <c r="G1040" s="1811"/>
      <c r="H1040" s="1811"/>
      <c r="I1040" s="1811"/>
      <c r="J1040" s="1811"/>
      <c r="K1040" s="1811"/>
      <c r="L1040" s="1811"/>
      <c r="M1040" s="1811"/>
      <c r="N1040" s="1811"/>
      <c r="O1040" s="1811"/>
      <c r="P1040" s="1811"/>
      <c r="Q1040" s="1811"/>
      <c r="R1040" s="1811"/>
      <c r="S1040" s="1811"/>
      <c r="T1040" s="1811"/>
      <c r="U1040" s="1811"/>
      <c r="V1040" s="1811"/>
      <c r="W1040" s="1811"/>
      <c r="X1040" s="1811"/>
      <c r="Y1040" s="1811"/>
      <c r="Z1040" s="1811"/>
      <c r="AA1040" s="1811"/>
      <c r="AB1040" s="1811"/>
      <c r="AC1040" s="1811"/>
      <c r="AD1040" s="1811"/>
      <c r="AE1040" s="1812"/>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71" t="s">
        <v>1298</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670</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0</v>
      </c>
      <c r="BB1041" s="3" t="s">
        <v>2491</v>
      </c>
    </row>
    <row r="1042" spans="1:56" ht="12.95" customHeight="1">
      <c r="A1042" s="14"/>
      <c r="B1042" s="73"/>
      <c r="C1042" s="74"/>
      <c r="D1042" s="1702" t="s">
        <v>2145</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v>
      </c>
      <c r="BB1042" s="3" t="s">
        <v>2492</v>
      </c>
    </row>
    <row r="1043" spans="1:56" ht="12.95"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2.95"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2.95" customHeight="1">
      <c r="A1045" s="14"/>
      <c r="B1045" s="79"/>
      <c r="C1045" s="131" t="s">
        <v>1685</v>
      </c>
      <c r="D1045" s="1740" t="s">
        <v>1865</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No</v>
      </c>
      <c r="AH1045" s="1756"/>
      <c r="AI1045" s="87"/>
      <c r="AJ1045" s="1731">
        <f>IF((X1048=0),0,AY1005*AJ992)</f>
        <v>0</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702" t="s">
        <v>1300</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7059277.6499999994</v>
      </c>
      <c r="BA1046" s="1182">
        <f>IF(BA1040,20%,15%)</f>
        <v>0.15</v>
      </c>
      <c r="BB1046" s="3" t="s">
        <v>2479</v>
      </c>
      <c r="BC1046" s="3" t="s">
        <v>2480</v>
      </c>
      <c r="BD1046" s="3"/>
    </row>
    <row r="1047" spans="1:56" ht="12.95" customHeight="1">
      <c r="A1047" s="14"/>
      <c r="B1047" s="73"/>
      <c r="C1047" s="442"/>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4">
        <f>AY1003</f>
        <v>229</v>
      </c>
      <c r="J1048" s="1795"/>
      <c r="K1048" s="7"/>
      <c r="L1048" s="133"/>
      <c r="M1048" s="133"/>
      <c r="N1048" s="133"/>
      <c r="O1048" s="133"/>
      <c r="P1048" s="133"/>
      <c r="Q1048" s="133"/>
      <c r="R1048" s="133"/>
      <c r="S1048" s="133"/>
      <c r="T1048" s="133"/>
      <c r="U1048" s="133"/>
      <c r="V1048" s="134" t="s">
        <v>974</v>
      </c>
      <c r="W1048" s="48"/>
      <c r="X1048" s="1792">
        <f>CI753</f>
        <v>0</v>
      </c>
      <c r="Y1048" s="1793"/>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1801442.05</v>
      </c>
      <c r="BA1048" s="1182" cm="1">
        <f t="array" ref="BA1048">_xlfn.IFS(X180="Yes",5%,$BA$1038&gt;50000,15%,BA1039&gt;=30%,15%,TRUE,5%)</f>
        <v>0.05</v>
      </c>
      <c r="BB1048" s="3" t="s">
        <v>2479</v>
      </c>
      <c r="BC1048" s="3" t="s">
        <v>2482</v>
      </c>
      <c r="BD1048" s="3"/>
    </row>
    <row r="1049" spans="1:56" ht="12.95" customHeight="1">
      <c r="A1049" s="14"/>
      <c r="B1049" s="79"/>
      <c r="C1049" s="131" t="s">
        <v>1686</v>
      </c>
      <c r="D1049" s="1771" t="s">
        <v>2171</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Yes</v>
      </c>
      <c r="AH1049" s="1756"/>
      <c r="AI1049" s="83"/>
      <c r="AJ1049" s="1731">
        <f>IF((X1052=0),0,(2*AY1006)*AJ992)</f>
        <v>138554394</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702" t="s">
        <v>1299</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2.95"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4">
        <f>AY1003</f>
        <v>229</v>
      </c>
      <c r="J1052" s="1795"/>
      <c r="K1052" s="14"/>
      <c r="L1052" s="133"/>
      <c r="M1052" s="133"/>
      <c r="N1052" s="133"/>
      <c r="O1052" s="133"/>
      <c r="P1052" s="133"/>
      <c r="Q1052" s="133"/>
      <c r="R1052" s="133"/>
      <c r="S1052" s="133"/>
      <c r="T1052" s="133"/>
      <c r="U1052" s="133"/>
      <c r="V1052" s="134" t="s">
        <v>975</v>
      </c>
      <c r="X1052" s="1792">
        <f>CM753</f>
        <v>115</v>
      </c>
      <c r="Y1052" s="1793"/>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90" t="s">
        <v>514</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5">
        <f>SUM(AJ992:AQ1052)</f>
        <v>290964227</v>
      </c>
      <c r="AK1053" s="1806"/>
      <c r="AL1053" s="1806"/>
      <c r="AM1053" s="1806"/>
      <c r="AN1053" s="1806"/>
      <c r="AO1053" s="1806"/>
      <c r="AP1053" s="1806"/>
      <c r="AQ1053" s="1807"/>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91951412</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8860719.6999999993</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0.56158248004903988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8860720</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6360720</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3" t="s">
        <v>795</v>
      </c>
      <c r="B1061" s="1843"/>
      <c r="C1061" s="1843"/>
      <c r="D1061" s="1843"/>
      <c r="E1061" s="1843"/>
      <c r="F1061" s="1843"/>
      <c r="G1061" s="1843"/>
      <c r="H1061" s="1843"/>
      <c r="I1061" s="1843"/>
      <c r="J1061" s="1843"/>
      <c r="K1061" s="1843"/>
      <c r="L1061" s="1843"/>
      <c r="M1061" s="1843"/>
      <c r="N1061" s="1843"/>
      <c r="O1061" s="1843"/>
      <c r="P1061" s="1843"/>
      <c r="Q1061" s="1843"/>
      <c r="R1061" s="1843"/>
      <c r="S1061" s="1843"/>
      <c r="T1061" s="1843"/>
      <c r="U1061" s="1843"/>
      <c r="V1061" s="1843"/>
      <c r="W1061" s="1843"/>
      <c r="X1061" s="1843"/>
      <c r="Y1061" s="1843"/>
      <c r="Z1061" s="1843"/>
      <c r="AA1061" s="1843"/>
      <c r="AB1061" s="1843"/>
      <c r="AC1061" s="1843"/>
      <c r="AD1061" s="1843"/>
      <c r="AE1061" s="1843"/>
      <c r="AF1061" s="1843"/>
      <c r="AG1061" s="1843"/>
      <c r="AH1061" s="1843"/>
      <c r="AI1061" s="1843"/>
      <c r="AJ1061" s="1843"/>
      <c r="AK1061" s="1843"/>
      <c r="AL1061" s="1843"/>
      <c r="AM1061" s="1843"/>
      <c r="AN1061" s="1843"/>
      <c r="AO1061" s="1843"/>
      <c r="AP1061" s="1843"/>
      <c r="AQ1061" s="184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62">
        <v>1</v>
      </c>
      <c r="D1065" s="1862"/>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2"/>
      <c r="D1066" s="186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62">
        <v>2</v>
      </c>
      <c r="D1067" s="1862"/>
      <c r="E1067" s="1864" t="s">
        <v>2238</v>
      </c>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1864"/>
      <c r="AP1067" s="1864"/>
      <c r="AQ1067" s="1864"/>
      <c r="AR1067" s="1864"/>
      <c r="AS1067" s="14"/>
      <c r="AT1067" s="14"/>
      <c r="AV1067" s="68"/>
      <c r="AW1067" s="68"/>
      <c r="AX1067" s="68"/>
      <c r="AY1067" s="68"/>
    </row>
    <row r="1068" spans="1:54" ht="12.95" customHeight="1">
      <c r="A1068" s="198"/>
      <c r="B1068" s="67"/>
      <c r="C1068" s="1862"/>
      <c r="D1068" s="1862"/>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1864"/>
      <c r="AP1068" s="1864"/>
      <c r="AQ1068" s="1864"/>
      <c r="AR1068" s="1864"/>
      <c r="AS1068" s="14"/>
      <c r="AT1068" s="14"/>
      <c r="AV1068" s="68"/>
      <c r="AW1068" s="68"/>
      <c r="AX1068" s="68"/>
      <c r="AY1068" s="68"/>
    </row>
    <row r="1069" spans="1:54" ht="12.95" customHeight="1">
      <c r="A1069" s="198"/>
      <c r="B1069" s="67"/>
      <c r="C1069" s="1862"/>
      <c r="D1069" s="186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62">
        <v>9</v>
      </c>
      <c r="D1097" s="1862"/>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2"/>
      <c r="D1098" s="186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2"/>
      <c r="D1099" s="186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62">
        <v>10</v>
      </c>
      <c r="D1100" s="1862"/>
      <c r="E1100" s="1863" t="s">
        <v>2239</v>
      </c>
      <c r="F1100" s="1863"/>
      <c r="G1100" s="1863"/>
      <c r="H1100" s="1863"/>
      <c r="I1100" s="1863"/>
      <c r="J1100" s="1863"/>
      <c r="K1100" s="1863"/>
      <c r="L1100" s="1863"/>
      <c r="M1100" s="1863"/>
      <c r="N1100" s="1863"/>
      <c r="O1100" s="1863"/>
      <c r="P1100" s="1863"/>
      <c r="Q1100" s="1863"/>
      <c r="R1100" s="1863"/>
      <c r="S1100" s="1863"/>
      <c r="T1100" s="1863"/>
      <c r="U1100" s="1863"/>
      <c r="V1100" s="1863"/>
      <c r="W1100" s="1863"/>
      <c r="X1100" s="1863"/>
      <c r="Y1100" s="1863"/>
      <c r="Z1100" s="1863"/>
      <c r="AA1100" s="1863"/>
      <c r="AB1100" s="1863"/>
      <c r="AC1100" s="1863"/>
      <c r="AD1100" s="1863"/>
      <c r="AE1100" s="1863"/>
      <c r="AF1100" s="1863"/>
      <c r="AG1100" s="1863"/>
      <c r="AH1100" s="1863"/>
      <c r="AI1100" s="1863"/>
      <c r="AJ1100" s="1863"/>
      <c r="AK1100" s="1863"/>
      <c r="AL1100" s="1863"/>
      <c r="AM1100" s="1863"/>
      <c r="AN1100" s="1863"/>
      <c r="AO1100" s="1863"/>
      <c r="AP1100" s="1863"/>
      <c r="AQ1100" s="1863"/>
      <c r="AR1100" s="1863"/>
    </row>
    <row r="1101" spans="1:45" ht="12.95" customHeight="1">
      <c r="A1101" s="1"/>
      <c r="B1101" s="1"/>
      <c r="C1101" s="199"/>
      <c r="D1101" s="1161"/>
      <c r="E1101" s="1863"/>
      <c r="F1101" s="1863"/>
      <c r="G1101" s="1863"/>
      <c r="H1101" s="1863"/>
      <c r="I1101" s="1863"/>
      <c r="J1101" s="1863"/>
      <c r="K1101" s="1863"/>
      <c r="L1101" s="1863"/>
      <c r="M1101" s="1863"/>
      <c r="N1101" s="1863"/>
      <c r="O1101" s="1863"/>
      <c r="P1101" s="1863"/>
      <c r="Q1101" s="1863"/>
      <c r="R1101" s="1863"/>
      <c r="S1101" s="1863"/>
      <c r="T1101" s="1863"/>
      <c r="U1101" s="1863"/>
      <c r="V1101" s="1863"/>
      <c r="W1101" s="1863"/>
      <c r="X1101" s="1863"/>
      <c r="Y1101" s="1863"/>
      <c r="Z1101" s="1863"/>
      <c r="AA1101" s="1863"/>
      <c r="AB1101" s="1863"/>
      <c r="AC1101" s="1863"/>
      <c r="AD1101" s="1863"/>
      <c r="AE1101" s="1863"/>
      <c r="AF1101" s="1863"/>
      <c r="AG1101" s="1863"/>
      <c r="AH1101" s="1863"/>
      <c r="AI1101" s="1863"/>
      <c r="AJ1101" s="1863"/>
      <c r="AK1101" s="1863"/>
      <c r="AL1101" s="1863"/>
      <c r="AM1101" s="1863"/>
      <c r="AN1101" s="1863"/>
      <c r="AO1101" s="1863"/>
      <c r="AP1101" s="1863"/>
      <c r="AQ1101" s="1863"/>
      <c r="AR1101" s="186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62">
        <v>11</v>
      </c>
      <c r="D1103" s="1862"/>
      <c r="E1103" s="1863" t="s">
        <v>2241</v>
      </c>
      <c r="F1103" s="1863"/>
      <c r="G1103" s="1863"/>
      <c r="H1103" s="1863"/>
      <c r="I1103" s="1863"/>
      <c r="J1103" s="1863"/>
      <c r="K1103" s="1863"/>
      <c r="L1103" s="1863"/>
      <c r="M1103" s="1863"/>
      <c r="N1103" s="1863"/>
      <c r="O1103" s="1863"/>
      <c r="P1103" s="1863"/>
      <c r="Q1103" s="1863"/>
      <c r="R1103" s="1863"/>
      <c r="S1103" s="1863"/>
      <c r="T1103" s="1863"/>
      <c r="U1103" s="1863"/>
      <c r="V1103" s="1863"/>
      <c r="W1103" s="1863"/>
      <c r="X1103" s="1863"/>
      <c r="Y1103" s="1863"/>
      <c r="Z1103" s="1863"/>
      <c r="AA1103" s="1863"/>
      <c r="AB1103" s="1863"/>
      <c r="AC1103" s="1863"/>
      <c r="AD1103" s="1863"/>
      <c r="AE1103" s="1863"/>
      <c r="AF1103" s="1863"/>
      <c r="AG1103" s="1863"/>
      <c r="AH1103" s="1863"/>
      <c r="AI1103" s="1863"/>
      <c r="AJ1103" s="1863"/>
      <c r="AK1103" s="1863"/>
      <c r="AL1103" s="1863"/>
      <c r="AM1103" s="1863"/>
      <c r="AN1103" s="1863"/>
      <c r="AO1103" s="1863"/>
      <c r="AP1103" s="1863"/>
      <c r="AQ1103" s="1863"/>
      <c r="AR1103" s="1863"/>
    </row>
    <row r="1104" spans="1:45" ht="12.95" customHeight="1">
      <c r="A1104" s="1"/>
      <c r="B1104" s="1"/>
      <c r="C1104" s="199"/>
      <c r="D1104" s="1161"/>
      <c r="E1104" s="1863"/>
      <c r="F1104" s="1863"/>
      <c r="G1104" s="1863"/>
      <c r="H1104" s="1863"/>
      <c r="I1104" s="1863"/>
      <c r="J1104" s="1863"/>
      <c r="K1104" s="1863"/>
      <c r="L1104" s="1863"/>
      <c r="M1104" s="1863"/>
      <c r="N1104" s="1863"/>
      <c r="O1104" s="1863"/>
      <c r="P1104" s="1863"/>
      <c r="Q1104" s="1863"/>
      <c r="R1104" s="1863"/>
      <c r="S1104" s="1863"/>
      <c r="T1104" s="1863"/>
      <c r="U1104" s="1863"/>
      <c r="V1104" s="1863"/>
      <c r="W1104" s="1863"/>
      <c r="X1104" s="1863"/>
      <c r="Y1104" s="1863"/>
      <c r="Z1104" s="1863"/>
      <c r="AA1104" s="1863"/>
      <c r="AB1104" s="1863"/>
      <c r="AC1104" s="1863"/>
      <c r="AD1104" s="1863"/>
      <c r="AE1104" s="1863"/>
      <c r="AF1104" s="1863"/>
      <c r="AG1104" s="1863"/>
      <c r="AH1104" s="1863"/>
      <c r="AI1104" s="1863"/>
      <c r="AJ1104" s="1863"/>
      <c r="AK1104" s="1863"/>
      <c r="AL1104" s="1863"/>
      <c r="AM1104" s="1863"/>
      <c r="AN1104" s="1863"/>
      <c r="AO1104" s="1863"/>
      <c r="AP1104" s="1863"/>
      <c r="AQ1104" s="1863"/>
      <c r="AR1104" s="186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4" workbookViewId="0">
      <selection activeCell="D26" sqref="D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71" t="s">
        <v>622</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1)Fannie Mae / Capital One</v>
      </c>
      <c r="G2" s="139" t="str">
        <f>Application!B628&amp;Application!C628</f>
        <v>2)Fannie Mae / Capital One</v>
      </c>
      <c r="H2" s="139" t="str">
        <f>Application!B629&amp;Application!C629</f>
        <v>3)CT Housing Preservation, LP</v>
      </c>
      <c r="I2" s="139" t="str">
        <f>Application!B630&amp;Application!C630</f>
        <v>4)Related Affordable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1008000</v>
      </c>
      <c r="C4" s="147">
        <v>1008000</v>
      </c>
      <c r="D4" s="147"/>
      <c r="E4" s="147">
        <f>C4-SUM(F4:Q4)</f>
        <v>1008000</v>
      </c>
      <c r="F4" s="147"/>
      <c r="G4" s="147"/>
      <c r="H4" s="147"/>
      <c r="I4" s="147"/>
      <c r="J4" s="147"/>
      <c r="K4" s="147"/>
      <c r="L4" s="147"/>
      <c r="M4" s="147"/>
      <c r="N4" s="147"/>
      <c r="O4" s="147"/>
      <c r="P4" s="147"/>
      <c r="Q4" s="147"/>
      <c r="R4" s="516">
        <f>SUM(E4:Q4)</f>
        <v>1008000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1008000</v>
      </c>
      <c r="C8" s="146">
        <f t="shared" ref="C8:Q8" si="0">SUM(C4:C7)</f>
        <v>1008000</v>
      </c>
      <c r="D8" s="146">
        <f t="shared" si="0"/>
        <v>0</v>
      </c>
      <c r="E8" s="146">
        <f t="shared" si="0"/>
        <v>1008000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1008000</v>
      </c>
      <c r="S8" s="148"/>
      <c r="T8" s="148"/>
      <c r="U8" s="143"/>
    </row>
    <row r="9" spans="1:21" s="144" customFormat="1">
      <c r="A9" s="145" t="s">
        <v>595</v>
      </c>
      <c r="B9" s="146">
        <f>SUM(C9+D9)</f>
        <v>34992000</v>
      </c>
      <c r="C9" s="147">
        <f>36000000-C4</f>
        <v>34992000</v>
      </c>
      <c r="D9" s="147"/>
      <c r="E9" s="147">
        <f>C9-SUM(F9:Q9)</f>
        <v>0</v>
      </c>
      <c r="F9" s="147">
        <v>27000000</v>
      </c>
      <c r="G9" s="147">
        <f>C9-F9</f>
        <v>7992000</v>
      </c>
      <c r="H9" s="147"/>
      <c r="I9" s="147"/>
      <c r="J9" s="147"/>
      <c r="K9" s="147"/>
      <c r="L9" s="147"/>
      <c r="M9" s="147"/>
      <c r="N9" s="147"/>
      <c r="O9" s="147"/>
      <c r="P9" s="147"/>
      <c r="Q9" s="147"/>
      <c r="R9" s="516">
        <f>SUM(E9:Q9)</f>
        <v>34992000</v>
      </c>
      <c r="S9" s="148"/>
      <c r="T9" s="147">
        <f>R9</f>
        <v>34992000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34992000</v>
      </c>
      <c r="C11" s="146">
        <f t="shared" ref="C11:Q11" si="1">SUM(C9:C10)</f>
        <v>34992000</v>
      </c>
      <c r="D11" s="146">
        <f t="shared" si="1"/>
        <v>0</v>
      </c>
      <c r="E11" s="146">
        <f t="shared" si="1"/>
        <v>0</v>
      </c>
      <c r="F11" s="146">
        <f t="shared" si="1"/>
        <v>27000000</v>
      </c>
      <c r="G11" s="146">
        <f t="shared" si="1"/>
        <v>7992000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34992000</v>
      </c>
      <c r="S11" s="148"/>
      <c r="T11" s="150">
        <f>SUM(T9:T10)</f>
        <v>34992000</v>
      </c>
      <c r="U11" s="143"/>
    </row>
    <row r="12" spans="1:21" s="144" customFormat="1">
      <c r="A12" s="149" t="s">
        <v>84</v>
      </c>
      <c r="B12" s="146">
        <f t="shared" ref="B12:Q12" si="2">SUM(B8+B11)</f>
        <v>36000000</v>
      </c>
      <c r="C12" s="146">
        <f t="shared" si="2"/>
        <v>36000000</v>
      </c>
      <c r="D12" s="146">
        <f t="shared" si="2"/>
        <v>0</v>
      </c>
      <c r="E12" s="146">
        <f t="shared" si="2"/>
        <v>1008000</v>
      </c>
      <c r="F12" s="146">
        <f t="shared" si="2"/>
        <v>27000000</v>
      </c>
      <c r="G12" s="146">
        <f t="shared" si="2"/>
        <v>7992000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36000000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6052200</v>
      </c>
      <c r="C17" s="147">
        <v>6052200</v>
      </c>
      <c r="D17" s="147"/>
      <c r="E17" s="147">
        <f t="shared" ref="E17:E23" si="4">C17-SUM(F17:Q17)</f>
        <v>0</v>
      </c>
      <c r="F17" s="147"/>
      <c r="G17" s="147">
        <f>C17</f>
        <v>6052200</v>
      </c>
      <c r="H17" s="147"/>
      <c r="I17" s="147"/>
      <c r="J17" s="147"/>
      <c r="K17" s="147"/>
      <c r="L17" s="147"/>
      <c r="M17" s="147"/>
      <c r="N17" s="147"/>
      <c r="O17" s="147"/>
      <c r="P17" s="147"/>
      <c r="Q17" s="147"/>
      <c r="R17" s="516">
        <f>SUM(E17:Q17)</f>
        <v>6052200</v>
      </c>
      <c r="S17" s="147">
        <f t="shared" ref="S17:S27" si="5">R17</f>
        <v>6052200</v>
      </c>
      <c r="T17" s="147"/>
      <c r="U17" s="143"/>
    </row>
    <row r="18" spans="1:21" s="144" customFormat="1">
      <c r="A18" s="145" t="s">
        <v>600</v>
      </c>
      <c r="B18" s="146">
        <f t="shared" si="3"/>
        <v>24208800</v>
      </c>
      <c r="C18" s="147">
        <v>24208800</v>
      </c>
      <c r="D18" s="147"/>
      <c r="E18" s="147">
        <f t="shared" si="4"/>
        <v>18253000</v>
      </c>
      <c r="F18" s="147"/>
      <c r="G18" s="147">
        <f>20000000-G17-G9</f>
        <v>5955800</v>
      </c>
      <c r="H18" s="147"/>
      <c r="I18" s="147"/>
      <c r="J18" s="147"/>
      <c r="K18" s="147"/>
      <c r="L18" s="147"/>
      <c r="M18" s="147"/>
      <c r="N18" s="147"/>
      <c r="O18" s="147"/>
      <c r="P18" s="147"/>
      <c r="Q18" s="147"/>
      <c r="R18" s="516">
        <f>SUM(E18:Q18)</f>
        <v>24208800</v>
      </c>
      <c r="S18" s="147">
        <f t="shared" si="5"/>
        <v>24208800</v>
      </c>
      <c r="T18" s="147"/>
      <c r="U18" s="143"/>
    </row>
    <row r="19" spans="1:21" s="144" customFormat="1">
      <c r="A19" s="145" t="s">
        <v>601</v>
      </c>
      <c r="B19" s="146">
        <f t="shared" si="3"/>
        <v>1815660</v>
      </c>
      <c r="C19" s="147">
        <v>1815660</v>
      </c>
      <c r="D19" s="147"/>
      <c r="E19" s="147">
        <f t="shared" si="4"/>
        <v>1815660</v>
      </c>
      <c r="F19" s="147"/>
      <c r="G19" s="147"/>
      <c r="H19" s="147"/>
      <c r="I19" s="147"/>
      <c r="J19" s="147"/>
      <c r="K19" s="147"/>
      <c r="L19" s="147"/>
      <c r="M19" s="147"/>
      <c r="N19" s="147"/>
      <c r="O19" s="147"/>
      <c r="P19" s="147"/>
      <c r="Q19" s="147"/>
      <c r="R19" s="516">
        <f>SUM(E19:Q19)</f>
        <v>1815660</v>
      </c>
      <c r="S19" s="147">
        <f t="shared" si="5"/>
        <v>1815660</v>
      </c>
      <c r="T19" s="147"/>
      <c r="U19" s="143"/>
    </row>
    <row r="20" spans="1:21" s="144" customFormat="1">
      <c r="A20" s="145" t="s">
        <v>137</v>
      </c>
      <c r="B20" s="146">
        <f t="shared" si="3"/>
        <v>605220</v>
      </c>
      <c r="C20" s="147">
        <v>605220</v>
      </c>
      <c r="D20" s="147"/>
      <c r="E20" s="147">
        <f t="shared" si="4"/>
        <v>605220</v>
      </c>
      <c r="F20" s="147"/>
      <c r="G20" s="147"/>
      <c r="H20" s="147"/>
      <c r="I20" s="147"/>
      <c r="J20" s="147"/>
      <c r="K20" s="147"/>
      <c r="L20" s="147"/>
      <c r="M20" s="147"/>
      <c r="N20" s="147"/>
      <c r="O20" s="147"/>
      <c r="P20" s="147"/>
      <c r="Q20" s="147"/>
      <c r="R20" s="516">
        <f t="shared" ref="R20:R27" si="6">SUM(E20:Q20)</f>
        <v>605220</v>
      </c>
      <c r="S20" s="147">
        <f t="shared" si="5"/>
        <v>605220</v>
      </c>
      <c r="T20" s="147"/>
      <c r="U20" s="143"/>
    </row>
    <row r="21" spans="1:21" s="144" customFormat="1">
      <c r="A21" s="145" t="s">
        <v>138</v>
      </c>
      <c r="B21" s="146">
        <f t="shared" si="3"/>
        <v>1815660</v>
      </c>
      <c r="C21" s="147">
        <v>1815660</v>
      </c>
      <c r="D21" s="147"/>
      <c r="E21" s="147">
        <f t="shared" si="4"/>
        <v>1815660</v>
      </c>
      <c r="F21" s="147"/>
      <c r="G21" s="147"/>
      <c r="H21" s="147"/>
      <c r="I21" s="147"/>
      <c r="J21" s="147"/>
      <c r="K21" s="147"/>
      <c r="L21" s="147"/>
      <c r="M21" s="147"/>
      <c r="N21" s="147"/>
      <c r="O21" s="147"/>
      <c r="P21" s="147"/>
      <c r="Q21" s="147"/>
      <c r="R21" s="516">
        <f t="shared" si="6"/>
        <v>1815660</v>
      </c>
      <c r="S21" s="147">
        <f t="shared" si="5"/>
        <v>1815660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6"/>
        <v>0</v>
      </c>
      <c r="S23" s="147">
        <f t="shared" si="5"/>
        <v>0</v>
      </c>
      <c r="T23" s="147"/>
      <c r="U23" s="143"/>
    </row>
    <row r="24" spans="1:21" s="144" customFormat="1">
      <c r="A24" s="508" t="s">
        <v>1641</v>
      </c>
      <c r="B24" s="146">
        <f t="shared" si="3"/>
        <v>0</v>
      </c>
      <c r="C24" s="147"/>
      <c r="D24" s="147"/>
      <c r="E24" s="147">
        <f>C24-SUM(F24:Q24)</f>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9" t="s">
        <v>2722</v>
      </c>
      <c r="B25" s="146">
        <f t="shared" si="3"/>
        <v>300000</v>
      </c>
      <c r="C25" s="147">
        <v>300000</v>
      </c>
      <c r="D25" s="147"/>
      <c r="E25" s="147">
        <f>C25-SUM(F25:Q25)</f>
        <v>300000</v>
      </c>
      <c r="F25" s="147"/>
      <c r="G25" s="147"/>
      <c r="H25" s="147"/>
      <c r="I25" s="147"/>
      <c r="J25" s="147"/>
      <c r="K25" s="147"/>
      <c r="L25" s="147"/>
      <c r="M25" s="147"/>
      <c r="N25" s="147"/>
      <c r="O25" s="147"/>
      <c r="P25" s="147"/>
      <c r="Q25" s="147"/>
      <c r="R25" s="516">
        <f t="shared" si="6"/>
        <v>300000</v>
      </c>
      <c r="S25" s="147"/>
      <c r="T25" s="147"/>
      <c r="U25" s="143"/>
    </row>
    <row r="26" spans="1:21" s="144" customFormat="1">
      <c r="A26" s="149" t="s">
        <v>133</v>
      </c>
      <c r="B26" s="146">
        <f t="shared" si="3"/>
        <v>34797540</v>
      </c>
      <c r="C26" s="146">
        <f>SUM(C17:C25)</f>
        <v>34797540</v>
      </c>
      <c r="D26" s="146">
        <f t="shared" ref="D26:Q26" si="7">SUM(D17:D25)</f>
        <v>0</v>
      </c>
      <c r="E26" s="146">
        <f t="shared" si="7"/>
        <v>22789540</v>
      </c>
      <c r="F26" s="146">
        <f t="shared" si="7"/>
        <v>0</v>
      </c>
      <c r="G26" s="146">
        <f t="shared" si="7"/>
        <v>12008000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34797540</v>
      </c>
      <c r="S26" s="150">
        <f>SUM(S17:S25)</f>
        <v>34497540</v>
      </c>
      <c r="T26" s="150">
        <f>SUM(T17:T25)</f>
        <v>0</v>
      </c>
      <c r="U26" s="143"/>
    </row>
    <row r="27" spans="1:21" s="144" customFormat="1">
      <c r="A27" s="149" t="s">
        <v>141</v>
      </c>
      <c r="B27" s="146">
        <f>SUM(C27:D27)</f>
        <v>1732500</v>
      </c>
      <c r="C27" s="147">
        <v>1732500</v>
      </c>
      <c r="D27" s="147"/>
      <c r="E27" s="147">
        <f>C27-SUM(F27:Q27)</f>
        <v>1732500</v>
      </c>
      <c r="F27" s="147"/>
      <c r="G27" s="147"/>
      <c r="H27" s="147"/>
      <c r="I27" s="147"/>
      <c r="J27" s="147"/>
      <c r="K27" s="147"/>
      <c r="L27" s="147"/>
      <c r="M27" s="147"/>
      <c r="N27" s="147"/>
      <c r="O27" s="147"/>
      <c r="P27" s="147"/>
      <c r="Q27" s="147"/>
      <c r="R27" s="516">
        <f t="shared" si="6"/>
        <v>1732500</v>
      </c>
      <c r="S27" s="147">
        <f t="shared" si="5"/>
        <v>1732500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225000</v>
      </c>
      <c r="C40" s="147">
        <v>225000</v>
      </c>
      <c r="D40" s="147"/>
      <c r="E40" s="147">
        <f t="shared" ref="E40:E41" si="11">C40-SUM(F40:Q40)</f>
        <v>225000</v>
      </c>
      <c r="F40" s="147"/>
      <c r="G40" s="147"/>
      <c r="H40" s="147"/>
      <c r="I40" s="147"/>
      <c r="J40" s="147"/>
      <c r="K40" s="147"/>
      <c r="L40" s="147"/>
      <c r="M40" s="147"/>
      <c r="N40" s="147"/>
      <c r="O40" s="147"/>
      <c r="P40" s="147"/>
      <c r="Q40" s="147"/>
      <c r="R40" s="516">
        <f>SUM(E40:Q40)</f>
        <v>225000</v>
      </c>
      <c r="S40" s="147">
        <f t="shared" ref="S40:S41" si="12">R40</f>
        <v>225000</v>
      </c>
      <c r="T40" s="147"/>
      <c r="U40" s="143"/>
    </row>
    <row r="41" spans="1:21" s="144" customFormat="1">
      <c r="A41" s="145" t="s">
        <v>146</v>
      </c>
      <c r="B41" s="146">
        <f>SUM(C41+D41)</f>
        <v>75000</v>
      </c>
      <c r="C41" s="147">
        <v>75000</v>
      </c>
      <c r="D41" s="147"/>
      <c r="E41" s="147">
        <f t="shared" si="11"/>
        <v>75000</v>
      </c>
      <c r="F41" s="147"/>
      <c r="G41" s="147"/>
      <c r="H41" s="147"/>
      <c r="I41" s="147"/>
      <c r="J41" s="147"/>
      <c r="K41" s="147"/>
      <c r="L41" s="147"/>
      <c r="M41" s="147"/>
      <c r="N41" s="147"/>
      <c r="O41" s="147"/>
      <c r="P41" s="147"/>
      <c r="Q41" s="147"/>
      <c r="R41" s="516">
        <f>SUM(E41:Q41)</f>
        <v>75000</v>
      </c>
      <c r="S41" s="147">
        <f t="shared" si="12"/>
        <v>75000</v>
      </c>
      <c r="T41" s="147"/>
      <c r="U41" s="143"/>
    </row>
    <row r="42" spans="1:21" s="144" customFormat="1">
      <c r="A42" s="149" t="s">
        <v>147</v>
      </c>
      <c r="B42" s="146">
        <f>SUM(C42:D42)</f>
        <v>300000</v>
      </c>
      <c r="C42" s="146">
        <f>SUM(C39:C41)</f>
        <v>300000</v>
      </c>
      <c r="D42" s="146">
        <f>SUM(D39:D41)</f>
        <v>0</v>
      </c>
      <c r="E42" s="146">
        <f t="shared" ref="E42:T42" si="13">SUM(E40:E41)</f>
        <v>300000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300000</v>
      </c>
      <c r="S42" s="150">
        <f t="shared" si="13"/>
        <v>300000</v>
      </c>
      <c r="T42" s="150">
        <f t="shared" si="13"/>
        <v>0</v>
      </c>
      <c r="U42" s="143"/>
    </row>
    <row r="43" spans="1:21" s="144" customFormat="1">
      <c r="A43" s="149" t="s">
        <v>148</v>
      </c>
      <c r="B43" s="146">
        <f>SUM(C43:D43)</f>
        <v>172500</v>
      </c>
      <c r="C43" s="147">
        <v>172500</v>
      </c>
      <c r="D43" s="147"/>
      <c r="E43" s="147">
        <f>C43-SUM(F43:Q43)</f>
        <v>172500</v>
      </c>
      <c r="F43" s="147"/>
      <c r="G43" s="147"/>
      <c r="H43" s="147"/>
      <c r="I43" s="147"/>
      <c r="J43" s="147"/>
      <c r="K43" s="147"/>
      <c r="L43" s="147"/>
      <c r="M43" s="147"/>
      <c r="N43" s="147"/>
      <c r="O43" s="147"/>
      <c r="P43" s="147"/>
      <c r="Q43" s="147"/>
      <c r="R43" s="516">
        <f>SUM(E43:Q43)</f>
        <v>172500</v>
      </c>
      <c r="S43" s="147">
        <f>R43</f>
        <v>172500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3977260</v>
      </c>
      <c r="C45" s="147">
        <v>3977260</v>
      </c>
      <c r="D45" s="147"/>
      <c r="E45" s="147">
        <f t="shared" ref="E45:E53" si="15">C45-SUM(F45:Q45)</f>
        <v>980664</v>
      </c>
      <c r="F45" s="147"/>
      <c r="G45" s="147"/>
      <c r="H45" s="147">
        <f>Application!AO629</f>
        <v>2996596</v>
      </c>
      <c r="I45" s="147"/>
      <c r="J45" s="147"/>
      <c r="K45" s="147"/>
      <c r="L45" s="147"/>
      <c r="M45" s="147"/>
      <c r="N45" s="147"/>
      <c r="O45" s="147"/>
      <c r="P45" s="147"/>
      <c r="Q45" s="147"/>
      <c r="R45" s="516">
        <f t="shared" ref="R45:R53" si="16">SUM(E45:Q45)</f>
        <v>3977260</v>
      </c>
      <c r="S45" s="147">
        <f>R45*1</f>
        <v>3977260</v>
      </c>
      <c r="T45" s="147"/>
      <c r="U45" s="143"/>
    </row>
    <row r="46" spans="1:21" s="144" customFormat="1">
      <c r="A46" s="145" t="s">
        <v>151</v>
      </c>
      <c r="B46" s="146">
        <f t="shared" si="14"/>
        <v>337500</v>
      </c>
      <c r="C46" s="147">
        <v>337500</v>
      </c>
      <c r="D46" s="147"/>
      <c r="E46" s="147">
        <f t="shared" si="15"/>
        <v>337500</v>
      </c>
      <c r="F46" s="147"/>
      <c r="G46" s="147"/>
      <c r="H46" s="147"/>
      <c r="I46" s="147"/>
      <c r="J46" s="147"/>
      <c r="K46" s="147"/>
      <c r="L46" s="147"/>
      <c r="M46" s="147"/>
      <c r="N46" s="147"/>
      <c r="O46" s="147"/>
      <c r="P46" s="147"/>
      <c r="Q46" s="147"/>
      <c r="R46" s="516">
        <f t="shared" si="16"/>
        <v>337500</v>
      </c>
      <c r="S46" s="147"/>
      <c r="T46" s="147"/>
      <c r="U46" s="143"/>
    </row>
    <row r="47" spans="1:21" s="144" customFormat="1">
      <c r="A47" s="186" t="s">
        <v>152</v>
      </c>
      <c r="B47" s="146">
        <f t="shared" si="14"/>
        <v>45000</v>
      </c>
      <c r="C47" s="147">
        <v>45000</v>
      </c>
      <c r="D47" s="147"/>
      <c r="E47" s="147">
        <f t="shared" si="15"/>
        <v>45000</v>
      </c>
      <c r="F47" s="147"/>
      <c r="G47" s="147"/>
      <c r="H47" s="147"/>
      <c r="I47" s="147"/>
      <c r="J47" s="147"/>
      <c r="K47" s="147"/>
      <c r="L47" s="147"/>
      <c r="M47" s="147"/>
      <c r="N47" s="147"/>
      <c r="O47" s="147"/>
      <c r="P47" s="147"/>
      <c r="Q47" s="147"/>
      <c r="R47" s="516">
        <f t="shared" si="16"/>
        <v>45000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R48</f>
        <v>0</v>
      </c>
      <c r="T48" s="147"/>
      <c r="U48" s="143"/>
    </row>
    <row r="49" spans="1:21" s="144" customFormat="1">
      <c r="A49" s="145" t="s">
        <v>57</v>
      </c>
      <c r="B49" s="146">
        <f t="shared" si="14"/>
        <v>506250</v>
      </c>
      <c r="C49" s="147">
        <v>506250</v>
      </c>
      <c r="D49" s="147"/>
      <c r="E49" s="147">
        <f t="shared" si="15"/>
        <v>506250</v>
      </c>
      <c r="F49" s="147"/>
      <c r="G49" s="147"/>
      <c r="H49" s="147"/>
      <c r="I49" s="147"/>
      <c r="J49" s="147"/>
      <c r="K49" s="147"/>
      <c r="L49" s="147"/>
      <c r="M49" s="147"/>
      <c r="N49" s="147"/>
      <c r="O49" s="147"/>
      <c r="P49" s="147"/>
      <c r="Q49" s="147"/>
      <c r="R49" s="516">
        <f t="shared" si="16"/>
        <v>506250</v>
      </c>
      <c r="S49" s="147">
        <f>ROUND(R49/16,0)</f>
        <v>31641</v>
      </c>
      <c r="T49" s="147"/>
      <c r="U49" s="143"/>
    </row>
    <row r="50" spans="1:21" s="144" customFormat="1">
      <c r="A50" s="145" t="s">
        <v>156</v>
      </c>
      <c r="B50" s="146">
        <f t="shared" si="14"/>
        <v>112500</v>
      </c>
      <c r="C50" s="147">
        <v>112500</v>
      </c>
      <c r="D50" s="147"/>
      <c r="E50" s="147">
        <f t="shared" si="15"/>
        <v>112500</v>
      </c>
      <c r="F50" s="147"/>
      <c r="G50" s="147"/>
      <c r="H50" s="147"/>
      <c r="I50" s="147"/>
      <c r="J50" s="147"/>
      <c r="K50" s="147"/>
      <c r="L50" s="147"/>
      <c r="M50" s="147"/>
      <c r="N50" s="147"/>
      <c r="O50" s="147"/>
      <c r="P50" s="147"/>
      <c r="Q50" s="147"/>
      <c r="R50" s="516">
        <f t="shared" si="16"/>
        <v>112500</v>
      </c>
      <c r="S50" s="147"/>
      <c r="T50" s="147">
        <f>R50</f>
        <v>112500</v>
      </c>
      <c r="U50" s="143"/>
    </row>
    <row r="51" spans="1:21" s="144" customFormat="1">
      <c r="A51" s="283" t="s">
        <v>154</v>
      </c>
      <c r="B51" s="146">
        <f t="shared" si="14"/>
        <v>191970</v>
      </c>
      <c r="C51" s="147">
        <v>191970</v>
      </c>
      <c r="D51" s="147"/>
      <c r="E51" s="147">
        <f t="shared" si="15"/>
        <v>191970</v>
      </c>
      <c r="F51" s="147"/>
      <c r="G51" s="147"/>
      <c r="H51" s="147"/>
      <c r="I51" s="147"/>
      <c r="J51" s="147"/>
      <c r="K51" s="147"/>
      <c r="L51" s="147"/>
      <c r="M51" s="147"/>
      <c r="N51" s="147"/>
      <c r="O51" s="147"/>
      <c r="P51" s="147"/>
      <c r="Q51" s="147"/>
      <c r="R51" s="516">
        <f t="shared" si="16"/>
        <v>191970</v>
      </c>
      <c r="S51" s="147">
        <f>R51</f>
        <v>191970</v>
      </c>
      <c r="T51" s="147"/>
      <c r="U51" s="143"/>
    </row>
    <row r="52" spans="1:21" s="144" customFormat="1">
      <c r="A52" s="145" t="s">
        <v>155</v>
      </c>
      <c r="B52" s="146">
        <f t="shared" si="14"/>
        <v>308881</v>
      </c>
      <c r="C52" s="147">
        <v>308881</v>
      </c>
      <c r="D52" s="147"/>
      <c r="E52" s="147">
        <f t="shared" si="15"/>
        <v>308881</v>
      </c>
      <c r="F52" s="147"/>
      <c r="G52" s="147"/>
      <c r="H52" s="147"/>
      <c r="I52" s="147"/>
      <c r="J52" s="147"/>
      <c r="K52" s="147"/>
      <c r="L52" s="147"/>
      <c r="M52" s="147"/>
      <c r="N52" s="147"/>
      <c r="O52" s="147"/>
      <c r="P52" s="147"/>
      <c r="Q52" s="147"/>
      <c r="R52" s="516">
        <f t="shared" si="16"/>
        <v>308881</v>
      </c>
      <c r="S52" s="147">
        <f>R52</f>
        <v>308881</v>
      </c>
      <c r="T52" s="147"/>
      <c r="U52" s="143"/>
    </row>
    <row r="53" spans="1:21" s="144" customFormat="1">
      <c r="A53" s="1149" t="s">
        <v>2688</v>
      </c>
      <c r="B53" s="146">
        <f t="shared" si="14"/>
        <v>80000</v>
      </c>
      <c r="C53" s="147">
        <v>80000</v>
      </c>
      <c r="D53" s="147"/>
      <c r="E53" s="147">
        <f t="shared" si="15"/>
        <v>80000</v>
      </c>
      <c r="F53" s="147"/>
      <c r="G53" s="147"/>
      <c r="H53" s="147"/>
      <c r="I53" s="147"/>
      <c r="J53" s="147"/>
      <c r="K53" s="147"/>
      <c r="L53" s="147"/>
      <c r="M53" s="147"/>
      <c r="N53" s="147"/>
      <c r="O53" s="147"/>
      <c r="P53" s="147"/>
      <c r="Q53" s="147"/>
      <c r="R53" s="516">
        <f t="shared" si="16"/>
        <v>80000</v>
      </c>
      <c r="S53" s="147">
        <f>R53</f>
        <v>80000</v>
      </c>
      <c r="T53" s="147"/>
      <c r="U53" s="143"/>
    </row>
    <row r="54" spans="1:21" s="153" customFormat="1">
      <c r="A54" s="149" t="s">
        <v>157</v>
      </c>
      <c r="B54" s="150">
        <f>SUM(C54:D54)</f>
        <v>5559361</v>
      </c>
      <c r="C54" s="150">
        <f t="shared" ref="C54:T54" si="17">SUM(C45:C53)</f>
        <v>5559361</v>
      </c>
      <c r="D54" s="150">
        <f t="shared" si="17"/>
        <v>0</v>
      </c>
      <c r="E54" s="150">
        <f t="shared" si="17"/>
        <v>2562765</v>
      </c>
      <c r="F54" s="150">
        <f t="shared" si="17"/>
        <v>0</v>
      </c>
      <c r="G54" s="150">
        <f t="shared" si="17"/>
        <v>0</v>
      </c>
      <c r="H54" s="150">
        <f t="shared" si="17"/>
        <v>2996596</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5559361</v>
      </c>
      <c r="S54" s="150">
        <f t="shared" si="17"/>
        <v>4589752</v>
      </c>
      <c r="T54" s="150">
        <f t="shared" si="17"/>
        <v>112500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16">
        <f t="shared" ref="R56:R61" si="19">SUM(E56:Q56)</f>
        <v>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0</v>
      </c>
      <c r="C62" s="146">
        <f t="shared" ref="C62:R62" si="20">SUM(C56:C61)</f>
        <v>0</v>
      </c>
      <c r="D62" s="146">
        <f t="shared" si="20"/>
        <v>0</v>
      </c>
      <c r="E62" s="146">
        <f t="shared" si="20"/>
        <v>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0</v>
      </c>
      <c r="S62" s="148"/>
      <c r="T62" s="148"/>
      <c r="U62" s="143"/>
    </row>
    <row r="63" spans="1:21" s="144" customFormat="1">
      <c r="A63" s="154" t="s">
        <v>302</v>
      </c>
      <c r="B63" s="146">
        <f t="shared" ref="B63:R63" si="21">SUM(B8+B11+B13+B14+B15+B26+B27+B38+B42+B43+B54+B62)</f>
        <v>78561901</v>
      </c>
      <c r="C63" s="146">
        <f t="shared" si="21"/>
        <v>78561901</v>
      </c>
      <c r="D63" s="146">
        <f t="shared" si="21"/>
        <v>0</v>
      </c>
      <c r="E63" s="146">
        <f t="shared" si="21"/>
        <v>28565305</v>
      </c>
      <c r="F63" s="146">
        <f t="shared" si="21"/>
        <v>27000000</v>
      </c>
      <c r="G63" s="146">
        <f t="shared" si="21"/>
        <v>20000000</v>
      </c>
      <c r="H63" s="146">
        <f t="shared" si="21"/>
        <v>2996596</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78561901</v>
      </c>
      <c r="S63" s="146">
        <f>SUM(S10+S13+S14+S15+S26+S27+S38+S42+S43+S54)</f>
        <v>41292292</v>
      </c>
      <c r="T63" s="146">
        <f>SUM(T11+T13+T14+T15+T26+T27+T38+T42+T43+T54)</f>
        <v>35104500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110000</v>
      </c>
      <c r="C65" s="147">
        <v>110000</v>
      </c>
      <c r="D65" s="147"/>
      <c r="E65" s="147">
        <f t="shared" ref="E65:E69" si="22">C65-SUM(F65:Q65)</f>
        <v>110000</v>
      </c>
      <c r="F65" s="147"/>
      <c r="G65" s="147"/>
      <c r="H65" s="147"/>
      <c r="I65" s="147"/>
      <c r="J65" s="147"/>
      <c r="K65" s="147"/>
      <c r="L65" s="147"/>
      <c r="M65" s="147"/>
      <c r="N65" s="147"/>
      <c r="O65" s="147"/>
      <c r="P65" s="147"/>
      <c r="Q65" s="147"/>
      <c r="R65" s="516">
        <f>SUM(E65:Q65)</f>
        <v>110000</v>
      </c>
      <c r="S65" s="147">
        <f>R65</f>
        <v>110000</v>
      </c>
      <c r="T65" s="147"/>
      <c r="U65" s="143"/>
    </row>
    <row r="66" spans="1:21" s="144" customFormat="1" ht="24" customHeight="1">
      <c r="A66" s="283" t="s">
        <v>1642</v>
      </c>
      <c r="B66" s="146">
        <f>SUM(C66+D66)</f>
        <v>0</v>
      </c>
      <c r="C66" s="147"/>
      <c r="D66" s="147"/>
      <c r="E66" s="147">
        <f t="shared" si="22"/>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30000</v>
      </c>
      <c r="C67" s="147">
        <v>30000</v>
      </c>
      <c r="D67" s="147"/>
      <c r="E67" s="147">
        <f t="shared" si="22"/>
        <v>30000</v>
      </c>
      <c r="F67" s="147"/>
      <c r="G67" s="147"/>
      <c r="H67" s="147"/>
      <c r="I67" s="147"/>
      <c r="J67" s="147"/>
      <c r="K67" s="147"/>
      <c r="L67" s="147"/>
      <c r="M67" s="147"/>
      <c r="N67" s="147"/>
      <c r="O67" s="147"/>
      <c r="P67" s="147"/>
      <c r="Q67" s="147"/>
      <c r="R67" s="516">
        <f>SUM(E67:Q67)</f>
        <v>30000</v>
      </c>
      <c r="S67" s="147">
        <f>R67</f>
        <v>30000</v>
      </c>
      <c r="T67" s="147"/>
      <c r="U67" s="143"/>
    </row>
    <row r="68" spans="1:21" s="144" customFormat="1" ht="12" customHeight="1">
      <c r="A68" s="283" t="s">
        <v>1649</v>
      </c>
      <c r="B68" s="146">
        <f>SUM(C68+D68)</f>
        <v>0</v>
      </c>
      <c r="C68" s="147"/>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9" t="s">
        <v>2689</v>
      </c>
      <c r="B69" s="146">
        <f>SUM(C69+D69)</f>
        <v>345000</v>
      </c>
      <c r="C69" s="147">
        <v>345000</v>
      </c>
      <c r="D69" s="147"/>
      <c r="E69" s="147">
        <f t="shared" si="22"/>
        <v>345000</v>
      </c>
      <c r="F69" s="147"/>
      <c r="G69" s="147"/>
      <c r="H69" s="147"/>
      <c r="I69" s="147"/>
      <c r="J69" s="147"/>
      <c r="K69" s="147"/>
      <c r="L69" s="147"/>
      <c r="M69" s="147"/>
      <c r="N69" s="147"/>
      <c r="O69" s="147"/>
      <c r="P69" s="147"/>
      <c r="Q69" s="147"/>
      <c r="R69" s="516">
        <f>SUM(E69:Q69)</f>
        <v>345000</v>
      </c>
      <c r="S69" s="147">
        <f>R69</f>
        <v>345000</v>
      </c>
      <c r="T69" s="147"/>
      <c r="U69" s="143"/>
    </row>
    <row r="70" spans="1:21" s="144" customFormat="1">
      <c r="A70" s="149" t="s">
        <v>1646</v>
      </c>
      <c r="B70" s="146">
        <f>SUM(C70:D70)</f>
        <v>485000</v>
      </c>
      <c r="C70" s="146">
        <f>SUM(C65:C69)</f>
        <v>485000</v>
      </c>
      <c r="D70" s="146">
        <f>SUM(D65:D69)</f>
        <v>0</v>
      </c>
      <c r="E70" s="146">
        <f t="shared" ref="E70:T70" si="23">SUM(E65:E69)</f>
        <v>485000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485000</v>
      </c>
      <c r="S70" s="150">
        <f t="shared" si="23"/>
        <v>485000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231000</v>
      </c>
      <c r="C74" s="147">
        <v>231000</v>
      </c>
      <c r="D74" s="147"/>
      <c r="E74" s="147">
        <f>C74</f>
        <v>231000</v>
      </c>
      <c r="F74" s="147"/>
      <c r="G74" s="147"/>
      <c r="H74" s="147"/>
      <c r="I74" s="147"/>
      <c r="J74" s="147"/>
      <c r="K74" s="147"/>
      <c r="L74" s="147"/>
      <c r="M74" s="147"/>
      <c r="N74" s="147"/>
      <c r="O74" s="147"/>
      <c r="P74" s="147"/>
      <c r="Q74" s="147"/>
      <c r="R74" s="516">
        <f>SUM(E74:Q74)</f>
        <v>231000</v>
      </c>
      <c r="S74" s="148"/>
      <c r="T74" s="148"/>
      <c r="U74" s="143"/>
    </row>
    <row r="75" spans="1:21" s="144" customFormat="1">
      <c r="A75" s="145" t="s">
        <v>606</v>
      </c>
      <c r="B75" s="146">
        <f>SUM(C75+D75)</f>
        <v>1969742</v>
      </c>
      <c r="C75" s="147">
        <f>Application!AC886</f>
        <v>1969742</v>
      </c>
      <c r="D75" s="147"/>
      <c r="E75" s="147">
        <f>C75-SUM(F75:Q75)</f>
        <v>1969742</v>
      </c>
      <c r="F75" s="147"/>
      <c r="G75" s="147"/>
      <c r="H75" s="147"/>
      <c r="I75" s="147"/>
      <c r="J75" s="147"/>
      <c r="K75" s="147"/>
      <c r="L75" s="147"/>
      <c r="M75" s="147"/>
      <c r="N75" s="147"/>
      <c r="O75" s="147"/>
      <c r="P75" s="147"/>
      <c r="Q75" s="147"/>
      <c r="R75" s="516">
        <f>SUM(E75:Q75)</f>
        <v>1969742</v>
      </c>
      <c r="S75" s="148"/>
      <c r="T75" s="148"/>
      <c r="U75" s="143"/>
    </row>
    <row r="76" spans="1:21" s="144" customFormat="1">
      <c r="A76" s="1149" t="s">
        <v>2725</v>
      </c>
      <c r="B76" s="146">
        <f>SUM(C76+D76)</f>
        <v>352441</v>
      </c>
      <c r="C76" s="147">
        <v>352441</v>
      </c>
      <c r="D76" s="147"/>
      <c r="E76" s="147">
        <f>C76</f>
        <v>352441</v>
      </c>
      <c r="F76" s="147"/>
      <c r="G76" s="147"/>
      <c r="H76" s="147"/>
      <c r="I76" s="147"/>
      <c r="J76" s="147"/>
      <c r="K76" s="147"/>
      <c r="L76" s="147"/>
      <c r="M76" s="147"/>
      <c r="N76" s="147"/>
      <c r="O76" s="147"/>
      <c r="P76" s="147"/>
      <c r="Q76" s="147"/>
      <c r="R76" s="516">
        <f>SUM(E76:Q76)</f>
        <v>352441</v>
      </c>
      <c r="S76" s="148"/>
      <c r="T76" s="148"/>
      <c r="U76" s="143"/>
    </row>
    <row r="77" spans="1:21" s="144" customFormat="1">
      <c r="A77" s="149" t="s">
        <v>607</v>
      </c>
      <c r="B77" s="146">
        <f>SUM(C77:D77)</f>
        <v>2553183</v>
      </c>
      <c r="C77" s="146">
        <f>SUM(C72:C76)</f>
        <v>2553183</v>
      </c>
      <c r="D77" s="146">
        <f>SUM(D72:D76)</f>
        <v>0</v>
      </c>
      <c r="E77" s="146">
        <f t="shared" ref="E77:Q77" si="24">SUM(E72:E76)</f>
        <v>2553183</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2553183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3449754</v>
      </c>
      <c r="C79" s="147">
        <f>0.1*SUM(C17:C21)</f>
        <v>3449754</v>
      </c>
      <c r="D79" s="147"/>
      <c r="E79" s="147">
        <f>C79-SUM(F79:Q79)</f>
        <v>3449754</v>
      </c>
      <c r="F79" s="147"/>
      <c r="G79" s="147"/>
      <c r="H79" s="147"/>
      <c r="I79" s="147"/>
      <c r="J79" s="147"/>
      <c r="K79" s="147"/>
      <c r="L79" s="147"/>
      <c r="M79" s="147"/>
      <c r="N79" s="147"/>
      <c r="O79" s="147"/>
      <c r="P79" s="147"/>
      <c r="Q79" s="147"/>
      <c r="R79" s="516">
        <f>SUM(E79:Q79)</f>
        <v>3449754</v>
      </c>
      <c r="S79" s="147">
        <f>R79</f>
        <v>3449754</v>
      </c>
      <c r="T79" s="147"/>
      <c r="U79" s="143"/>
    </row>
    <row r="80" spans="1:21" s="144" customFormat="1">
      <c r="A80" s="283" t="s">
        <v>58</v>
      </c>
      <c r="B80" s="146">
        <f>SUM(C80:D80)</f>
        <v>433596</v>
      </c>
      <c r="C80" s="147">
        <v>433596</v>
      </c>
      <c r="D80" s="147"/>
      <c r="E80" s="147">
        <f>C80-SUM(F80:Q80)</f>
        <v>433596</v>
      </c>
      <c r="F80" s="147"/>
      <c r="G80" s="147"/>
      <c r="H80" s="147"/>
      <c r="I80" s="147"/>
      <c r="J80" s="147"/>
      <c r="K80" s="147"/>
      <c r="L80" s="147"/>
      <c r="M80" s="147"/>
      <c r="N80" s="147"/>
      <c r="O80" s="147"/>
      <c r="P80" s="147"/>
      <c r="Q80" s="147"/>
      <c r="R80" s="516">
        <f>SUM(E80:Q80)</f>
        <v>433596</v>
      </c>
      <c r="S80" s="147">
        <f>R80</f>
        <v>433596</v>
      </c>
      <c r="T80" s="147"/>
      <c r="U80" s="143"/>
    </row>
    <row r="81" spans="1:21" s="144" customFormat="1">
      <c r="A81" s="149" t="s">
        <v>1210</v>
      </c>
      <c r="B81" s="146">
        <f>SUM(C81:D81)</f>
        <v>3883350</v>
      </c>
      <c r="C81" s="509">
        <f>SUM(C79:C80)</f>
        <v>3883350</v>
      </c>
      <c r="D81" s="509">
        <f t="shared" ref="D81:T81" si="25">SUM(D79:D80)</f>
        <v>0</v>
      </c>
      <c r="E81" s="509">
        <f t="shared" si="25"/>
        <v>3883350</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3883350</v>
      </c>
      <c r="S81" s="509">
        <f t="shared" si="25"/>
        <v>3883350</v>
      </c>
      <c r="T81" s="509">
        <f t="shared" si="25"/>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6">SUM(C83+D83)</f>
        <v>138325</v>
      </c>
      <c r="C83" s="147">
        <v>138325</v>
      </c>
      <c r="D83" s="147"/>
      <c r="E83" s="147">
        <f t="shared" ref="E83:E94" si="27">C83-SUM(F83:Q83)</f>
        <v>138325</v>
      </c>
      <c r="F83" s="147"/>
      <c r="G83" s="147"/>
      <c r="H83" s="147"/>
      <c r="I83" s="147"/>
      <c r="J83" s="147"/>
      <c r="K83" s="147"/>
      <c r="L83" s="147"/>
      <c r="M83" s="147"/>
      <c r="N83" s="147"/>
      <c r="O83" s="147"/>
      <c r="P83" s="147"/>
      <c r="Q83" s="147"/>
      <c r="R83" s="516">
        <f t="shared" ref="R83:R95" si="28">SUM(E83:Q83)</f>
        <v>138325</v>
      </c>
      <c r="S83" s="148"/>
      <c r="T83" s="148"/>
      <c r="U83" s="143"/>
    </row>
    <row r="84" spans="1:21" s="144" customFormat="1">
      <c r="A84" s="145" t="s">
        <v>768</v>
      </c>
      <c r="B84" s="146">
        <f t="shared" si="26"/>
        <v>50000</v>
      </c>
      <c r="C84" s="147">
        <v>50000</v>
      </c>
      <c r="D84" s="147"/>
      <c r="E84" s="147">
        <f t="shared" si="27"/>
        <v>50000</v>
      </c>
      <c r="F84" s="147"/>
      <c r="G84" s="147"/>
      <c r="H84" s="147"/>
      <c r="I84" s="147"/>
      <c r="J84" s="147"/>
      <c r="K84" s="147"/>
      <c r="L84" s="147"/>
      <c r="M84" s="147"/>
      <c r="N84" s="147"/>
      <c r="O84" s="147"/>
      <c r="P84" s="147"/>
      <c r="Q84" s="147"/>
      <c r="R84" s="516">
        <f t="shared" si="28"/>
        <v>50000</v>
      </c>
      <c r="S84" s="147">
        <f>R84</f>
        <v>50000</v>
      </c>
      <c r="T84" s="147"/>
      <c r="U84" s="143"/>
    </row>
    <row r="85" spans="1:21" s="144" customFormat="1">
      <c r="A85" s="145" t="s">
        <v>769</v>
      </c>
      <c r="B85" s="146">
        <f t="shared" si="26"/>
        <v>0</v>
      </c>
      <c r="C85" s="147"/>
      <c r="D85" s="147"/>
      <c r="E85" s="147">
        <f t="shared" si="27"/>
        <v>0</v>
      </c>
      <c r="F85" s="147"/>
      <c r="G85" s="147"/>
      <c r="H85" s="147"/>
      <c r="I85" s="147"/>
      <c r="J85" s="147"/>
      <c r="K85" s="147"/>
      <c r="L85" s="147"/>
      <c r="M85" s="147"/>
      <c r="N85" s="147"/>
      <c r="O85" s="147"/>
      <c r="P85" s="147"/>
      <c r="Q85" s="147"/>
      <c r="R85" s="516">
        <f t="shared" si="28"/>
        <v>0</v>
      </c>
      <c r="S85" s="147">
        <f t="shared" ref="S85:S95" si="29">R85</f>
        <v>0</v>
      </c>
      <c r="T85" s="147"/>
      <c r="U85" s="143"/>
    </row>
    <row r="86" spans="1:21" s="144" customFormat="1">
      <c r="A86" s="145" t="s">
        <v>770</v>
      </c>
      <c r="B86" s="146">
        <f t="shared" si="26"/>
        <v>300000</v>
      </c>
      <c r="C86" s="147">
        <v>300000</v>
      </c>
      <c r="D86" s="147"/>
      <c r="E86" s="147">
        <f t="shared" si="27"/>
        <v>300000</v>
      </c>
      <c r="F86" s="147"/>
      <c r="G86" s="147"/>
      <c r="H86" s="147"/>
      <c r="I86" s="147"/>
      <c r="J86" s="147"/>
      <c r="K86" s="147"/>
      <c r="L86" s="147"/>
      <c r="M86" s="147"/>
      <c r="N86" s="147"/>
      <c r="O86" s="147"/>
      <c r="P86" s="147"/>
      <c r="Q86" s="147"/>
      <c r="R86" s="516">
        <f t="shared" si="28"/>
        <v>300000</v>
      </c>
      <c r="S86" s="147">
        <f t="shared" si="29"/>
        <v>300000</v>
      </c>
      <c r="T86" s="147"/>
      <c r="U86" s="143"/>
    </row>
    <row r="87" spans="1:21" s="144" customFormat="1">
      <c r="A87" s="145" t="s">
        <v>771</v>
      </c>
      <c r="B87" s="146">
        <f t="shared" si="26"/>
        <v>0</v>
      </c>
      <c r="C87" s="147"/>
      <c r="D87" s="147"/>
      <c r="E87" s="147">
        <f t="shared" si="27"/>
        <v>0</v>
      </c>
      <c r="F87" s="147"/>
      <c r="G87" s="147"/>
      <c r="H87" s="147"/>
      <c r="I87" s="147"/>
      <c r="J87" s="147"/>
      <c r="K87" s="147"/>
      <c r="L87" s="147"/>
      <c r="M87" s="147"/>
      <c r="N87" s="147"/>
      <c r="O87" s="147"/>
      <c r="P87" s="147"/>
      <c r="Q87" s="147"/>
      <c r="R87" s="516">
        <f t="shared" si="28"/>
        <v>0</v>
      </c>
      <c r="S87" s="147">
        <f t="shared" si="29"/>
        <v>0</v>
      </c>
      <c r="T87" s="147"/>
      <c r="U87" s="143"/>
    </row>
    <row r="88" spans="1:21" s="144" customFormat="1">
      <c r="A88" s="145" t="s">
        <v>772</v>
      </c>
      <c r="B88" s="146">
        <f t="shared" si="26"/>
        <v>55000</v>
      </c>
      <c r="C88" s="147">
        <v>55000</v>
      </c>
      <c r="D88" s="147"/>
      <c r="E88" s="147">
        <f t="shared" si="27"/>
        <v>55000</v>
      </c>
      <c r="F88" s="147"/>
      <c r="G88" s="147"/>
      <c r="H88" s="147"/>
      <c r="I88" s="147"/>
      <c r="J88" s="147"/>
      <c r="K88" s="147"/>
      <c r="L88" s="147"/>
      <c r="M88" s="147"/>
      <c r="N88" s="147"/>
      <c r="O88" s="147"/>
      <c r="P88" s="147"/>
      <c r="Q88" s="147"/>
      <c r="R88" s="516">
        <f t="shared" si="28"/>
        <v>55000</v>
      </c>
      <c r="S88" s="148"/>
      <c r="T88" s="148"/>
      <c r="U88" s="143"/>
    </row>
    <row r="89" spans="1:21" s="144" customFormat="1">
      <c r="A89" s="145" t="s">
        <v>773</v>
      </c>
      <c r="B89" s="146">
        <f t="shared" si="26"/>
        <v>462000</v>
      </c>
      <c r="C89" s="147">
        <v>462000</v>
      </c>
      <c r="D89" s="147"/>
      <c r="E89" s="147">
        <f t="shared" si="27"/>
        <v>462000</v>
      </c>
      <c r="F89" s="147"/>
      <c r="G89" s="147"/>
      <c r="H89" s="147"/>
      <c r="I89" s="147"/>
      <c r="J89" s="147"/>
      <c r="K89" s="147"/>
      <c r="L89" s="147"/>
      <c r="M89" s="147"/>
      <c r="N89" s="147"/>
      <c r="O89" s="147"/>
      <c r="P89" s="147"/>
      <c r="Q89" s="147"/>
      <c r="R89" s="516">
        <f t="shared" si="28"/>
        <v>462000</v>
      </c>
      <c r="S89" s="147">
        <f t="shared" si="29"/>
        <v>462000</v>
      </c>
      <c r="T89" s="147"/>
      <c r="U89" s="143"/>
    </row>
    <row r="90" spans="1:21" s="144" customFormat="1">
      <c r="A90" s="145" t="s">
        <v>774</v>
      </c>
      <c r="B90" s="146">
        <f t="shared" si="26"/>
        <v>10000</v>
      </c>
      <c r="C90" s="147">
        <v>10000</v>
      </c>
      <c r="D90" s="147"/>
      <c r="E90" s="147">
        <f t="shared" si="27"/>
        <v>10000</v>
      </c>
      <c r="F90" s="147"/>
      <c r="G90" s="147"/>
      <c r="H90" s="147"/>
      <c r="I90" s="147"/>
      <c r="J90" s="147"/>
      <c r="K90" s="147"/>
      <c r="L90" s="147"/>
      <c r="M90" s="147"/>
      <c r="N90" s="147"/>
      <c r="O90" s="147"/>
      <c r="P90" s="147"/>
      <c r="Q90" s="147"/>
      <c r="R90" s="516">
        <f t="shared" si="28"/>
        <v>10000</v>
      </c>
      <c r="S90" s="147">
        <f t="shared" si="29"/>
        <v>10000</v>
      </c>
      <c r="T90" s="147"/>
      <c r="U90" s="143"/>
    </row>
    <row r="91" spans="1:21" s="144" customFormat="1">
      <c r="A91" s="145" t="s">
        <v>372</v>
      </c>
      <c r="B91" s="146">
        <f t="shared" si="26"/>
        <v>15000</v>
      </c>
      <c r="C91" s="147">
        <v>15000</v>
      </c>
      <c r="D91" s="147"/>
      <c r="E91" s="147">
        <f t="shared" si="27"/>
        <v>15000</v>
      </c>
      <c r="F91" s="147"/>
      <c r="G91" s="147"/>
      <c r="H91" s="147"/>
      <c r="I91" s="147"/>
      <c r="J91" s="147"/>
      <c r="K91" s="147"/>
      <c r="L91" s="147"/>
      <c r="M91" s="147"/>
      <c r="N91" s="147"/>
      <c r="O91" s="147"/>
      <c r="P91" s="147"/>
      <c r="Q91" s="147"/>
      <c r="R91" s="516">
        <f t="shared" si="28"/>
        <v>15000</v>
      </c>
      <c r="S91" s="147"/>
      <c r="T91" s="147"/>
      <c r="U91" s="143"/>
    </row>
    <row r="92" spans="1:21" s="144" customFormat="1">
      <c r="A92" s="283" t="s">
        <v>1212</v>
      </c>
      <c r="B92" s="146">
        <f t="shared" si="26"/>
        <v>10000</v>
      </c>
      <c r="C92" s="147">
        <v>10000</v>
      </c>
      <c r="D92" s="147"/>
      <c r="E92" s="147">
        <f t="shared" si="27"/>
        <v>10000</v>
      </c>
      <c r="F92" s="147"/>
      <c r="G92" s="147"/>
      <c r="H92" s="147"/>
      <c r="I92" s="147"/>
      <c r="J92" s="147"/>
      <c r="K92" s="147"/>
      <c r="L92" s="147"/>
      <c r="M92" s="147"/>
      <c r="N92" s="147"/>
      <c r="O92" s="147"/>
      <c r="P92" s="147"/>
      <c r="Q92" s="147"/>
      <c r="R92" s="516">
        <f t="shared" si="28"/>
        <v>10000</v>
      </c>
      <c r="S92" s="147">
        <f t="shared" si="29"/>
        <v>10000</v>
      </c>
      <c r="T92" s="147"/>
      <c r="U92" s="143"/>
    </row>
    <row r="93" spans="1:21" s="144" customFormat="1">
      <c r="A93" s="1149" t="s">
        <v>2690</v>
      </c>
      <c r="B93" s="146">
        <f t="shared" si="26"/>
        <v>569209</v>
      </c>
      <c r="C93" s="147">
        <v>569209</v>
      </c>
      <c r="D93" s="147"/>
      <c r="E93" s="147">
        <f t="shared" si="27"/>
        <v>569209</v>
      </c>
      <c r="F93" s="147"/>
      <c r="G93" s="147"/>
      <c r="H93" s="147"/>
      <c r="I93" s="147"/>
      <c r="J93" s="147"/>
      <c r="K93" s="147"/>
      <c r="L93" s="147"/>
      <c r="M93" s="147"/>
      <c r="N93" s="147"/>
      <c r="O93" s="147"/>
      <c r="P93" s="147"/>
      <c r="Q93" s="147"/>
      <c r="R93" s="516">
        <f t="shared" si="28"/>
        <v>569209</v>
      </c>
      <c r="S93" s="147">
        <f t="shared" si="29"/>
        <v>569209</v>
      </c>
      <c r="T93" s="147"/>
      <c r="U93" s="143"/>
    </row>
    <row r="94" spans="1:21" s="144" customFormat="1">
      <c r="A94" s="1149" t="s">
        <v>2724</v>
      </c>
      <c r="B94" s="146">
        <f t="shared" si="26"/>
        <v>924341</v>
      </c>
      <c r="C94" s="147">
        <v>924341</v>
      </c>
      <c r="D94" s="147"/>
      <c r="E94" s="147">
        <f t="shared" si="27"/>
        <v>924341</v>
      </c>
      <c r="F94" s="147"/>
      <c r="G94" s="147"/>
      <c r="H94" s="147"/>
      <c r="I94" s="147"/>
      <c r="J94" s="147"/>
      <c r="K94" s="147"/>
      <c r="L94" s="147"/>
      <c r="M94" s="147"/>
      <c r="N94" s="147"/>
      <c r="O94" s="147"/>
      <c r="P94" s="147"/>
      <c r="Q94" s="147"/>
      <c r="R94" s="516">
        <f t="shared" si="28"/>
        <v>924341</v>
      </c>
      <c r="S94" s="147"/>
      <c r="T94" s="147">
        <f>R94</f>
        <v>924341</v>
      </c>
      <c r="U94" s="143"/>
    </row>
    <row r="95" spans="1:21" s="144" customFormat="1">
      <c r="A95" s="1149" t="s">
        <v>34</v>
      </c>
      <c r="B95" s="146">
        <f t="shared" si="26"/>
        <v>0</v>
      </c>
      <c r="C95" s="147"/>
      <c r="D95" s="147"/>
      <c r="E95" s="147"/>
      <c r="F95" s="147"/>
      <c r="G95" s="147"/>
      <c r="H95" s="147"/>
      <c r="I95" s="147"/>
      <c r="J95" s="147"/>
      <c r="K95" s="147"/>
      <c r="L95" s="147"/>
      <c r="M95" s="147"/>
      <c r="N95" s="147"/>
      <c r="O95" s="147"/>
      <c r="P95" s="147"/>
      <c r="Q95" s="147"/>
      <c r="R95" s="516">
        <f t="shared" si="28"/>
        <v>0</v>
      </c>
      <c r="S95" s="147">
        <f t="shared" si="29"/>
        <v>0</v>
      </c>
      <c r="T95" s="147"/>
      <c r="U95" s="143"/>
    </row>
    <row r="96" spans="1:21" s="144" customFormat="1">
      <c r="A96" s="149" t="s">
        <v>775</v>
      </c>
      <c r="B96" s="146">
        <f>SUM(C96:D96)</f>
        <v>2533875</v>
      </c>
      <c r="C96" s="146">
        <f t="shared" ref="C96:R96" si="30">SUM(C83:C95)</f>
        <v>2533875</v>
      </c>
      <c r="D96" s="146">
        <f t="shared" si="30"/>
        <v>0</v>
      </c>
      <c r="E96" s="146">
        <f t="shared" si="30"/>
        <v>2533875</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2533875</v>
      </c>
      <c r="S96" s="150">
        <f>SUM(S84:S87,S89:S95)</f>
        <v>1401209</v>
      </c>
      <c r="T96" s="146">
        <f>SUM(T84:T87,T89:T95)</f>
        <v>924341</v>
      </c>
      <c r="U96" s="143"/>
    </row>
    <row r="97" spans="1:21" s="144" customFormat="1">
      <c r="A97" s="149" t="s">
        <v>776</v>
      </c>
      <c r="B97" s="146">
        <f>SUM(C97:D97)</f>
        <v>88017309</v>
      </c>
      <c r="C97" s="146">
        <f t="shared" ref="C97:R97" si="31">SUM(C63+C70+C77+C81+C96)</f>
        <v>88017309</v>
      </c>
      <c r="D97" s="146">
        <f t="shared" si="31"/>
        <v>0</v>
      </c>
      <c r="E97" s="146">
        <f t="shared" si="31"/>
        <v>38020713</v>
      </c>
      <c r="F97" s="146">
        <f t="shared" si="31"/>
        <v>27000000</v>
      </c>
      <c r="G97" s="146">
        <f t="shared" si="31"/>
        <v>20000000</v>
      </c>
      <c r="H97" s="146">
        <f t="shared" si="31"/>
        <v>2996596</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88017309</v>
      </c>
      <c r="S97" s="146">
        <f>SUM(S63+S70+S81+S96)</f>
        <v>47061851</v>
      </c>
      <c r="T97" s="146">
        <f>SUM(T63+T70+T81+T96)</f>
        <v>36028841</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8860720</v>
      </c>
      <c r="C99" s="979">
        <f>+S99+T99</f>
        <v>8860720</v>
      </c>
      <c r="D99" s="979"/>
      <c r="E99" s="979">
        <f>C99-SUM(F99:Q99)</f>
        <v>1355690.2206745148</v>
      </c>
      <c r="F99" s="147"/>
      <c r="G99" s="147"/>
      <c r="H99" s="147"/>
      <c r="I99" s="147">
        <f>Application!AO630</f>
        <v>7505029.7793254852</v>
      </c>
      <c r="J99" s="147"/>
      <c r="K99" s="147"/>
      <c r="L99" s="147"/>
      <c r="M99" s="147"/>
      <c r="N99" s="147"/>
      <c r="O99" s="147"/>
      <c r="P99" s="147"/>
      <c r="Q99" s="147"/>
      <c r="R99" s="516">
        <f>SUM(E99:Q99)</f>
        <v>8860720</v>
      </c>
      <c r="S99" s="147">
        <f>ROUND(S97*0.15,0)</f>
        <v>7059278</v>
      </c>
      <c r="T99" s="147">
        <f>ROUND(T97*0.05,0)</f>
        <v>1801442</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8860720</v>
      </c>
      <c r="C104" s="146">
        <f>SUM(C99:C103)</f>
        <v>8860720</v>
      </c>
      <c r="D104" s="146">
        <f t="shared" ref="D104:T104" si="32">SUM(D99:D103)</f>
        <v>0</v>
      </c>
      <c r="E104" s="146">
        <f t="shared" si="32"/>
        <v>1355690.2206745148</v>
      </c>
      <c r="F104" s="146">
        <f t="shared" si="32"/>
        <v>0</v>
      </c>
      <c r="G104" s="146">
        <f t="shared" si="32"/>
        <v>0</v>
      </c>
      <c r="H104" s="146">
        <f t="shared" si="32"/>
        <v>0</v>
      </c>
      <c r="I104" s="146">
        <f t="shared" si="32"/>
        <v>7505029.7793254852</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8860720</v>
      </c>
      <c r="S104" s="150">
        <f t="shared" si="32"/>
        <v>7059278</v>
      </c>
      <c r="T104" s="150">
        <f t="shared" si="32"/>
        <v>1801442</v>
      </c>
      <c r="U104" s="143"/>
    </row>
    <row r="105" spans="1:21" s="144" customFormat="1">
      <c r="A105" s="149" t="s">
        <v>781</v>
      </c>
      <c r="B105" s="150">
        <f>SUM(C105:D105)</f>
        <v>96878029</v>
      </c>
      <c r="C105" s="150">
        <f t="shared" ref="C105:R105" si="33">SUM(C97+C104)</f>
        <v>96878029</v>
      </c>
      <c r="D105" s="150">
        <f t="shared" si="33"/>
        <v>0</v>
      </c>
      <c r="E105" s="150">
        <f t="shared" si="33"/>
        <v>39376403.220674515</v>
      </c>
      <c r="F105" s="150">
        <f t="shared" si="33"/>
        <v>27000000</v>
      </c>
      <c r="G105" s="150">
        <f t="shared" si="33"/>
        <v>20000000</v>
      </c>
      <c r="H105" s="150">
        <f t="shared" si="33"/>
        <v>2996596</v>
      </c>
      <c r="I105" s="150">
        <f t="shared" si="33"/>
        <v>7505029.7793254852</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96878029</v>
      </c>
      <c r="S105" s="150">
        <f>S97+S104</f>
        <v>54121129</v>
      </c>
      <c r="T105" s="150">
        <f>T97+T104</f>
        <v>37830283</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54121129</v>
      </c>
      <c r="T107" s="150">
        <f>T105+T106</f>
        <v>37830283</v>
      </c>
    </row>
    <row r="108" spans="1:21" s="189" customFormat="1">
      <c r="A108" s="162" t="s">
        <v>880</v>
      </c>
      <c r="B108" s="157"/>
      <c r="C108" s="157"/>
      <c r="D108" s="157"/>
      <c r="E108" s="301">
        <f>Application!AO640</f>
        <v>39376403.220674522</v>
      </c>
      <c r="F108" s="301">
        <f>Application!AO627</f>
        <v>27000000</v>
      </c>
      <c r="G108" s="301">
        <f>Application!AO628</f>
        <v>20000000</v>
      </c>
      <c r="H108" s="301">
        <f>Application!AO629</f>
        <v>2996596</v>
      </c>
      <c r="I108" s="301">
        <f>Application!AO630</f>
        <v>7505029.7793254852</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5" t="s">
        <v>991</v>
      </c>
      <c r="E122" s="1875"/>
      <c r="F122" s="187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993</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994</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300</v>
      </c>
      <c r="B129" s="333"/>
      <c r="C129" s="117"/>
      <c r="D129" s="1874" t="s">
        <v>998</v>
      </c>
      <c r="E129" s="1874"/>
      <c r="F129" s="1874"/>
      <c r="G129" s="1874"/>
      <c r="H129" s="187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25" sqref="E2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1228</v>
      </c>
      <c r="B1" s="1879"/>
      <c r="C1" s="1879"/>
      <c r="D1" s="1879"/>
      <c r="E1" s="1879"/>
      <c r="F1" s="1879"/>
      <c r="G1" s="1879"/>
      <c r="H1" s="1879"/>
      <c r="I1" s="1879"/>
      <c r="J1" s="188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1008000</v>
      </c>
      <c r="C4" s="362">
        <f>B4</f>
        <v>1008000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1008000</v>
      </c>
      <c r="C8" s="361">
        <f>SUM(C4:C7)</f>
        <v>1008000</v>
      </c>
      <c r="D8" s="361">
        <f>SUM(D4:D7)</f>
        <v>0</v>
      </c>
      <c r="E8" s="363"/>
      <c r="F8" s="363"/>
      <c r="G8" s="363"/>
      <c r="H8" s="363"/>
      <c r="I8" s="363"/>
      <c r="J8" s="363"/>
      <c r="K8" s="359"/>
    </row>
    <row r="9" spans="1:11" s="360" customFormat="1">
      <c r="A9" s="364" t="s">
        <v>595</v>
      </c>
      <c r="B9" s="361">
        <f>'Sources and Uses Budget'!C9</f>
        <v>34992000</v>
      </c>
      <c r="C9" s="362">
        <f>B9</f>
        <v>34992000</v>
      </c>
      <c r="D9" s="362"/>
      <c r="E9" s="363"/>
      <c r="F9" s="363"/>
      <c r="G9" s="363"/>
      <c r="H9" s="361">
        <f>'Sources and Uses Budget'!T9</f>
        <v>34992000</v>
      </c>
      <c r="I9" s="362">
        <f>B9</f>
        <v>34992000</v>
      </c>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34992000</v>
      </c>
      <c r="C11" s="361">
        <f>SUM(C9:C10)</f>
        <v>34992000</v>
      </c>
      <c r="D11" s="361">
        <f>SUM(D9:D10)</f>
        <v>0</v>
      </c>
      <c r="E11" s="363"/>
      <c r="F11" s="363"/>
      <c r="G11" s="363"/>
      <c r="H11" s="361">
        <f>'Sources and Uses Budget'!T11</f>
        <v>34992000</v>
      </c>
      <c r="I11" s="361">
        <f>SUM(I9:I10)</f>
        <v>34992000</v>
      </c>
      <c r="J11" s="361">
        <f>SUM(J9:J10)</f>
        <v>0</v>
      </c>
      <c r="K11" s="359"/>
    </row>
    <row r="12" spans="1:11" s="360" customFormat="1">
      <c r="A12" s="365" t="s">
        <v>84</v>
      </c>
      <c r="B12" s="361">
        <f>'Sources and Uses Budget'!C12</f>
        <v>36000000</v>
      </c>
      <c r="C12" s="361">
        <f>SUM(C8+C11)</f>
        <v>36000000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6052200</v>
      </c>
      <c r="C17" s="362">
        <f>B17</f>
        <v>6052200</v>
      </c>
      <c r="D17" s="362"/>
      <c r="E17" s="361">
        <f>'Sources and Uses Budget'!S17</f>
        <v>6052200</v>
      </c>
      <c r="F17" s="362">
        <f t="shared" ref="F17:F24" si="0">E17</f>
        <v>6052200</v>
      </c>
      <c r="G17" s="362"/>
      <c r="H17" s="361">
        <f>'Sources and Uses Budget'!T17</f>
        <v>0</v>
      </c>
      <c r="I17" s="362"/>
      <c r="J17" s="362"/>
      <c r="K17" s="359"/>
    </row>
    <row r="18" spans="1:11" s="360" customFormat="1">
      <c r="A18" s="364" t="s">
        <v>600</v>
      </c>
      <c r="B18" s="361">
        <f>'Sources and Uses Budget'!C18</f>
        <v>24208800</v>
      </c>
      <c r="C18" s="362">
        <f t="shared" ref="C18:C25" si="1">B18</f>
        <v>24208800</v>
      </c>
      <c r="D18" s="362"/>
      <c r="E18" s="361">
        <f>'Sources and Uses Budget'!S18</f>
        <v>24208800</v>
      </c>
      <c r="F18" s="362">
        <f t="shared" si="0"/>
        <v>24208800</v>
      </c>
      <c r="G18" s="362"/>
      <c r="H18" s="361">
        <f>'Sources and Uses Budget'!T18</f>
        <v>0</v>
      </c>
      <c r="I18" s="362"/>
      <c r="J18" s="362"/>
      <c r="K18" s="359"/>
    </row>
    <row r="19" spans="1:11" s="360" customFormat="1">
      <c r="A19" s="364" t="s">
        <v>601</v>
      </c>
      <c r="B19" s="361">
        <f>'Sources and Uses Budget'!C19</f>
        <v>1815660</v>
      </c>
      <c r="C19" s="362">
        <f t="shared" si="1"/>
        <v>1815660</v>
      </c>
      <c r="D19" s="362"/>
      <c r="E19" s="361">
        <f>'Sources and Uses Budget'!S19</f>
        <v>1815660</v>
      </c>
      <c r="F19" s="362">
        <f t="shared" si="0"/>
        <v>1815660</v>
      </c>
      <c r="G19" s="362"/>
      <c r="H19" s="361">
        <f>'Sources and Uses Budget'!T19</f>
        <v>0</v>
      </c>
      <c r="I19" s="362"/>
      <c r="J19" s="362"/>
      <c r="K19" s="359"/>
    </row>
    <row r="20" spans="1:11" s="360" customFormat="1">
      <c r="A20" s="364" t="s">
        <v>137</v>
      </c>
      <c r="B20" s="361">
        <f>'Sources and Uses Budget'!C20</f>
        <v>605220</v>
      </c>
      <c r="C20" s="362">
        <f t="shared" si="1"/>
        <v>605220</v>
      </c>
      <c r="D20" s="362"/>
      <c r="E20" s="361">
        <f>'Sources and Uses Budget'!S20</f>
        <v>605220</v>
      </c>
      <c r="F20" s="362">
        <f t="shared" si="0"/>
        <v>605220</v>
      </c>
      <c r="G20" s="362"/>
      <c r="H20" s="361">
        <f>'Sources and Uses Budget'!T20</f>
        <v>0</v>
      </c>
      <c r="I20" s="362"/>
      <c r="J20" s="362"/>
      <c r="K20" s="359"/>
    </row>
    <row r="21" spans="1:11" s="360" customFormat="1">
      <c r="A21" s="364" t="s">
        <v>138</v>
      </c>
      <c r="B21" s="361">
        <f>'Sources and Uses Budget'!C21</f>
        <v>1815660</v>
      </c>
      <c r="C21" s="362">
        <f t="shared" si="1"/>
        <v>1815660</v>
      </c>
      <c r="D21" s="362"/>
      <c r="E21" s="361">
        <f>'Sources and Uses Budget'!S21</f>
        <v>1815660</v>
      </c>
      <c r="F21" s="362">
        <f t="shared" si="0"/>
        <v>1815660</v>
      </c>
      <c r="G21" s="362"/>
      <c r="H21" s="361">
        <f>'Sources and Uses Budget'!T21</f>
        <v>0</v>
      </c>
      <c r="I21" s="362"/>
      <c r="J21" s="362"/>
      <c r="K21" s="359"/>
    </row>
    <row r="22" spans="1:11" s="360" customFormat="1">
      <c r="A22" s="364" t="s">
        <v>139</v>
      </c>
      <c r="B22" s="361">
        <f>'Sources and Uses Budget'!C22</f>
        <v>0</v>
      </c>
      <c r="C22" s="362">
        <f t="shared" si="1"/>
        <v>0</v>
      </c>
      <c r="D22" s="362"/>
      <c r="E22" s="361">
        <f>'Sources and Uses Budget'!S22</f>
        <v>0</v>
      </c>
      <c r="F22" s="362">
        <f t="shared" si="0"/>
        <v>0</v>
      </c>
      <c r="G22" s="362"/>
      <c r="H22" s="361">
        <f>'Sources and Uses Budget'!T22</f>
        <v>0</v>
      </c>
      <c r="I22" s="362"/>
      <c r="J22" s="362"/>
      <c r="K22" s="359"/>
    </row>
    <row r="23" spans="1:11" s="360" customFormat="1">
      <c r="A23" s="364" t="s">
        <v>140</v>
      </c>
      <c r="B23" s="361">
        <f>'Sources and Uses Budget'!C23</f>
        <v>0</v>
      </c>
      <c r="C23" s="362">
        <f t="shared" si="1"/>
        <v>0</v>
      </c>
      <c r="D23" s="362"/>
      <c r="E23" s="361">
        <f>'Sources and Uses Budget'!S23</f>
        <v>0</v>
      </c>
      <c r="F23" s="362">
        <f t="shared" si="0"/>
        <v>0</v>
      </c>
      <c r="G23" s="362"/>
      <c r="H23" s="361">
        <f>'Sources and Uses Budget'!T23</f>
        <v>0</v>
      </c>
      <c r="I23" s="362"/>
      <c r="J23" s="362"/>
      <c r="K23" s="359"/>
    </row>
    <row r="24" spans="1:11" s="360" customFormat="1">
      <c r="A24" s="508" t="s">
        <v>1641</v>
      </c>
      <c r="B24" s="361">
        <f>'Sources and Uses Budget'!C24</f>
        <v>0</v>
      </c>
      <c r="C24" s="362">
        <f t="shared" si="1"/>
        <v>0</v>
      </c>
      <c r="D24" s="362"/>
      <c r="E24" s="361">
        <f>'Sources and Uses Budget'!S24</f>
        <v>0</v>
      </c>
      <c r="F24" s="362">
        <f t="shared" si="0"/>
        <v>0</v>
      </c>
      <c r="G24" s="362"/>
      <c r="H24" s="361">
        <f>'Sources and Uses Budget'!T24</f>
        <v>0</v>
      </c>
      <c r="I24" s="362"/>
      <c r="J24" s="362"/>
      <c r="K24" s="359"/>
    </row>
    <row r="25" spans="1:11" s="360" customFormat="1">
      <c r="A25" s="364" t="str">
        <f>'Sources and Uses Budget'!$A25</f>
        <v>Other: Affiliated CM</v>
      </c>
      <c r="B25" s="361">
        <f>'Sources and Uses Budget'!C25</f>
        <v>300000</v>
      </c>
      <c r="C25" s="362">
        <f t="shared" si="1"/>
        <v>300000</v>
      </c>
      <c r="D25" s="362"/>
      <c r="E25" s="361">
        <f>'Sources and Uses Budget'!S25</f>
        <v>0</v>
      </c>
      <c r="F25" s="362">
        <f>E25</f>
        <v>0</v>
      </c>
      <c r="G25" s="362"/>
      <c r="H25" s="361">
        <f>'Sources and Uses Budget'!T25</f>
        <v>0</v>
      </c>
      <c r="I25" s="362"/>
      <c r="J25" s="362"/>
      <c r="K25" s="359"/>
    </row>
    <row r="26" spans="1:11" s="360" customFormat="1">
      <c r="A26" s="365" t="s">
        <v>133</v>
      </c>
      <c r="B26" s="361">
        <f>'Sources and Uses Budget'!C26</f>
        <v>34797540</v>
      </c>
      <c r="C26" s="361">
        <f>SUM(C17:C25)</f>
        <v>34797540</v>
      </c>
      <c r="D26" s="361">
        <f>SUM(D17:D25)</f>
        <v>0</v>
      </c>
      <c r="E26" s="361">
        <f>'Sources and Uses Budget'!S26</f>
        <v>34497540</v>
      </c>
      <c r="F26" s="367">
        <f>SUM(F17:F25)</f>
        <v>34497540</v>
      </c>
      <c r="G26" s="367">
        <f>SUM(G17:G25)</f>
        <v>0</v>
      </c>
      <c r="H26" s="361">
        <f>'Sources and Uses Budget'!T26</f>
        <v>0</v>
      </c>
      <c r="I26" s="367">
        <f>SUM(I17:I25)</f>
        <v>0</v>
      </c>
      <c r="J26" s="367">
        <f>SUM(J17:J25)</f>
        <v>0</v>
      </c>
      <c r="K26" s="359"/>
    </row>
    <row r="27" spans="1:11" s="360" customFormat="1">
      <c r="A27" s="365" t="s">
        <v>141</v>
      </c>
      <c r="B27" s="361">
        <f>'Sources and Uses Budget'!C27</f>
        <v>1732500</v>
      </c>
      <c r="C27" s="362">
        <f t="shared" ref="C27" si="2">B27</f>
        <v>1732500</v>
      </c>
      <c r="D27" s="362"/>
      <c r="E27" s="361">
        <f>'Sources and Uses Budget'!S27</f>
        <v>1732500</v>
      </c>
      <c r="F27" s="362">
        <f>C27</f>
        <v>1732500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225000</v>
      </c>
      <c r="C40" s="362">
        <f t="shared" ref="C40:C41" si="3">B40</f>
        <v>225000</v>
      </c>
      <c r="D40" s="362"/>
      <c r="E40" s="361">
        <f>'Sources and Uses Budget'!S40</f>
        <v>225000</v>
      </c>
      <c r="F40" s="362">
        <f t="shared" ref="F40:F41" si="4">E40</f>
        <v>225000</v>
      </c>
      <c r="G40" s="362"/>
      <c r="H40" s="361">
        <f>'Sources and Uses Budget'!T40</f>
        <v>0</v>
      </c>
      <c r="I40" s="362"/>
      <c r="J40" s="362"/>
      <c r="K40" s="359"/>
    </row>
    <row r="41" spans="1:11" s="360" customFormat="1">
      <c r="A41" s="364" t="s">
        <v>146</v>
      </c>
      <c r="B41" s="361">
        <f>'Sources and Uses Budget'!C41</f>
        <v>75000</v>
      </c>
      <c r="C41" s="362">
        <f t="shared" si="3"/>
        <v>75000</v>
      </c>
      <c r="D41" s="362"/>
      <c r="E41" s="361">
        <f>'Sources and Uses Budget'!S41</f>
        <v>75000</v>
      </c>
      <c r="F41" s="362">
        <f t="shared" si="4"/>
        <v>75000</v>
      </c>
      <c r="G41" s="362"/>
      <c r="H41" s="361">
        <f>'Sources and Uses Budget'!T41</f>
        <v>0</v>
      </c>
      <c r="I41" s="362"/>
      <c r="J41" s="362"/>
      <c r="K41" s="359"/>
    </row>
    <row r="42" spans="1:11" s="360" customFormat="1">
      <c r="A42" s="365" t="s">
        <v>147</v>
      </c>
      <c r="B42" s="361">
        <f>'Sources and Uses Budget'!C42</f>
        <v>300000</v>
      </c>
      <c r="C42" s="361">
        <f>SUM(C39:C41)</f>
        <v>300000</v>
      </c>
      <c r="D42" s="361">
        <f>SUM(D39:D41)</f>
        <v>0</v>
      </c>
      <c r="E42" s="361">
        <f>'Sources and Uses Budget'!S42</f>
        <v>300000</v>
      </c>
      <c r="F42" s="367">
        <f>SUM(F40:F41)</f>
        <v>300000</v>
      </c>
      <c r="G42" s="367">
        <f>SUM(G40:G41)</f>
        <v>0</v>
      </c>
      <c r="H42" s="361">
        <f>'Sources and Uses Budget'!T42</f>
        <v>0</v>
      </c>
      <c r="I42" s="367">
        <f>SUM(I40:I41)</f>
        <v>0</v>
      </c>
      <c r="J42" s="367">
        <f>SUM(J40:J41)</f>
        <v>0</v>
      </c>
      <c r="K42" s="359"/>
    </row>
    <row r="43" spans="1:11" s="360" customFormat="1">
      <c r="A43" s="365" t="s">
        <v>148</v>
      </c>
      <c r="B43" s="361">
        <f>'Sources and Uses Budget'!C43</f>
        <v>172500</v>
      </c>
      <c r="C43" s="362">
        <f t="shared" ref="C43" si="5">B43</f>
        <v>172500</v>
      </c>
      <c r="D43" s="362"/>
      <c r="E43" s="361">
        <f>'Sources and Uses Budget'!S43</f>
        <v>172500</v>
      </c>
      <c r="F43" s="362">
        <f t="shared" ref="F43" si="6">E43</f>
        <v>172500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3977260</v>
      </c>
      <c r="C45" s="362">
        <f t="shared" ref="C45:C53" si="7">B45</f>
        <v>3977260</v>
      </c>
      <c r="D45" s="362"/>
      <c r="E45" s="361">
        <f>'Sources and Uses Budget'!S45</f>
        <v>3977260</v>
      </c>
      <c r="F45" s="362">
        <f>E45</f>
        <v>3977260</v>
      </c>
      <c r="G45" s="362"/>
      <c r="H45" s="361">
        <f>'Sources and Uses Budget'!T45</f>
        <v>0</v>
      </c>
      <c r="I45" s="362"/>
      <c r="J45" s="362"/>
      <c r="K45" s="359"/>
    </row>
    <row r="46" spans="1:11" s="360" customFormat="1">
      <c r="A46" s="364" t="s">
        <v>151</v>
      </c>
      <c r="B46" s="361">
        <f>'Sources and Uses Budget'!C46</f>
        <v>337500</v>
      </c>
      <c r="C46" s="362">
        <f t="shared" si="7"/>
        <v>337500</v>
      </c>
      <c r="D46" s="362"/>
      <c r="E46" s="361">
        <f>'Sources and Uses Budget'!S46</f>
        <v>0</v>
      </c>
      <c r="F46" s="362">
        <f t="shared" ref="F46:F53" si="8">E46</f>
        <v>0</v>
      </c>
      <c r="G46" s="362"/>
      <c r="H46" s="361">
        <f>'Sources and Uses Budget'!T46</f>
        <v>0</v>
      </c>
      <c r="I46" s="362"/>
      <c r="J46" s="362"/>
      <c r="K46" s="359"/>
    </row>
    <row r="47" spans="1:11" s="360" customFormat="1" ht="12" customHeight="1">
      <c r="A47" s="364" t="s">
        <v>152</v>
      </c>
      <c r="B47" s="361">
        <f>'Sources and Uses Budget'!C47</f>
        <v>45000</v>
      </c>
      <c r="C47" s="362">
        <f t="shared" si="7"/>
        <v>45000</v>
      </c>
      <c r="D47" s="362"/>
      <c r="E47" s="361">
        <f>'Sources and Uses Budget'!S47</f>
        <v>0</v>
      </c>
      <c r="F47" s="362">
        <f t="shared" si="8"/>
        <v>0</v>
      </c>
      <c r="G47" s="362"/>
      <c r="H47" s="361">
        <f>'Sources and Uses Budget'!T47</f>
        <v>0</v>
      </c>
      <c r="I47" s="362"/>
      <c r="J47" s="362"/>
      <c r="K47" s="359"/>
    </row>
    <row r="48" spans="1:11" s="360" customFormat="1">
      <c r="A48" s="364" t="s">
        <v>153</v>
      </c>
      <c r="B48" s="361">
        <f>'Sources and Uses Budget'!C48</f>
        <v>0</v>
      </c>
      <c r="C48" s="362">
        <f t="shared" si="7"/>
        <v>0</v>
      </c>
      <c r="D48" s="362"/>
      <c r="E48" s="361">
        <f>'Sources and Uses Budget'!S48</f>
        <v>0</v>
      </c>
      <c r="F48" s="362">
        <f t="shared" si="8"/>
        <v>0</v>
      </c>
      <c r="G48" s="362"/>
      <c r="H48" s="361">
        <f>'Sources and Uses Budget'!T48</f>
        <v>0</v>
      </c>
      <c r="I48" s="362"/>
      <c r="J48" s="362"/>
      <c r="K48" s="359"/>
    </row>
    <row r="49" spans="1:11" s="360" customFormat="1">
      <c r="A49" s="283" t="s">
        <v>57</v>
      </c>
      <c r="B49" s="361">
        <f>'Sources and Uses Budget'!C49</f>
        <v>506250</v>
      </c>
      <c r="C49" s="362">
        <f t="shared" si="7"/>
        <v>506250</v>
      </c>
      <c r="D49" s="362"/>
      <c r="E49" s="361">
        <f>'Sources and Uses Budget'!S49</f>
        <v>31641</v>
      </c>
      <c r="F49" s="362">
        <f t="shared" si="8"/>
        <v>31641</v>
      </c>
      <c r="G49" s="362"/>
      <c r="H49" s="361">
        <f>'Sources and Uses Budget'!T49</f>
        <v>0</v>
      </c>
      <c r="I49" s="362"/>
      <c r="J49" s="362"/>
      <c r="K49" s="359"/>
    </row>
    <row r="50" spans="1:11" s="360" customFormat="1">
      <c r="A50" s="364" t="s">
        <v>156</v>
      </c>
      <c r="B50" s="361">
        <f>'Sources and Uses Budget'!C50</f>
        <v>112500</v>
      </c>
      <c r="C50" s="362">
        <f t="shared" si="7"/>
        <v>112500</v>
      </c>
      <c r="D50" s="362"/>
      <c r="E50" s="361">
        <f>'Sources and Uses Budget'!S50</f>
        <v>0</v>
      </c>
      <c r="F50" s="362">
        <f t="shared" si="8"/>
        <v>0</v>
      </c>
      <c r="G50" s="362"/>
      <c r="H50" s="361">
        <f>'Sources and Uses Budget'!T50</f>
        <v>112500</v>
      </c>
      <c r="I50" s="362">
        <f>H50</f>
        <v>112500</v>
      </c>
      <c r="J50" s="362"/>
      <c r="K50" s="359"/>
    </row>
    <row r="51" spans="1:11" s="360" customFormat="1">
      <c r="A51" s="364" t="s">
        <v>154</v>
      </c>
      <c r="B51" s="361">
        <f>'Sources and Uses Budget'!C51</f>
        <v>191970</v>
      </c>
      <c r="C51" s="362">
        <f t="shared" si="7"/>
        <v>191970</v>
      </c>
      <c r="D51" s="362"/>
      <c r="E51" s="361">
        <f>'Sources and Uses Budget'!S51</f>
        <v>191970</v>
      </c>
      <c r="F51" s="362">
        <f t="shared" si="8"/>
        <v>191970</v>
      </c>
      <c r="G51" s="362"/>
      <c r="H51" s="361">
        <f>'Sources and Uses Budget'!T51</f>
        <v>0</v>
      </c>
      <c r="I51" s="362"/>
      <c r="J51" s="362"/>
      <c r="K51" s="359"/>
    </row>
    <row r="52" spans="1:11" s="360" customFormat="1">
      <c r="A52" s="364" t="s">
        <v>155</v>
      </c>
      <c r="B52" s="361">
        <f>'Sources and Uses Budget'!C52</f>
        <v>308881</v>
      </c>
      <c r="C52" s="362">
        <f t="shared" si="7"/>
        <v>308881</v>
      </c>
      <c r="D52" s="362"/>
      <c r="E52" s="361">
        <f>'Sources and Uses Budget'!S52</f>
        <v>308881</v>
      </c>
      <c r="F52" s="362">
        <f t="shared" si="8"/>
        <v>308881</v>
      </c>
      <c r="G52" s="362"/>
      <c r="H52" s="361">
        <f>'Sources and Uses Budget'!T52</f>
        <v>0</v>
      </c>
      <c r="I52" s="362"/>
      <c r="J52" s="362"/>
      <c r="K52" s="359"/>
    </row>
    <row r="53" spans="1:11" s="360" customFormat="1" ht="24">
      <c r="A53" s="364" t="str">
        <f>'Sources and Uses Budget'!$A53</f>
        <v>Other: Lender Application / DD / Inspection</v>
      </c>
      <c r="B53" s="361">
        <f>'Sources and Uses Budget'!C53</f>
        <v>80000</v>
      </c>
      <c r="C53" s="362">
        <f t="shared" si="7"/>
        <v>80000</v>
      </c>
      <c r="D53" s="362"/>
      <c r="E53" s="361">
        <f>'Sources and Uses Budget'!S53</f>
        <v>80000</v>
      </c>
      <c r="F53" s="362">
        <f t="shared" si="8"/>
        <v>80000</v>
      </c>
      <c r="G53" s="362"/>
      <c r="H53" s="361">
        <f>'Sources and Uses Budget'!T53</f>
        <v>0</v>
      </c>
      <c r="I53" s="362"/>
      <c r="J53" s="362"/>
      <c r="K53" s="359"/>
    </row>
    <row r="54" spans="1:11" s="369" customFormat="1">
      <c r="A54" s="365" t="s">
        <v>157</v>
      </c>
      <c r="B54" s="361">
        <f>'Sources and Uses Budget'!C54</f>
        <v>5559361</v>
      </c>
      <c r="C54" s="367">
        <f>SUM(C45:C53)</f>
        <v>5559361</v>
      </c>
      <c r="D54" s="367">
        <f>SUM(D45:D53)</f>
        <v>0</v>
      </c>
      <c r="E54" s="361">
        <f>'Sources and Uses Budget'!S54</f>
        <v>4589752</v>
      </c>
      <c r="F54" s="367">
        <f>SUM(F45:F53)</f>
        <v>4589752</v>
      </c>
      <c r="G54" s="367">
        <f>SUM(G45:G53)</f>
        <v>0</v>
      </c>
      <c r="H54" s="361">
        <f>'Sources and Uses Budget'!T54</f>
        <v>112500</v>
      </c>
      <c r="I54" s="367">
        <f>SUM(I45:I53)</f>
        <v>112500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78561901</v>
      </c>
      <c r="C63" s="361">
        <f>SUM(C8+C11+C13+C14+C15+C26+C27+C38+C42+C43+C54+C62)</f>
        <v>78561901</v>
      </c>
      <c r="D63" s="361">
        <f>SUM(D8+D11+D13+D14+D15+D26+D27+D38+D42+D43+D54+D62)</f>
        <v>0</v>
      </c>
      <c r="E63" s="361">
        <f>'Sources and Uses Budget'!S63</f>
        <v>41292292</v>
      </c>
      <c r="F63" s="361">
        <f>SUM(F10+F13+F14+F15+F26+F27+F38+F42+F43+F54)</f>
        <v>41292292</v>
      </c>
      <c r="G63" s="361">
        <f>SUM(G10+G13+G14+G15+G26+G27+G38+G42+G43+G54)</f>
        <v>0</v>
      </c>
      <c r="H63" s="361">
        <f>'Sources and Uses Budget'!T63</f>
        <v>35104500</v>
      </c>
      <c r="I63" s="361">
        <f>SUM(I11+I13+I14+I15+I26+I27+I38+I42+I43+I54)</f>
        <v>35104500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110000</v>
      </c>
      <c r="C65" s="362">
        <f t="shared" ref="C65:C69" si="9">B65</f>
        <v>110000</v>
      </c>
      <c r="D65" s="362"/>
      <c r="E65" s="361">
        <f>'Sources and Uses Budget'!S65</f>
        <v>110000</v>
      </c>
      <c r="F65" s="362">
        <f t="shared" ref="F65:F69" si="10">E65</f>
        <v>110000</v>
      </c>
      <c r="G65" s="362"/>
      <c r="H65" s="361">
        <f>'Sources and Uses Budget'!T65</f>
        <v>0</v>
      </c>
      <c r="I65" s="362"/>
      <c r="J65" s="362"/>
      <c r="K65" s="359"/>
    </row>
    <row r="66" spans="1:11" s="360" customFormat="1" ht="24">
      <c r="A66" s="283" t="s">
        <v>1642</v>
      </c>
      <c r="B66" s="361">
        <f>'Sources and Uses Budget'!C66</f>
        <v>0</v>
      </c>
      <c r="C66" s="362">
        <f t="shared" si="9"/>
        <v>0</v>
      </c>
      <c r="D66" s="362"/>
      <c r="E66" s="361">
        <f>'Sources and Uses Budget'!S66</f>
        <v>0</v>
      </c>
      <c r="F66" s="362">
        <f t="shared" si="10"/>
        <v>0</v>
      </c>
      <c r="G66" s="362"/>
      <c r="H66" s="361">
        <f>'Sources and Uses Budget'!T66</f>
        <v>0</v>
      </c>
      <c r="I66" s="362"/>
      <c r="J66" s="362"/>
      <c r="K66" s="359"/>
    </row>
    <row r="67" spans="1:11" s="360" customFormat="1" ht="24">
      <c r="A67" s="283" t="s">
        <v>1643</v>
      </c>
      <c r="B67" s="361">
        <f>'Sources and Uses Budget'!C67</f>
        <v>30000</v>
      </c>
      <c r="C67" s="362">
        <f t="shared" si="9"/>
        <v>30000</v>
      </c>
      <c r="D67" s="362"/>
      <c r="E67" s="361">
        <f>'Sources and Uses Budget'!S67</f>
        <v>30000</v>
      </c>
      <c r="F67" s="362">
        <f t="shared" si="10"/>
        <v>30000</v>
      </c>
      <c r="G67" s="362"/>
      <c r="H67" s="361">
        <f>'Sources and Uses Budget'!T67</f>
        <v>0</v>
      </c>
      <c r="I67" s="362"/>
      <c r="J67" s="362"/>
      <c r="K67" s="359"/>
    </row>
    <row r="68" spans="1:11" s="360" customFormat="1">
      <c r="A68" s="283" t="s">
        <v>1649</v>
      </c>
      <c r="B68" s="361">
        <f>'Sources and Uses Budget'!C68</f>
        <v>0</v>
      </c>
      <c r="C68" s="362">
        <f t="shared" si="9"/>
        <v>0</v>
      </c>
      <c r="D68" s="362"/>
      <c r="E68" s="361">
        <f>'Sources and Uses Budget'!S68</f>
        <v>0</v>
      </c>
      <c r="F68" s="362">
        <f t="shared" si="10"/>
        <v>0</v>
      </c>
      <c r="G68" s="362"/>
      <c r="H68" s="361">
        <f>'Sources and Uses Budget'!T68</f>
        <v>0</v>
      </c>
      <c r="I68" s="362"/>
      <c r="J68" s="362"/>
      <c r="K68" s="359"/>
    </row>
    <row r="69" spans="1:11" s="360" customFormat="1">
      <c r="A69" s="364" t="str">
        <f>'Sources and Uses Budget'!$A69</f>
        <v>Other: Borrower Legal</v>
      </c>
      <c r="B69" s="361">
        <f>'Sources and Uses Budget'!C69</f>
        <v>345000</v>
      </c>
      <c r="C69" s="362">
        <f t="shared" si="9"/>
        <v>345000</v>
      </c>
      <c r="D69" s="362"/>
      <c r="E69" s="361">
        <f>'Sources and Uses Budget'!S69</f>
        <v>345000</v>
      </c>
      <c r="F69" s="362">
        <f t="shared" si="10"/>
        <v>345000</v>
      </c>
      <c r="G69" s="362"/>
      <c r="H69" s="361">
        <f>'Sources and Uses Budget'!T69</f>
        <v>0</v>
      </c>
      <c r="I69" s="362"/>
      <c r="J69" s="362"/>
      <c r="K69" s="359"/>
    </row>
    <row r="70" spans="1:11" s="360" customFormat="1">
      <c r="A70" s="365" t="s">
        <v>602</v>
      </c>
      <c r="B70" s="361">
        <f>'Sources and Uses Budget'!C70</f>
        <v>485000</v>
      </c>
      <c r="C70" s="361">
        <f>SUM(C64:C69)</f>
        <v>485000</v>
      </c>
      <c r="D70" s="361">
        <f>SUM(D64:D69)</f>
        <v>0</v>
      </c>
      <c r="E70" s="361">
        <f>'Sources and Uses Budget'!S70</f>
        <v>485000</v>
      </c>
      <c r="F70" s="367">
        <f>SUM(F65:F69)</f>
        <v>485000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11">B72</f>
        <v>0</v>
      </c>
      <c r="D72" s="362"/>
      <c r="E72" s="363"/>
      <c r="F72" s="363"/>
      <c r="G72" s="363"/>
      <c r="H72" s="363"/>
      <c r="I72" s="363"/>
      <c r="J72" s="363"/>
      <c r="K72" s="359"/>
    </row>
    <row r="73" spans="1:11" s="360" customFormat="1">
      <c r="A73" s="364" t="s">
        <v>605</v>
      </c>
      <c r="B73" s="361">
        <f>'Sources and Uses Budget'!C73</f>
        <v>0</v>
      </c>
      <c r="C73" s="362">
        <f t="shared" si="11"/>
        <v>0</v>
      </c>
      <c r="D73" s="362"/>
      <c r="E73" s="363"/>
      <c r="F73" s="363"/>
      <c r="G73" s="363"/>
      <c r="H73" s="363"/>
      <c r="I73" s="363"/>
      <c r="J73" s="363"/>
      <c r="K73" s="359"/>
    </row>
    <row r="74" spans="1:11" s="360" customFormat="1">
      <c r="A74" s="366" t="s">
        <v>987</v>
      </c>
      <c r="B74" s="361">
        <f>'Sources and Uses Budget'!C74</f>
        <v>231000</v>
      </c>
      <c r="C74" s="362">
        <f t="shared" si="11"/>
        <v>231000</v>
      </c>
      <c r="D74" s="362"/>
      <c r="E74" s="363"/>
      <c r="F74" s="363"/>
      <c r="G74" s="363"/>
      <c r="H74" s="363"/>
      <c r="I74" s="363"/>
      <c r="J74" s="363"/>
      <c r="K74" s="359"/>
    </row>
    <row r="75" spans="1:11" s="360" customFormat="1">
      <c r="A75" s="364" t="s">
        <v>606</v>
      </c>
      <c r="B75" s="361">
        <f>'Sources and Uses Budget'!C75</f>
        <v>1969742</v>
      </c>
      <c r="C75" s="362">
        <f t="shared" si="11"/>
        <v>1969742</v>
      </c>
      <c r="D75" s="362"/>
      <c r="E75" s="363"/>
      <c r="F75" s="363"/>
      <c r="G75" s="363"/>
      <c r="H75" s="363"/>
      <c r="I75" s="363"/>
      <c r="J75" s="363"/>
      <c r="K75" s="359"/>
    </row>
    <row r="76" spans="1:11" s="360" customFormat="1">
      <c r="A76" s="364" t="str">
        <f>'Sources and Uses Budget'!$A76</f>
        <v>Other: Tax and Insurance Escrow</v>
      </c>
      <c r="B76" s="361">
        <f>'Sources and Uses Budget'!C76</f>
        <v>352441</v>
      </c>
      <c r="C76" s="362">
        <f t="shared" si="11"/>
        <v>352441</v>
      </c>
      <c r="D76" s="362"/>
      <c r="E76" s="363"/>
      <c r="F76" s="363"/>
      <c r="G76" s="363"/>
      <c r="H76" s="363"/>
      <c r="I76" s="363"/>
      <c r="J76" s="363"/>
      <c r="K76" s="359"/>
    </row>
    <row r="77" spans="1:11" s="360" customFormat="1">
      <c r="A77" s="365" t="s">
        <v>607</v>
      </c>
      <c r="B77" s="361">
        <f>'Sources and Uses Budget'!C77</f>
        <v>2553183</v>
      </c>
      <c r="C77" s="361">
        <f>SUM(C72:C76)</f>
        <v>2553183</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3449754</v>
      </c>
      <c r="C79" s="362">
        <f t="shared" ref="C79:C80" si="12">B79</f>
        <v>3449754</v>
      </c>
      <c r="D79" s="362"/>
      <c r="E79" s="361">
        <f>'Sources and Uses Budget'!S79</f>
        <v>3449754</v>
      </c>
      <c r="F79" s="362">
        <f t="shared" ref="F79:F80" si="13">E79</f>
        <v>3449754</v>
      </c>
      <c r="G79" s="362"/>
      <c r="H79" s="361">
        <f>'Sources and Uses Budget'!T79</f>
        <v>0</v>
      </c>
      <c r="I79" s="362"/>
      <c r="J79" s="362"/>
      <c r="K79" s="359"/>
    </row>
    <row r="80" spans="1:11" s="360" customFormat="1">
      <c r="A80" s="364" t="s">
        <v>58</v>
      </c>
      <c r="B80" s="361">
        <f>'Sources and Uses Budget'!C80</f>
        <v>433596</v>
      </c>
      <c r="C80" s="362">
        <f t="shared" si="12"/>
        <v>433596</v>
      </c>
      <c r="D80" s="362"/>
      <c r="E80" s="361">
        <f>'Sources and Uses Budget'!S80</f>
        <v>433596</v>
      </c>
      <c r="F80" s="362">
        <f t="shared" si="13"/>
        <v>433596</v>
      </c>
      <c r="G80" s="362"/>
      <c r="H80" s="361">
        <f>'Sources and Uses Budget'!T80</f>
        <v>0</v>
      </c>
      <c r="I80" s="362"/>
      <c r="J80" s="362"/>
      <c r="K80" s="359"/>
    </row>
    <row r="81" spans="1:11" s="360" customFormat="1">
      <c r="A81" s="365" t="s">
        <v>1210</v>
      </c>
      <c r="B81" s="361">
        <f>'Sources and Uses Budget'!C81</f>
        <v>3883350</v>
      </c>
      <c r="C81" s="361">
        <f>SUM(C79:C80)</f>
        <v>3883350</v>
      </c>
      <c r="D81" s="361">
        <f>SUM(D79:D80)</f>
        <v>0</v>
      </c>
      <c r="E81" s="361">
        <f>'Sources and Uses Budget'!S81</f>
        <v>3883350</v>
      </c>
      <c r="F81" s="361">
        <f>SUM(F79:F80)</f>
        <v>3883350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138325</v>
      </c>
      <c r="C83" s="362">
        <f t="shared" ref="C83:C95" si="14">B83</f>
        <v>138325</v>
      </c>
      <c r="D83" s="362"/>
      <c r="E83" s="363"/>
      <c r="F83" s="363"/>
      <c r="G83" s="363"/>
      <c r="H83" s="363"/>
      <c r="I83" s="363"/>
      <c r="J83" s="363"/>
      <c r="K83" s="359"/>
    </row>
    <row r="84" spans="1:11" s="360" customFormat="1">
      <c r="A84" s="145" t="s">
        <v>768</v>
      </c>
      <c r="B84" s="361">
        <f>'Sources and Uses Budget'!C84</f>
        <v>50000</v>
      </c>
      <c r="C84" s="362">
        <f t="shared" si="14"/>
        <v>50000</v>
      </c>
      <c r="D84" s="362"/>
      <c r="E84" s="361">
        <f>'Sources and Uses Budget'!S84</f>
        <v>50000</v>
      </c>
      <c r="F84" s="362">
        <f t="shared" ref="F84:F87" si="15">E84</f>
        <v>50000</v>
      </c>
      <c r="G84" s="362"/>
      <c r="H84" s="361">
        <f>'Sources and Uses Budget'!T84</f>
        <v>0</v>
      </c>
      <c r="I84" s="362"/>
      <c r="J84" s="362"/>
      <c r="K84" s="359"/>
    </row>
    <row r="85" spans="1:11" s="360" customFormat="1">
      <c r="A85" s="145" t="s">
        <v>769</v>
      </c>
      <c r="B85" s="361">
        <f>'Sources and Uses Budget'!C85</f>
        <v>0</v>
      </c>
      <c r="C85" s="362">
        <f t="shared" si="14"/>
        <v>0</v>
      </c>
      <c r="D85" s="362"/>
      <c r="E85" s="361">
        <f>'Sources and Uses Budget'!S85</f>
        <v>0</v>
      </c>
      <c r="F85" s="362">
        <f t="shared" si="15"/>
        <v>0</v>
      </c>
      <c r="G85" s="362"/>
      <c r="H85" s="361">
        <f>'Sources and Uses Budget'!T85</f>
        <v>0</v>
      </c>
      <c r="I85" s="362"/>
      <c r="J85" s="362"/>
      <c r="K85" s="359"/>
    </row>
    <row r="86" spans="1:11" s="360" customFormat="1">
      <c r="A86" s="145" t="s">
        <v>770</v>
      </c>
      <c r="B86" s="361">
        <f>'Sources and Uses Budget'!C86</f>
        <v>300000</v>
      </c>
      <c r="C86" s="362">
        <f t="shared" si="14"/>
        <v>300000</v>
      </c>
      <c r="D86" s="362"/>
      <c r="E86" s="361">
        <f>'Sources and Uses Budget'!S86</f>
        <v>300000</v>
      </c>
      <c r="F86" s="362">
        <f t="shared" si="15"/>
        <v>300000</v>
      </c>
      <c r="G86" s="362"/>
      <c r="H86" s="361">
        <f>'Sources and Uses Budget'!T86</f>
        <v>0</v>
      </c>
      <c r="I86" s="362"/>
      <c r="J86" s="362"/>
      <c r="K86" s="359"/>
    </row>
    <row r="87" spans="1:11" s="360" customFormat="1">
      <c r="A87" s="145" t="s">
        <v>771</v>
      </c>
      <c r="B87" s="361">
        <f>'Sources and Uses Budget'!C87</f>
        <v>0</v>
      </c>
      <c r="C87" s="362">
        <f t="shared" si="14"/>
        <v>0</v>
      </c>
      <c r="D87" s="362"/>
      <c r="E87" s="361">
        <f>'Sources and Uses Budget'!S87</f>
        <v>0</v>
      </c>
      <c r="F87" s="362">
        <f t="shared" si="15"/>
        <v>0</v>
      </c>
      <c r="G87" s="362"/>
      <c r="H87" s="361">
        <f>'Sources and Uses Budget'!T87</f>
        <v>0</v>
      </c>
      <c r="I87" s="362"/>
      <c r="J87" s="362"/>
      <c r="K87" s="359"/>
    </row>
    <row r="88" spans="1:11" s="360" customFormat="1">
      <c r="A88" s="145" t="s">
        <v>772</v>
      </c>
      <c r="B88" s="361">
        <f>'Sources and Uses Budget'!C88</f>
        <v>55000</v>
      </c>
      <c r="C88" s="362">
        <f t="shared" si="14"/>
        <v>55000</v>
      </c>
      <c r="D88" s="362"/>
      <c r="E88" s="363"/>
      <c r="F88" s="363"/>
      <c r="G88" s="363"/>
      <c r="H88" s="363"/>
      <c r="I88" s="363"/>
      <c r="J88" s="363"/>
      <c r="K88" s="359"/>
    </row>
    <row r="89" spans="1:11" s="360" customFormat="1">
      <c r="A89" s="145" t="s">
        <v>773</v>
      </c>
      <c r="B89" s="361">
        <f>'Sources and Uses Budget'!C89</f>
        <v>462000</v>
      </c>
      <c r="C89" s="362">
        <f t="shared" si="14"/>
        <v>462000</v>
      </c>
      <c r="D89" s="362"/>
      <c r="E89" s="361">
        <f>'Sources and Uses Budget'!S89</f>
        <v>462000</v>
      </c>
      <c r="F89" s="362">
        <f t="shared" ref="F89:F95" si="16">E89</f>
        <v>462000</v>
      </c>
      <c r="G89" s="362"/>
      <c r="H89" s="361">
        <f>'Sources and Uses Budget'!T89</f>
        <v>0</v>
      </c>
      <c r="I89" s="362"/>
      <c r="J89" s="362"/>
      <c r="K89" s="359"/>
    </row>
    <row r="90" spans="1:11" s="360" customFormat="1">
      <c r="A90" s="145" t="s">
        <v>774</v>
      </c>
      <c r="B90" s="361">
        <f>'Sources and Uses Budget'!C90</f>
        <v>10000</v>
      </c>
      <c r="C90" s="362">
        <f t="shared" si="14"/>
        <v>10000</v>
      </c>
      <c r="D90" s="362"/>
      <c r="E90" s="361">
        <f>'Sources and Uses Budget'!S90</f>
        <v>10000</v>
      </c>
      <c r="F90" s="362">
        <f t="shared" si="16"/>
        <v>10000</v>
      </c>
      <c r="G90" s="362"/>
      <c r="H90" s="361">
        <f>'Sources and Uses Budget'!T90</f>
        <v>0</v>
      </c>
      <c r="I90" s="362"/>
      <c r="J90" s="362"/>
      <c r="K90" s="359"/>
    </row>
    <row r="91" spans="1:11" s="360" customFormat="1">
      <c r="A91" s="155" t="s">
        <v>372</v>
      </c>
      <c r="B91" s="361">
        <f>'Sources and Uses Budget'!C91</f>
        <v>15000</v>
      </c>
      <c r="C91" s="362">
        <f t="shared" si="14"/>
        <v>15000</v>
      </c>
      <c r="D91" s="362"/>
      <c r="E91" s="361">
        <f>'Sources and Uses Budget'!S91</f>
        <v>0</v>
      </c>
      <c r="F91" s="362">
        <f t="shared" si="16"/>
        <v>0</v>
      </c>
      <c r="G91" s="362"/>
      <c r="H91" s="361">
        <f>'Sources and Uses Budget'!T91</f>
        <v>0</v>
      </c>
      <c r="I91" s="362"/>
      <c r="J91" s="362"/>
      <c r="K91" s="359"/>
    </row>
    <row r="92" spans="1:11" s="360" customFormat="1">
      <c r="A92" s="508" t="s">
        <v>1212</v>
      </c>
      <c r="B92" s="361">
        <f>'Sources and Uses Budget'!C92</f>
        <v>10000</v>
      </c>
      <c r="C92" s="362">
        <f t="shared" si="14"/>
        <v>10000</v>
      </c>
      <c r="D92" s="362"/>
      <c r="E92" s="361">
        <f>'Sources and Uses Budget'!S92</f>
        <v>10000</v>
      </c>
      <c r="F92" s="362">
        <f t="shared" si="16"/>
        <v>10000</v>
      </c>
      <c r="G92" s="362"/>
      <c r="H92" s="361">
        <f>'Sources and Uses Budget'!T92</f>
        <v>0</v>
      </c>
      <c r="I92" s="362"/>
      <c r="J92" s="362"/>
      <c r="K92" s="359"/>
    </row>
    <row r="93" spans="1:11" s="360" customFormat="1">
      <c r="A93" s="364" t="str">
        <f>'Sources and Uses Budget'!$A93</f>
        <v>Other: P&amp;P Bond</v>
      </c>
      <c r="B93" s="361">
        <f>'Sources and Uses Budget'!C93</f>
        <v>569209</v>
      </c>
      <c r="C93" s="362">
        <f t="shared" si="14"/>
        <v>569209</v>
      </c>
      <c r="D93" s="362"/>
      <c r="E93" s="361">
        <f>'Sources and Uses Budget'!S93</f>
        <v>569209</v>
      </c>
      <c r="F93" s="362">
        <f t="shared" si="16"/>
        <v>569209</v>
      </c>
      <c r="G93" s="362"/>
      <c r="H93" s="361">
        <f>'Sources and Uses Budget'!T93</f>
        <v>0</v>
      </c>
      <c r="I93" s="362"/>
      <c r="J93" s="362"/>
      <c r="K93" s="359"/>
    </row>
    <row r="94" spans="1:11" s="360" customFormat="1">
      <c r="A94" s="364" t="str">
        <f>'Sources and Uses Budget'!$A94</f>
        <v>Other: Transfer Tax</v>
      </c>
      <c r="B94" s="361">
        <f>'Sources and Uses Budget'!C94</f>
        <v>924341</v>
      </c>
      <c r="C94" s="362">
        <f t="shared" si="14"/>
        <v>924341</v>
      </c>
      <c r="D94" s="362"/>
      <c r="E94" s="361">
        <f>'Sources and Uses Budget'!S94</f>
        <v>0</v>
      </c>
      <c r="F94" s="362">
        <f t="shared" si="16"/>
        <v>0</v>
      </c>
      <c r="G94" s="362"/>
      <c r="H94" s="361">
        <f>'Sources and Uses Budget'!T94</f>
        <v>924341</v>
      </c>
      <c r="I94" s="362">
        <f>H94</f>
        <v>924341</v>
      </c>
      <c r="J94" s="362"/>
      <c r="K94" s="359"/>
    </row>
    <row r="95" spans="1:11" s="360" customFormat="1">
      <c r="A95" s="364" t="str">
        <f>'Sources and Uses Budget'!$A95</f>
        <v>Other: (Specify)</v>
      </c>
      <c r="B95" s="361">
        <f>'Sources and Uses Budget'!C95</f>
        <v>0</v>
      </c>
      <c r="C95" s="362">
        <f t="shared" si="14"/>
        <v>0</v>
      </c>
      <c r="D95" s="362"/>
      <c r="E95" s="361">
        <f>'Sources and Uses Budget'!S95</f>
        <v>0</v>
      </c>
      <c r="F95" s="362">
        <f t="shared" si="16"/>
        <v>0</v>
      </c>
      <c r="G95" s="362"/>
      <c r="H95" s="361">
        <f>'Sources and Uses Budget'!T95</f>
        <v>0</v>
      </c>
      <c r="I95" s="362"/>
      <c r="J95" s="362"/>
      <c r="K95" s="359"/>
    </row>
    <row r="96" spans="1:11" s="360" customFormat="1">
      <c r="A96" s="365" t="s">
        <v>775</v>
      </c>
      <c r="B96" s="361">
        <f>'Sources and Uses Budget'!C96</f>
        <v>2533875</v>
      </c>
      <c r="C96" s="361">
        <f>SUM(C83:C95)</f>
        <v>2533875</v>
      </c>
      <c r="D96" s="361">
        <f>SUM(D83:D95)</f>
        <v>0</v>
      </c>
      <c r="E96" s="361">
        <f>'Sources and Uses Budget'!S96</f>
        <v>1401209</v>
      </c>
      <c r="F96" s="367">
        <f>SUM(F84:F87,F89:F95)</f>
        <v>1401209</v>
      </c>
      <c r="G96" s="367">
        <f>SUM(G84:G87,G89:G95)</f>
        <v>0</v>
      </c>
      <c r="H96" s="361">
        <f>'Sources and Uses Budget'!T96</f>
        <v>924341</v>
      </c>
      <c r="I96" s="361">
        <f>SUM(I84:I87,I89:I95)</f>
        <v>924341</v>
      </c>
      <c r="J96" s="361">
        <f>SUM(J84:J87,J89:J95)</f>
        <v>0</v>
      </c>
      <c r="K96" s="359"/>
    </row>
    <row r="97" spans="1:11" s="360" customFormat="1">
      <c r="A97" s="365" t="s">
        <v>1030</v>
      </c>
      <c r="B97" s="361">
        <f>'Sources and Uses Budget'!C97</f>
        <v>88017309</v>
      </c>
      <c r="C97" s="361">
        <f>SUM(C63+C70+C77+C81+C96)</f>
        <v>88017309</v>
      </c>
      <c r="D97" s="361">
        <f>SUM(D63+D70+D77+D81+D96)</f>
        <v>0</v>
      </c>
      <c r="E97" s="361">
        <f>'Sources and Uses Budget'!S97</f>
        <v>47061851</v>
      </c>
      <c r="F97" s="367">
        <f>SUM(+F63+F70+F81+F96)</f>
        <v>47061851</v>
      </c>
      <c r="G97" s="367">
        <f>SUM(+G63+G70+G81+G96)</f>
        <v>0</v>
      </c>
      <c r="H97" s="361">
        <f>'Sources and Uses Budget'!T97</f>
        <v>36028841</v>
      </c>
      <c r="I97" s="367">
        <f>SUM(I63+I70+I81+I96)</f>
        <v>36028841</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8860720</v>
      </c>
      <c r="C99" s="362">
        <f t="shared" ref="C99:C103" si="17">B99</f>
        <v>8860720</v>
      </c>
      <c r="D99" s="362"/>
      <c r="E99" s="361">
        <f>'Sources and Uses Budget'!S99</f>
        <v>7059278</v>
      </c>
      <c r="F99" s="362">
        <f t="shared" ref="F99:F103" si="18">E99</f>
        <v>7059278</v>
      </c>
      <c r="G99" s="362"/>
      <c r="H99" s="361">
        <f>'Sources and Uses Budget'!T99</f>
        <v>1801442</v>
      </c>
      <c r="I99" s="362">
        <f>H99</f>
        <v>1801442</v>
      </c>
      <c r="J99" s="362"/>
      <c r="K99" s="359"/>
    </row>
    <row r="100" spans="1:11" s="360" customFormat="1">
      <c r="A100" s="283" t="s">
        <v>1647</v>
      </c>
      <c r="B100" s="361">
        <f>'Sources and Uses Budget'!C100</f>
        <v>0</v>
      </c>
      <c r="C100" s="362">
        <f t="shared" si="17"/>
        <v>0</v>
      </c>
      <c r="D100" s="362"/>
      <c r="E100" s="361">
        <f>'Sources and Uses Budget'!S100</f>
        <v>0</v>
      </c>
      <c r="F100" s="362">
        <f t="shared" si="18"/>
        <v>0</v>
      </c>
      <c r="G100" s="362"/>
      <c r="H100" s="361">
        <f>'Sources and Uses Budget'!T100</f>
        <v>0</v>
      </c>
      <c r="I100" s="362"/>
      <c r="J100" s="362"/>
      <c r="K100" s="359"/>
    </row>
    <row r="101" spans="1:11" s="360" customFormat="1">
      <c r="A101" s="145" t="s">
        <v>779</v>
      </c>
      <c r="B101" s="361">
        <f>'Sources and Uses Budget'!C101</f>
        <v>0</v>
      </c>
      <c r="C101" s="362">
        <f t="shared" si="17"/>
        <v>0</v>
      </c>
      <c r="D101" s="362"/>
      <c r="E101" s="361">
        <f>'Sources and Uses Budget'!S101</f>
        <v>0</v>
      </c>
      <c r="F101" s="362">
        <f t="shared" si="18"/>
        <v>0</v>
      </c>
      <c r="G101" s="362"/>
      <c r="H101" s="361">
        <f>'Sources and Uses Budget'!T101</f>
        <v>0</v>
      </c>
      <c r="I101" s="362"/>
      <c r="J101" s="362"/>
      <c r="K101" s="359"/>
    </row>
    <row r="102" spans="1:11" s="360" customFormat="1" ht="12" customHeight="1">
      <c r="A102" s="283" t="s">
        <v>1648</v>
      </c>
      <c r="B102" s="361">
        <f>'Sources and Uses Budget'!C102</f>
        <v>0</v>
      </c>
      <c r="C102" s="362">
        <f t="shared" si="17"/>
        <v>0</v>
      </c>
      <c r="D102" s="362"/>
      <c r="E102" s="361">
        <f>'Sources and Uses Budget'!S102</f>
        <v>0</v>
      </c>
      <c r="F102" s="362">
        <f t="shared" si="18"/>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7"/>
        <v>0</v>
      </c>
      <c r="D103" s="362"/>
      <c r="E103" s="361">
        <f>'Sources and Uses Budget'!S103</f>
        <v>0</v>
      </c>
      <c r="F103" s="362">
        <f t="shared" si="18"/>
        <v>0</v>
      </c>
      <c r="G103" s="362"/>
      <c r="H103" s="361">
        <f>'Sources and Uses Budget'!T103</f>
        <v>0</v>
      </c>
      <c r="I103" s="362"/>
      <c r="J103" s="362"/>
      <c r="K103" s="359"/>
    </row>
    <row r="104" spans="1:11" s="360" customFormat="1">
      <c r="A104" s="365" t="s">
        <v>780</v>
      </c>
      <c r="B104" s="361">
        <f>'Sources and Uses Budget'!C104</f>
        <v>8860720</v>
      </c>
      <c r="C104" s="361">
        <f>SUM(C99:C103)</f>
        <v>8860720</v>
      </c>
      <c r="D104" s="361">
        <f>SUM(D99:D103)</f>
        <v>0</v>
      </c>
      <c r="E104" s="361">
        <f>'Sources and Uses Budget'!S104</f>
        <v>7059278</v>
      </c>
      <c r="F104" s="367">
        <f>SUM(F99:F103)</f>
        <v>7059278</v>
      </c>
      <c r="G104" s="367">
        <f>SUM(G99:G103)</f>
        <v>0</v>
      </c>
      <c r="H104" s="361">
        <f>'Sources and Uses Budget'!T104</f>
        <v>1801442</v>
      </c>
      <c r="I104" s="367">
        <f>SUM(I99:I103)</f>
        <v>1801442</v>
      </c>
      <c r="J104" s="367">
        <f>SUM(J99:J103)</f>
        <v>0</v>
      </c>
      <c r="K104" s="359"/>
    </row>
    <row r="105" spans="1:11" s="360" customFormat="1">
      <c r="A105" s="365" t="s">
        <v>1031</v>
      </c>
      <c r="B105" s="361">
        <f>'Sources and Uses Budget'!C105</f>
        <v>96878029</v>
      </c>
      <c r="C105" s="367">
        <f>SUM(C97+C104)</f>
        <v>96878029</v>
      </c>
      <c r="D105" s="367">
        <f>SUM(D97+D104)</f>
        <v>0</v>
      </c>
      <c r="E105" s="361">
        <f>'Sources and Uses Budget'!S105</f>
        <v>54121129</v>
      </c>
      <c r="F105" s="367">
        <f>F97+F104</f>
        <v>54121129</v>
      </c>
      <c r="G105" s="367">
        <f>G97+G104</f>
        <v>0</v>
      </c>
      <c r="H105" s="361">
        <f>'Sources and Uses Budget'!T105</f>
        <v>37830283</v>
      </c>
      <c r="I105" s="367">
        <f>I97+I104</f>
        <v>37830283</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54121129</v>
      </c>
      <c r="F107" s="367">
        <f>F105+F106</f>
        <v>54121129</v>
      </c>
      <c r="G107" s="367">
        <f>G105+G106</f>
        <v>0</v>
      </c>
      <c r="H107" s="361">
        <f>'Sources and Uses Budget'!T107</f>
        <v>37830283</v>
      </c>
      <c r="I107" s="367">
        <f>I105+I106</f>
        <v>37830283</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9" t="s">
        <v>2457</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2456</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1" t="str">
        <f>IF(Application!H18="","",Application!H18)</f>
        <v>City Towers</v>
      </c>
      <c r="M4" s="1882"/>
      <c r="N4" s="1882"/>
      <c r="O4" s="1882"/>
      <c r="P4" s="1882"/>
      <c r="Q4" s="1882"/>
      <c r="R4" s="1882"/>
      <c r="S4" s="1882"/>
      <c r="T4" s="1882"/>
      <c r="U4" s="1882"/>
      <c r="V4" s="1882"/>
      <c r="W4" s="1882"/>
      <c r="X4" s="1882"/>
      <c r="Y4" s="1882"/>
      <c r="Z4" s="1882"/>
      <c r="AA4" s="1882"/>
      <c r="AB4" s="1882"/>
      <c r="AC4" s="1883"/>
      <c r="AD4" s="1190"/>
      <c r="AE4" s="1190"/>
      <c r="AF4" s="1895" t="s">
        <v>2455</v>
      </c>
      <c r="AG4" s="1895"/>
      <c r="AH4" s="1895"/>
      <c r="AI4" s="1895"/>
      <c r="AJ4" s="1895"/>
      <c r="AK4" s="1895"/>
      <c r="AL4" s="1895"/>
      <c r="AM4" s="1895"/>
      <c r="AN4" s="1895"/>
      <c r="AO4" s="1895"/>
      <c r="AP4" s="1896"/>
      <c r="AQ4" s="1897"/>
      <c r="AR4" s="1897"/>
      <c r="AS4" s="1897"/>
      <c r="AT4" s="1897"/>
      <c r="AU4" s="189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5" t="s">
        <v>2454</v>
      </c>
      <c r="AG5" s="1895"/>
      <c r="AH5" s="1895"/>
      <c r="AI5" s="1895"/>
      <c r="AJ5" s="1895"/>
      <c r="AK5" s="1895"/>
      <c r="AL5" s="1895"/>
      <c r="AM5" s="1895"/>
      <c r="AN5" s="1895"/>
      <c r="AO5" s="1895"/>
      <c r="AP5" s="1896"/>
      <c r="AQ5" s="1897"/>
      <c r="AR5" s="1897"/>
      <c r="AS5" s="1897"/>
      <c r="AT5" s="1897"/>
      <c r="AU5" s="189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81" t="str">
        <f>IF(Application!H16="","",Application!H16)</f>
        <v>CT Housing Preservation, LP</v>
      </c>
      <c r="M6" s="1882"/>
      <c r="N6" s="1882"/>
      <c r="O6" s="1882"/>
      <c r="P6" s="1882"/>
      <c r="Q6" s="1882"/>
      <c r="R6" s="1882"/>
      <c r="S6" s="1882"/>
      <c r="T6" s="1882"/>
      <c r="U6" s="1882"/>
      <c r="V6" s="1882"/>
      <c r="W6" s="1882"/>
      <c r="X6" s="1882"/>
      <c r="Y6" s="1882"/>
      <c r="Z6" s="1882"/>
      <c r="AA6" s="1882"/>
      <c r="AB6" s="1882"/>
      <c r="AC6" s="1883"/>
      <c r="AD6" s="1190"/>
      <c r="AE6" s="1190"/>
      <c r="AF6" s="1884" t="s">
        <v>2452</v>
      </c>
      <c r="AG6" s="1884"/>
      <c r="AH6" s="1884"/>
      <c r="AI6" s="1884"/>
      <c r="AJ6" s="1884"/>
      <c r="AK6" s="1884"/>
      <c r="AL6" s="1884"/>
      <c r="AM6" s="1884"/>
      <c r="AN6" s="1884"/>
      <c r="AO6" s="1884"/>
      <c r="AP6" s="1885"/>
      <c r="AQ6" s="1885"/>
      <c r="AR6" s="1885"/>
      <c r="AS6" s="1885"/>
      <c r="AT6" s="1885"/>
      <c r="AU6" s="188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4" t="s">
        <v>2451</v>
      </c>
      <c r="AG7" s="1884"/>
      <c r="AH7" s="1884"/>
      <c r="AI7" s="1884"/>
      <c r="AJ7" s="1884"/>
      <c r="AK7" s="1884"/>
      <c r="AL7" s="1884"/>
      <c r="AM7" s="1884"/>
      <c r="AN7" s="1884"/>
      <c r="AO7" s="1884"/>
      <c r="AP7" s="1885"/>
      <c r="AQ7" s="1885"/>
      <c r="AR7" s="1885"/>
      <c r="AS7" s="1885"/>
      <c r="AT7" s="1885"/>
      <c r="AU7" s="1885"/>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6" t="str">
        <f>Application!T197</f>
        <v>Yes</v>
      </c>
      <c r="AC8" s="1887"/>
      <c r="AD8" s="1888"/>
      <c r="AE8" s="1190"/>
      <c r="AF8" s="1884" t="s">
        <v>2449</v>
      </c>
      <c r="AG8" s="1884"/>
      <c r="AH8" s="1884"/>
      <c r="AI8" s="1884"/>
      <c r="AJ8" s="1884"/>
      <c r="AK8" s="1884"/>
      <c r="AL8" s="1884"/>
      <c r="AM8" s="1884"/>
      <c r="AN8" s="1884"/>
      <c r="AO8" s="1884"/>
      <c r="AP8" s="1885"/>
      <c r="AQ8" s="1885"/>
      <c r="AR8" s="1885"/>
      <c r="AS8" s="1885"/>
      <c r="AT8" s="1885"/>
      <c r="AU8" s="1885"/>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5" t="s">
        <v>2448</v>
      </c>
      <c r="AG9" s="1895"/>
      <c r="AH9" s="1895"/>
      <c r="AI9" s="1895"/>
      <c r="AJ9" s="1895"/>
      <c r="AK9" s="1895"/>
      <c r="AL9" s="1895"/>
      <c r="AM9" s="1895"/>
      <c r="AN9" s="1895"/>
      <c r="AO9" s="1895"/>
      <c r="AP9" s="1896"/>
      <c r="AQ9" s="1897"/>
      <c r="AR9" s="1897"/>
      <c r="AS9" s="1897"/>
      <c r="AT9" s="1897"/>
      <c r="AU9" s="1897"/>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10">
        <f>Application!AO627</f>
        <v>27000000</v>
      </c>
      <c r="O10" s="1910"/>
      <c r="P10" s="1910"/>
      <c r="Q10" s="1910"/>
      <c r="R10" s="1910"/>
      <c r="S10" s="1910"/>
      <c r="T10" s="1910"/>
      <c r="U10" s="1190"/>
      <c r="V10" s="1190"/>
      <c r="W10" s="1190"/>
      <c r="X10" s="1193"/>
      <c r="Y10" s="1193"/>
      <c r="Z10" s="1193"/>
      <c r="AA10" s="1193"/>
      <c r="AB10" s="1193"/>
      <c r="AC10" s="1193"/>
      <c r="AD10" s="1193"/>
      <c r="AE10" s="1193"/>
      <c r="AF10" s="1895" t="s">
        <v>2445</v>
      </c>
      <c r="AG10" s="1895"/>
      <c r="AH10" s="1895"/>
      <c r="AI10" s="1895"/>
      <c r="AJ10" s="1895"/>
      <c r="AK10" s="1895"/>
      <c r="AL10" s="1895"/>
      <c r="AM10" s="1895"/>
      <c r="AN10" s="1895"/>
      <c r="AO10" s="1895"/>
      <c r="AP10" s="1896"/>
      <c r="AQ10" s="1897"/>
      <c r="AR10" s="1897"/>
      <c r="AS10" s="1897"/>
      <c r="AT10" s="1897"/>
      <c r="AU10" s="1897"/>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10">
        <f>Application!AA934</f>
        <v>0</v>
      </c>
      <c r="O11" s="1910"/>
      <c r="P11" s="1910"/>
      <c r="Q11" s="1910"/>
      <c r="R11" s="1910"/>
      <c r="S11" s="1910"/>
      <c r="T11" s="1910"/>
      <c r="U11" s="1190"/>
      <c r="V11" s="1190"/>
      <c r="W11" s="1190"/>
      <c r="X11" s="1193"/>
      <c r="Y11" s="1193"/>
      <c r="Z11" s="1193"/>
      <c r="AA11" s="1193"/>
      <c r="AB11" s="1193"/>
      <c r="AC11" s="1193"/>
      <c r="AD11" s="1193"/>
      <c r="AE11" s="1193"/>
      <c r="AF11" s="1895" t="s">
        <v>2442</v>
      </c>
      <c r="AG11" s="1895"/>
      <c r="AH11" s="1895"/>
      <c r="AI11" s="1895"/>
      <c r="AJ11" s="1895"/>
      <c r="AK11" s="1895"/>
      <c r="AL11" s="1895"/>
      <c r="AM11" s="1895"/>
      <c r="AN11" s="1895"/>
      <c r="AO11" s="1895"/>
      <c r="AP11" s="1896"/>
      <c r="AQ11" s="1897"/>
      <c r="AR11" s="1897"/>
      <c r="AS11" s="1897"/>
      <c r="AT11" s="1897"/>
      <c r="AU11" s="189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8" t="s">
        <v>2440</v>
      </c>
      <c r="C13" s="1899"/>
      <c r="D13" s="1899"/>
      <c r="E13" s="1899"/>
      <c r="F13" s="1899"/>
      <c r="G13" s="1899"/>
      <c r="H13" s="1899"/>
      <c r="I13" s="1899"/>
      <c r="J13" s="1899"/>
      <c r="K13" s="1899"/>
      <c r="L13" s="1899"/>
      <c r="M13" s="1899"/>
      <c r="N13" s="1899"/>
      <c r="O13" s="1899"/>
      <c r="P13" s="1900"/>
      <c r="Q13" s="1901" t="s">
        <v>670</v>
      </c>
      <c r="R13" s="1902"/>
      <c r="S13" s="1902"/>
      <c r="T13" s="1903"/>
      <c r="U13" s="1193"/>
      <c r="V13" s="1190"/>
      <c r="W13" s="1190"/>
      <c r="X13" s="1190"/>
      <c r="Y13" s="1190"/>
      <c r="Z13" s="1190"/>
      <c r="AA13" s="1904" t="s">
        <v>2439</v>
      </c>
      <c r="AB13" s="1904"/>
      <c r="AC13" s="1904"/>
      <c r="AD13" s="1904"/>
      <c r="AE13" s="1904"/>
      <c r="AF13" s="1904"/>
      <c r="AG13" s="1904"/>
      <c r="AH13" s="1904"/>
      <c r="AI13" s="1904"/>
      <c r="AJ13" s="1904"/>
      <c r="AK13" s="1904"/>
      <c r="AL13" s="1904"/>
      <c r="AM13" s="1904"/>
      <c r="AN13" s="1904"/>
      <c r="AO13" s="1905">
        <f>Application!W473</f>
        <v>0</v>
      </c>
      <c r="AP13" s="1906"/>
      <c r="AQ13" s="1906"/>
      <c r="AR13" s="1906"/>
      <c r="AS13" s="1906"/>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7" t="s">
        <v>2437</v>
      </c>
      <c r="AB14" s="1907"/>
      <c r="AC14" s="1907"/>
      <c r="AD14" s="1907"/>
      <c r="AE14" s="1907"/>
      <c r="AF14" s="1907"/>
      <c r="AG14" s="1907"/>
      <c r="AH14" s="1907"/>
      <c r="AI14" s="1907"/>
      <c r="AJ14" s="1907"/>
      <c r="AK14" s="1907"/>
      <c r="AL14" s="1907"/>
      <c r="AM14" s="1907"/>
      <c r="AN14" s="1907"/>
      <c r="AO14" s="1908"/>
      <c r="AP14" s="1909"/>
      <c r="AQ14" s="1909"/>
      <c r="AR14" s="1909"/>
      <c r="AS14" s="1909"/>
      <c r="AT14" s="1193"/>
      <c r="AU14" s="1193"/>
      <c r="AV14" s="1193"/>
      <c r="AW14" s="1193"/>
      <c r="AX14" s="1193"/>
      <c r="AY14" s="1193"/>
      <c r="AZ14" s="1193"/>
      <c r="BA14" s="1193"/>
      <c r="BB14" s="1193"/>
      <c r="BC14" s="1193"/>
      <c r="BD14" s="1193"/>
      <c r="BE14" s="1194"/>
    </row>
    <row r="15" spans="1:65" thickBot="1">
      <c r="A15" s="1190"/>
      <c r="B15" s="1911" t="s">
        <v>2436</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3"/>
      <c r="Y15" s="1190"/>
      <c r="Z15" s="1190"/>
      <c r="AA15" s="1904" t="s">
        <v>2435</v>
      </c>
      <c r="AB15" s="1904"/>
      <c r="AC15" s="1904"/>
      <c r="AD15" s="1904"/>
      <c r="AE15" s="1904"/>
      <c r="AF15" s="1904"/>
      <c r="AG15" s="1904"/>
      <c r="AH15" s="1904"/>
      <c r="AI15" s="1904"/>
      <c r="AJ15" s="1904"/>
      <c r="AK15" s="1904"/>
      <c r="AL15" s="1904"/>
      <c r="AM15" s="1904"/>
      <c r="AN15" s="1904"/>
      <c r="AO15" s="1908"/>
      <c r="AP15" s="1909"/>
      <c r="AQ15" s="1909"/>
      <c r="AR15" s="1909"/>
      <c r="AS15" s="190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6" t="s">
        <v>2434</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0"/>
      <c r="BA17" s="1190"/>
      <c r="BB17" s="1190"/>
      <c r="BC17" s="1190"/>
      <c r="BD17" s="1190"/>
      <c r="BE17" s="1194"/>
      <c r="BF17" s="1188"/>
    </row>
    <row r="18" spans="1:58" ht="15.75" customHeight="1">
      <c r="A18" s="1190"/>
      <c r="B18" s="1919" t="s">
        <v>2433</v>
      </c>
      <c r="C18" s="1920"/>
      <c r="D18" s="1920"/>
      <c r="E18" s="1920"/>
      <c r="F18" s="1920"/>
      <c r="G18" s="1920"/>
      <c r="H18" s="1920"/>
      <c r="I18" s="1921"/>
      <c r="J18" s="1922" t="s">
        <v>1587</v>
      </c>
      <c r="K18" s="1923"/>
      <c r="L18" s="1923"/>
      <c r="M18" s="1923"/>
      <c r="N18" s="1923"/>
      <c r="O18" s="1924"/>
      <c r="P18" s="1922" t="s">
        <v>324</v>
      </c>
      <c r="Q18" s="1923"/>
      <c r="R18" s="1923"/>
      <c r="S18" s="1923"/>
      <c r="T18" s="1923"/>
      <c r="U18" s="1924"/>
      <c r="V18" s="1922" t="s">
        <v>325</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2432</v>
      </c>
      <c r="AU18" s="1923"/>
      <c r="AV18" s="1923"/>
      <c r="AW18" s="1923"/>
      <c r="AX18" s="1923"/>
      <c r="AY18" s="1925"/>
      <c r="AZ18" s="1190"/>
      <c r="BA18" s="1190"/>
      <c r="BB18" s="1190"/>
      <c r="BC18" s="1190"/>
      <c r="BD18" s="1190"/>
      <c r="BE18" s="1194"/>
    </row>
    <row r="19" spans="1:58" ht="15">
      <c r="A19" s="1190"/>
      <c r="B19" s="1926">
        <v>0.3</v>
      </c>
      <c r="C19" s="1927"/>
      <c r="D19" s="1927"/>
      <c r="E19" s="1927"/>
      <c r="F19" s="1927"/>
      <c r="G19" s="1927"/>
      <c r="H19" s="1927"/>
      <c r="I19" s="1928"/>
      <c r="J19" s="1929">
        <f t="shared" ref="J19:J24" si="0">SUM(P19:AS19)</f>
        <v>115</v>
      </c>
      <c r="K19" s="1930"/>
      <c r="L19" s="1930"/>
      <c r="M19" s="1930"/>
      <c r="N19" s="1930"/>
      <c r="O19" s="1931"/>
      <c r="P19" s="1929" cm="1">
        <f t="array" ref="P19">SUMPRODUCT((Application!$B$718:$B$752 = 'CalHFA Addendum'!P$18)*(Application!$AC$718:$AC$752 = 'CalHFA Addendum'!$B19),Application!$G$718:$G$752)</f>
        <v>17</v>
      </c>
      <c r="Q19" s="1930"/>
      <c r="R19" s="1930"/>
      <c r="S19" s="1930"/>
      <c r="T19" s="1930"/>
      <c r="U19" s="1931"/>
      <c r="V19" s="1929" cm="1">
        <f t="array" ref="V19">SUMPRODUCT((Application!$B$714:$B$738 = 'CalHFA Addendum'!V$18)*(Application!$AC$714:$AC$738 = 'CalHFA Addendum'!$B19),Application!$G$714:$G$738)</f>
        <v>33</v>
      </c>
      <c r="W19" s="1930"/>
      <c r="X19" s="1930"/>
      <c r="Y19" s="1930"/>
      <c r="Z19" s="1930"/>
      <c r="AA19" s="1931"/>
      <c r="AB19" s="1929" cm="1">
        <f t="array" ref="AB19">SUMPRODUCT((Application!$B$714:$B$738 = 'CalHFA Addendum'!AB$18)*(Application!$AC$714:$AC$738 = 'CalHFA Addendum'!$B19),Application!$G$714:$G$738)</f>
        <v>65</v>
      </c>
      <c r="AC19" s="1930"/>
      <c r="AD19" s="1930"/>
      <c r="AE19" s="1930"/>
      <c r="AF19" s="1930"/>
      <c r="AG19" s="1931"/>
      <c r="AH19" s="1929" cm="1">
        <f t="array" ref="AH19">SUMPRODUCT((Application!$B$714:$B$738 = 'CalHFA Addendum'!AH$18)*(Application!$AC$714:$AC$738 = 'CalHFA Addendum'!$B19),Application!$G$714:$G$738)</f>
        <v>0</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0.5</v>
      </c>
      <c r="AU19" s="1933"/>
      <c r="AV19" s="1933"/>
      <c r="AW19" s="1933"/>
      <c r="AX19" s="1933"/>
      <c r="AY19" s="1934"/>
      <c r="AZ19" s="1195"/>
      <c r="BA19" s="1190"/>
      <c r="BB19" s="1190"/>
      <c r="BC19" s="1190"/>
      <c r="BD19" s="1190"/>
      <c r="BE19" s="1194"/>
    </row>
    <row r="20" spans="1:58" ht="15" customHeight="1">
      <c r="A20" s="1190"/>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90"/>
      <c r="BA20" s="1190"/>
      <c r="BB20" s="1190"/>
      <c r="BC20" s="1190"/>
      <c r="BD20" s="1190"/>
      <c r="BE20" s="1194"/>
    </row>
    <row r="21" spans="1:58" ht="15">
      <c r="A21" s="1190"/>
      <c r="B21" s="1926">
        <v>0.5</v>
      </c>
      <c r="C21" s="1927"/>
      <c r="D21" s="1927"/>
      <c r="E21" s="1927"/>
      <c r="F21" s="1927"/>
      <c r="G21" s="1927"/>
      <c r="H21" s="1927"/>
      <c r="I21" s="1928"/>
      <c r="J21" s="1929">
        <f t="shared" si="0"/>
        <v>0</v>
      </c>
      <c r="K21" s="1930"/>
      <c r="L21" s="1930"/>
      <c r="M21" s="1930"/>
      <c r="N21" s="1930"/>
      <c r="O21" s="1931"/>
      <c r="P21" s="1929" cm="1">
        <f t="array" ref="P21">SUMPRODUCT((Application!$B$714:$B$738 = 'CalHFA Addendum'!P$18)*(Application!$AC$714:$AC$738 = 'CalHFA Addendum'!$B21),Application!$G$714:$G$738)</f>
        <v>0</v>
      </c>
      <c r="Q21" s="1930"/>
      <c r="R21" s="1930"/>
      <c r="S21" s="1930"/>
      <c r="T21" s="1930"/>
      <c r="U21" s="1931"/>
      <c r="V21" s="1929" cm="1">
        <f t="array" ref="V21">SUMPRODUCT((Application!$B$714:$B$738 = 'CalHFA Addendum'!V$18)*(Application!$AC$714:$AC$738 = 'CalHFA Addendum'!$B21),Application!$G$714:$G$738)</f>
        <v>0</v>
      </c>
      <c r="W21" s="1930"/>
      <c r="X21" s="1930"/>
      <c r="Y21" s="1930"/>
      <c r="Z21" s="1930"/>
      <c r="AA21" s="1931"/>
      <c r="AB21" s="1929" cm="1">
        <f t="array" ref="AB21">SUMPRODUCT((Application!$B$714:$B$738 = 'CalHFA Addendum'!AB$18)*(Application!$AC$714:$AC$738 = 'CalHFA Addendum'!$B21),Application!$G$714:$G$738)</f>
        <v>0</v>
      </c>
      <c r="AC21" s="1930"/>
      <c r="AD21" s="1930"/>
      <c r="AE21" s="1930"/>
      <c r="AF21" s="1930"/>
      <c r="AG21" s="1931"/>
      <c r="AH21" s="1929" cm="1">
        <f t="array" ref="AH21">SUMPRODUCT((Application!$B$714:$B$738 = 'CalHFA Addendum'!AH$18)*(Application!$AC$714:$AC$738 = 'CalHFA Addendum'!$B21),Application!$G$714:$G$738)</f>
        <v>0</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v>
      </c>
      <c r="AU21" s="1933"/>
      <c r="AV21" s="1933"/>
      <c r="AW21" s="1933"/>
      <c r="AX21" s="1933"/>
      <c r="AY21" s="1934"/>
      <c r="AZ21" s="1190"/>
      <c r="BA21" s="1190"/>
      <c r="BB21" s="1190"/>
      <c r="BC21" s="1190"/>
      <c r="BD21" s="1190"/>
      <c r="BE21" s="1194"/>
    </row>
    <row r="22" spans="1:58" ht="15">
      <c r="A22" s="1190"/>
      <c r="B22" s="1926">
        <v>0.6</v>
      </c>
      <c r="C22" s="1927"/>
      <c r="D22" s="1927"/>
      <c r="E22" s="1927"/>
      <c r="F22" s="1927"/>
      <c r="G22" s="1927"/>
      <c r="H22" s="1927"/>
      <c r="I22" s="1928"/>
      <c r="J22" s="1929">
        <f t="shared" si="0"/>
        <v>114</v>
      </c>
      <c r="K22" s="1930"/>
      <c r="L22" s="1930"/>
      <c r="M22" s="1930"/>
      <c r="N22" s="1930"/>
      <c r="O22" s="1931"/>
      <c r="P22" s="1929" cm="1">
        <f t="array" ref="P22">SUMPRODUCT((Application!$B$714:$B$738 = 'CalHFA Addendum'!P$18)*(Application!$AC$714:$AC$738 = 'CalHFA Addendum'!$B22),Application!$G$714:$G$738)</f>
        <v>16</v>
      </c>
      <c r="Q22" s="1930"/>
      <c r="R22" s="1930"/>
      <c r="S22" s="1930"/>
      <c r="T22" s="1930"/>
      <c r="U22" s="1931"/>
      <c r="V22" s="1929" cm="1">
        <f t="array" ref="V22">SUMPRODUCT((Application!$B$714:$B$738 = 'CalHFA Addendum'!V$18)*(Application!$AC$714:$AC$738 = 'CalHFA Addendum'!$B22),Application!$G$714:$G$738)</f>
        <v>33</v>
      </c>
      <c r="W22" s="1930"/>
      <c r="X22" s="1930"/>
      <c r="Y22" s="1930"/>
      <c r="Z22" s="1930"/>
      <c r="AA22" s="1931"/>
      <c r="AB22" s="1929" cm="1">
        <f t="array" ref="AB22">SUMPRODUCT((Application!$B$714:$B$738 = 'CalHFA Addendum'!AB$18)*(Application!$AC$714:$AC$738 = 'CalHFA Addendum'!$B22),Application!$G$714:$G$738)</f>
        <v>65</v>
      </c>
      <c r="AC22" s="1930"/>
      <c r="AD22" s="1930"/>
      <c r="AE22" s="1930"/>
      <c r="AF22" s="1930"/>
      <c r="AG22" s="1931"/>
      <c r="AH22" s="1929" cm="1">
        <f t="array" ref="AH22">SUMPRODUCT((Application!$B$714:$B$738 = 'CalHFA Addendum'!AH$18)*(Application!$AC$714:$AC$738 = 'CalHFA Addendum'!$B22),Application!$G$714:$G$738)</f>
        <v>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0.4956521739130435</v>
      </c>
      <c r="AU22" s="1933"/>
      <c r="AV22" s="1933"/>
      <c r="AW22" s="1933"/>
      <c r="AX22" s="1933"/>
      <c r="AY22" s="1934"/>
      <c r="AZ22" s="1190"/>
      <c r="BA22" s="1190"/>
      <c r="BB22" s="1190"/>
      <c r="BC22" s="1190"/>
      <c r="BD22" s="1190"/>
      <c r="BE22" s="1194"/>
    </row>
    <row r="23" spans="1:58" ht="15">
      <c r="A23" s="1190"/>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0"/>
      <c r="BA23" s="1190"/>
      <c r="BB23" s="1190"/>
      <c r="BC23" s="1190"/>
      <c r="BD23" s="1190"/>
      <c r="BE23" s="1194"/>
    </row>
    <row r="24" spans="1:58" ht="15">
      <c r="A24" s="1190"/>
      <c r="B24" s="1926">
        <v>0.8</v>
      </c>
      <c r="C24" s="1927"/>
      <c r="D24" s="1927"/>
      <c r="E24" s="1927"/>
      <c r="F24" s="1927"/>
      <c r="G24" s="1927"/>
      <c r="H24" s="1927"/>
      <c r="I24" s="1928"/>
      <c r="J24" s="1929">
        <f t="shared" si="0"/>
        <v>0</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0</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v>
      </c>
      <c r="AU24" s="1933"/>
      <c r="AV24" s="1933"/>
      <c r="AW24" s="1933"/>
      <c r="AX24" s="1933"/>
      <c r="AY24" s="1934"/>
      <c r="AZ24" s="1190"/>
      <c r="BA24" s="1190"/>
      <c r="BB24" s="1190"/>
      <c r="BC24" s="1190"/>
      <c r="BD24" s="1190"/>
      <c r="BE24" s="1194"/>
    </row>
    <row r="25" spans="1:58" ht="15">
      <c r="A25" s="1190"/>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0"/>
      <c r="BA25" s="1190"/>
      <c r="BB25" s="1190"/>
      <c r="BC25" s="1190"/>
      <c r="BD25" s="1190"/>
      <c r="BE25" s="1194"/>
    </row>
    <row r="26" spans="1:58" ht="15">
      <c r="A26" s="1190"/>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0"/>
      <c r="BA26" s="1190"/>
      <c r="BB26" s="1190"/>
      <c r="BC26" s="1190"/>
      <c r="BD26" s="1190"/>
      <c r="BE26" s="1194"/>
    </row>
    <row r="27" spans="1:58" ht="15">
      <c r="A27" s="1190"/>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0"/>
      <c r="BA27" s="1190"/>
      <c r="BB27" s="1190"/>
      <c r="BC27" s="1190"/>
      <c r="BD27" s="1190"/>
      <c r="BE27" s="1194"/>
    </row>
    <row r="28" spans="1:58" thickBot="1">
      <c r="A28" s="1190"/>
      <c r="B28" s="1938" t="s">
        <v>2431</v>
      </c>
      <c r="C28" s="1939"/>
      <c r="D28" s="1939"/>
      <c r="E28" s="1939"/>
      <c r="F28" s="1939"/>
      <c r="G28" s="1939"/>
      <c r="H28" s="1939"/>
      <c r="I28" s="1940"/>
      <c r="J28" s="1941">
        <f>SUM(P28:AS28)</f>
        <v>1</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1</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4.3478260869565218E-3</v>
      </c>
      <c r="AU28" s="1945"/>
      <c r="AV28" s="1945"/>
      <c r="AW28" s="1945"/>
      <c r="AX28" s="1945"/>
      <c r="AY28" s="1946"/>
      <c r="AZ28" s="1190"/>
      <c r="BA28" s="1190"/>
      <c r="BB28" s="1190"/>
      <c r="BC28" s="1190"/>
      <c r="BD28" s="1190"/>
      <c r="BE28" s="1194"/>
    </row>
    <row r="29" spans="1:58" thickBot="1">
      <c r="A29" s="1190"/>
      <c r="B29" s="1975" t="s">
        <v>1587</v>
      </c>
      <c r="C29" s="1948"/>
      <c r="D29" s="1948"/>
      <c r="E29" s="1948"/>
      <c r="F29" s="1948"/>
      <c r="G29" s="1948"/>
      <c r="H29" s="1948"/>
      <c r="I29" s="1949"/>
      <c r="J29" s="1947">
        <f>SUM(J19:O28)</f>
        <v>230</v>
      </c>
      <c r="K29" s="1948"/>
      <c r="L29" s="1948"/>
      <c r="M29" s="1948"/>
      <c r="N29" s="1948"/>
      <c r="O29" s="1949"/>
      <c r="P29" s="1947">
        <f>SUM(P19:U28)</f>
        <v>33</v>
      </c>
      <c r="Q29" s="1948"/>
      <c r="R29" s="1948"/>
      <c r="S29" s="1948"/>
      <c r="T29" s="1948"/>
      <c r="U29" s="1949"/>
      <c r="V29" s="1947">
        <f>SUM(V19:AA28)</f>
        <v>66</v>
      </c>
      <c r="W29" s="1948"/>
      <c r="X29" s="1948"/>
      <c r="Y29" s="1948"/>
      <c r="Z29" s="1948"/>
      <c r="AA29" s="1949"/>
      <c r="AB29" s="1947">
        <f>SUM(AB19:AG28)</f>
        <v>131</v>
      </c>
      <c r="AC29" s="1948"/>
      <c r="AD29" s="1948"/>
      <c r="AE29" s="1948"/>
      <c r="AF29" s="1948"/>
      <c r="AG29" s="1949"/>
      <c r="AH29" s="1947">
        <f>SUM(AH19:AM28)</f>
        <v>0</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3" t="s">
        <v>2430</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4"/>
    </row>
    <row r="32" spans="1:58" thickBot="1">
      <c r="A32" s="1190"/>
      <c r="B32" s="1956" t="s">
        <v>2429</v>
      </c>
      <c r="C32" s="1957"/>
      <c r="D32" s="1957"/>
      <c r="E32" s="1957"/>
      <c r="F32" s="1957"/>
      <c r="G32" s="1957"/>
      <c r="H32" s="1957"/>
      <c r="I32" s="1957"/>
      <c r="J32" s="1960" t="s">
        <v>2428</v>
      </c>
      <c r="K32" s="1961"/>
      <c r="L32" s="1961"/>
      <c r="M32" s="1961"/>
      <c r="N32" s="1960" t="s">
        <v>2427</v>
      </c>
      <c r="O32" s="1961"/>
      <c r="P32" s="1961"/>
      <c r="Q32" s="1963"/>
      <c r="R32" s="1965" t="s">
        <v>2426</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4"/>
    </row>
    <row r="33" spans="1:58" ht="15" customHeight="1">
      <c r="A33" s="1190"/>
      <c r="B33" s="1958"/>
      <c r="C33" s="1959"/>
      <c r="D33" s="1959"/>
      <c r="E33" s="1959"/>
      <c r="F33" s="1959"/>
      <c r="G33" s="1959"/>
      <c r="H33" s="1959"/>
      <c r="I33" s="1959"/>
      <c r="J33" s="1962"/>
      <c r="K33" s="1962"/>
      <c r="L33" s="1962"/>
      <c r="M33" s="1962"/>
      <c r="N33" s="1962"/>
      <c r="O33" s="1962"/>
      <c r="P33" s="1962"/>
      <c r="Q33" s="1964"/>
      <c r="R33" s="1968" t="s">
        <v>2425</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4"/>
    </row>
    <row r="34" spans="1:58" ht="15.75" customHeight="1" thickBot="1">
      <c r="A34" s="1190"/>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4"/>
    </row>
    <row r="35" spans="1:58" ht="15.75" customHeight="1">
      <c r="A35" s="1190"/>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2424</v>
      </c>
      <c r="AT35" s="1977"/>
      <c r="AU35" s="1977"/>
      <c r="AV35" s="1977"/>
      <c r="AW35" s="1977"/>
      <c r="AX35" s="1985"/>
      <c r="AY35" s="1976" t="s">
        <v>2423</v>
      </c>
      <c r="AZ35" s="1977"/>
      <c r="BA35" s="1977"/>
      <c r="BB35" s="1977"/>
      <c r="BC35" s="1977"/>
      <c r="BD35" s="1978"/>
      <c r="BE35" s="1194"/>
    </row>
    <row r="36" spans="1:58" ht="15.75" customHeight="1">
      <c r="A36" s="1190"/>
      <c r="B36" s="1995" t="s">
        <v>2422</v>
      </c>
      <c r="C36" s="1996"/>
      <c r="D36" s="1996"/>
      <c r="E36" s="1996"/>
      <c r="F36" s="1996"/>
      <c r="G36" s="1996"/>
      <c r="H36" s="1996"/>
      <c r="I36" s="1996"/>
      <c r="J36" s="1997" t="s">
        <v>2421</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4"/>
    </row>
    <row r="37" spans="1:58" ht="15.75" customHeight="1">
      <c r="A37" s="1190"/>
      <c r="B37" s="1995" t="s">
        <v>2420</v>
      </c>
      <c r="C37" s="1996"/>
      <c r="D37" s="1996"/>
      <c r="E37" s="1996"/>
      <c r="F37" s="1996"/>
      <c r="G37" s="1996"/>
      <c r="H37" s="1996"/>
      <c r="I37" s="1996"/>
      <c r="J37" s="1997" t="s">
        <v>2419</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4"/>
    </row>
    <row r="38" spans="1:58" ht="15.75" customHeight="1">
      <c r="A38" s="1190"/>
      <c r="B38" s="1995" t="s">
        <v>2418</v>
      </c>
      <c r="C38" s="1996"/>
      <c r="D38" s="1996"/>
      <c r="E38" s="1996"/>
      <c r="F38" s="1996"/>
      <c r="G38" s="1996"/>
      <c r="H38" s="1996"/>
      <c r="I38" s="1996"/>
      <c r="J38" s="1997" t="s">
        <v>2417</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4"/>
    </row>
    <row r="39" spans="1:58" ht="15.75" customHeight="1">
      <c r="A39" s="1190"/>
      <c r="B39" s="1995" t="s">
        <v>2416</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4"/>
    </row>
    <row r="40" spans="1:58" ht="15.75" customHeight="1">
      <c r="A40" s="1190"/>
      <c r="B40" s="1995" t="s">
        <v>2416</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4"/>
    </row>
    <row r="41" spans="1:58" ht="15.75" customHeight="1">
      <c r="A41" s="1190"/>
      <c r="B41" s="1995" t="s">
        <v>2415</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4"/>
    </row>
    <row r="42" spans="1:58" ht="15.75" customHeight="1">
      <c r="A42" s="1190"/>
      <c r="B42" s="1995" t="s">
        <v>2415</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4"/>
    </row>
    <row r="43" spans="1:58" ht="15.75" customHeight="1">
      <c r="A43" s="1190"/>
      <c r="B43" s="1999" t="s">
        <v>2414</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4"/>
    </row>
    <row r="44" spans="1:58" ht="15.75" customHeight="1">
      <c r="A44" s="1190"/>
      <c r="B44" s="1999" t="s">
        <v>2413</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4"/>
    </row>
    <row r="45" spans="1:58" ht="15.75" customHeight="1">
      <c r="A45" s="1190"/>
      <c r="B45" s="1999" t="s">
        <v>2412</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4"/>
    </row>
    <row r="46" spans="1:58" ht="15.75" customHeight="1">
      <c r="A46" s="1190"/>
      <c r="B46" s="1999" t="s">
        <v>2336</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4"/>
    </row>
    <row r="47" spans="1:58" ht="15.75" customHeight="1" thickBot="1">
      <c r="A47" s="1190"/>
      <c r="B47" s="2001" t="s">
        <v>300</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1" t="s">
        <v>2409</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4" t="s">
        <v>2402</v>
      </c>
      <c r="C51" s="2015"/>
      <c r="D51" s="2015"/>
      <c r="E51" s="2015"/>
      <c r="F51" s="2015"/>
      <c r="G51" s="2015"/>
      <c r="H51" s="2015"/>
      <c r="I51" s="2015"/>
      <c r="J51" s="2015" t="s">
        <v>2408</v>
      </c>
      <c r="K51" s="2015"/>
      <c r="L51" s="2015"/>
      <c r="M51" s="2015"/>
      <c r="N51" s="2015"/>
      <c r="O51" s="2015"/>
      <c r="P51" s="2015"/>
      <c r="Q51" s="2015"/>
      <c r="R51" s="2016" t="s">
        <v>2407</v>
      </c>
      <c r="S51" s="2016"/>
      <c r="T51" s="2016"/>
      <c r="U51" s="2016"/>
      <c r="V51" s="2016"/>
      <c r="W51" s="2016"/>
      <c r="X51" s="2016"/>
      <c r="Y51" s="2016"/>
      <c r="Z51" s="2016" t="s">
        <v>2406</v>
      </c>
      <c r="AA51" s="2016"/>
      <c r="AB51" s="2016"/>
      <c r="AC51" s="2016"/>
      <c r="AD51" s="2016"/>
      <c r="AE51" s="2016"/>
      <c r="AF51" s="2016"/>
      <c r="AG51" s="2016"/>
      <c r="AH51" s="2016" t="s">
        <v>2405</v>
      </c>
      <c r="AI51" s="2016"/>
      <c r="AJ51" s="2016"/>
      <c r="AK51" s="2016"/>
      <c r="AL51" s="2016"/>
      <c r="AM51" s="2016"/>
      <c r="AN51" s="2016"/>
      <c r="AO51" s="201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9" t="s">
        <v>2404</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9" t="s">
        <v>2403</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2" t="s">
        <v>1587</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3" t="s">
        <v>2402</v>
      </c>
      <c r="C59" s="2024"/>
      <c r="D59" s="2024"/>
      <c r="E59" s="2024"/>
      <c r="F59" s="2024"/>
      <c r="G59" s="2024"/>
      <c r="H59" s="2024"/>
      <c r="I59" s="2025"/>
      <c r="J59" s="1917" t="s">
        <v>2401</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0"/>
      <c r="AY59" s="1190"/>
      <c r="AZ59" s="1190"/>
      <c r="BA59" s="1190"/>
      <c r="BB59" s="1190"/>
      <c r="BC59" s="1190"/>
      <c r="BD59" s="1190"/>
      <c r="BE59" s="1194"/>
    </row>
    <row r="60" spans="1:77" ht="15.75" customHeight="1">
      <c r="A60" s="1190"/>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0"/>
      <c r="AY60" s="1190"/>
      <c r="AZ60" s="1190"/>
      <c r="BA60" s="1190"/>
      <c r="BB60" s="1190"/>
      <c r="BC60" s="1190"/>
      <c r="BD60" s="1190"/>
      <c r="BE60" s="1194"/>
    </row>
    <row r="61" spans="1:77" ht="15.75" customHeight="1">
      <c r="A61" s="1190"/>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0"/>
      <c r="AY61" s="1190"/>
      <c r="AZ61" s="1190"/>
      <c r="BA61" s="1190"/>
      <c r="BB61" s="1190"/>
      <c r="BC61" s="1190"/>
      <c r="BD61" s="1190"/>
      <c r="BE61" s="1194"/>
    </row>
    <row r="62" spans="1:77" ht="15.75" customHeight="1">
      <c r="A62" s="1190"/>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0"/>
      <c r="AY62" s="1190"/>
      <c r="AZ62" s="1190"/>
      <c r="BA62" s="1190"/>
      <c r="BB62" s="1190"/>
      <c r="BC62" s="1190"/>
      <c r="BD62" s="1190"/>
      <c r="BE62" s="1194"/>
    </row>
    <row r="63" spans="1:77" ht="15.75" customHeight="1">
      <c r="A63" s="1190"/>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0"/>
      <c r="AY63" s="1190"/>
      <c r="AZ63" s="1190"/>
      <c r="BA63" s="1190"/>
      <c r="BB63" s="1190"/>
      <c r="BC63" s="1190"/>
      <c r="BD63" s="1190"/>
      <c r="BE63" s="1194"/>
    </row>
    <row r="64" spans="1:77" ht="15.75" customHeight="1" thickBot="1">
      <c r="A64" s="1190"/>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6" t="s">
        <v>2399</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0"/>
      <c r="AC68" s="2060" t="s">
        <v>2398</v>
      </c>
      <c r="AD68" s="2061"/>
      <c r="AE68" s="2061"/>
      <c r="AF68" s="2061"/>
      <c r="AG68" s="2061"/>
      <c r="AH68" s="2061"/>
      <c r="AI68" s="2061"/>
      <c r="AJ68" s="2061"/>
      <c r="AK68" s="2061"/>
      <c r="AL68" s="2061"/>
      <c r="AM68" s="2061"/>
      <c r="AN68" s="2061"/>
      <c r="AO68" s="2061"/>
      <c r="AP68" s="2061"/>
      <c r="AQ68" s="2061"/>
      <c r="AR68" s="2061"/>
      <c r="AS68" s="2061"/>
      <c r="AT68" s="2061"/>
      <c r="AU68" s="2061"/>
      <c r="AV68" s="2038" t="s">
        <v>670</v>
      </c>
      <c r="AW68" s="2039"/>
      <c r="AX68" s="2039"/>
      <c r="AY68" s="2039"/>
      <c r="AZ68" s="2039"/>
      <c r="BA68" s="2039"/>
      <c r="BB68" s="2039"/>
      <c r="BC68" s="2040"/>
      <c r="BD68" s="1190"/>
      <c r="BE68" s="1194"/>
      <c r="BM68" s="1199" t="s">
        <v>2397</v>
      </c>
    </row>
    <row r="69" spans="1:94" ht="15.75" customHeight="1" thickTop="1" thickBot="1">
      <c r="A69" s="1190"/>
      <c r="B69" s="2041" t="s">
        <v>2396</v>
      </c>
      <c r="C69" s="2042"/>
      <c r="D69" s="2042"/>
      <c r="E69" s="2042"/>
      <c r="F69" s="2042"/>
      <c r="G69" s="2042"/>
      <c r="H69" s="2042"/>
      <c r="I69" s="2042"/>
      <c r="J69" s="2042"/>
      <c r="K69" s="2042"/>
      <c r="L69" s="2042"/>
      <c r="M69" s="2042"/>
      <c r="N69" s="2042"/>
      <c r="O69" s="2043" t="s">
        <v>2395</v>
      </c>
      <c r="P69" s="2044"/>
      <c r="Q69" s="2044"/>
      <c r="R69" s="2044"/>
      <c r="S69" s="2044"/>
      <c r="T69" s="2044"/>
      <c r="U69" s="2044"/>
      <c r="V69" s="2044"/>
      <c r="W69" s="2044"/>
      <c r="X69" s="2044"/>
      <c r="Y69" s="2044"/>
      <c r="Z69" s="2044"/>
      <c r="AA69" s="2045"/>
      <c r="AB69" s="1190"/>
      <c r="AC69" s="2046" t="s">
        <v>2394</v>
      </c>
      <c r="AD69" s="2047"/>
      <c r="AE69" s="2047"/>
      <c r="AF69" s="2047"/>
      <c r="AG69" s="2047"/>
      <c r="AH69" s="2047"/>
      <c r="AI69" s="2047"/>
      <c r="AJ69" s="2047"/>
      <c r="AK69" s="2047"/>
      <c r="AL69" s="2047"/>
      <c r="AM69" s="2047"/>
      <c r="AN69" s="2047"/>
      <c r="AO69" s="2047"/>
      <c r="AP69" s="2047"/>
      <c r="AQ69" s="2047"/>
      <c r="AR69" s="2047"/>
      <c r="AS69" s="2047"/>
      <c r="AT69" s="2047"/>
      <c r="AU69" s="2047"/>
      <c r="AV69" s="2038" t="s">
        <v>670</v>
      </c>
      <c r="AW69" s="2039"/>
      <c r="AX69" s="2039"/>
      <c r="AY69" s="2039"/>
      <c r="AZ69" s="2039"/>
      <c r="BA69" s="2039"/>
      <c r="BB69" s="2039"/>
      <c r="BC69" s="2040"/>
      <c r="BD69" s="1190"/>
      <c r="BE69" s="1194"/>
      <c r="BM69" s="1200" t="s">
        <v>546</v>
      </c>
    </row>
    <row r="70" spans="1:94" ht="15.75" customHeight="1">
      <c r="A70" s="1190"/>
      <c r="B70" s="1995" t="s">
        <v>2393</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0"/>
      <c r="AC70" s="2011" t="s">
        <v>2392</v>
      </c>
      <c r="AD70" s="2012"/>
      <c r="AE70" s="2012"/>
      <c r="AF70" s="2056"/>
      <c r="AG70" s="2056"/>
      <c r="AH70" s="2056"/>
      <c r="AI70" s="2056"/>
      <c r="AJ70" s="2056"/>
      <c r="AK70" s="2056"/>
      <c r="AL70" s="2056"/>
      <c r="AM70" s="2056"/>
      <c r="AN70" s="2056"/>
      <c r="AO70" s="2056"/>
      <c r="AP70" s="2056"/>
      <c r="AQ70" s="2056"/>
      <c r="AR70" s="2056"/>
      <c r="AS70" s="2056"/>
      <c r="AT70" s="2056"/>
      <c r="AU70" s="2057"/>
      <c r="AV70" s="1190"/>
      <c r="AW70" s="1190"/>
      <c r="AX70" s="1190"/>
      <c r="AY70" s="1190"/>
      <c r="AZ70" s="1190"/>
      <c r="BA70" s="1190"/>
      <c r="BB70" s="1190"/>
      <c r="BC70" s="1190"/>
      <c r="BD70" s="1190"/>
      <c r="BE70" s="1194"/>
      <c r="BM70" s="1201" t="s">
        <v>670</v>
      </c>
    </row>
    <row r="71" spans="1:94" ht="15.75" customHeight="1" thickBot="1">
      <c r="A71" s="1190"/>
      <c r="B71" s="1995" t="s">
        <v>2391</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0"/>
      <c r="AC71" s="2058" t="s">
        <v>2390</v>
      </c>
      <c r="AD71" s="2059"/>
      <c r="AE71" s="2059"/>
      <c r="AF71" s="2052"/>
      <c r="AG71" s="2052"/>
      <c r="AH71" s="2052"/>
      <c r="AI71" s="2052"/>
      <c r="AJ71" s="2052"/>
      <c r="AK71" s="2052"/>
      <c r="AL71" s="2052"/>
      <c r="AM71" s="2052"/>
      <c r="AN71" s="2052"/>
      <c r="AO71" s="2052"/>
      <c r="AP71" s="2052"/>
      <c r="AQ71" s="2052"/>
      <c r="AR71" s="2052"/>
      <c r="AS71" s="2052"/>
      <c r="AT71" s="2052"/>
      <c r="AU71" s="2053"/>
      <c r="AV71" s="1190"/>
      <c r="AW71" s="1190"/>
      <c r="AX71" s="1190"/>
      <c r="AY71" s="1190"/>
      <c r="AZ71" s="1190"/>
      <c r="BA71" s="1190"/>
      <c r="BB71" s="1190"/>
      <c r="BC71" s="1190"/>
      <c r="BD71" s="1190"/>
      <c r="BE71" s="1194"/>
      <c r="BM71" s="1187" t="s">
        <v>2389</v>
      </c>
    </row>
    <row r="72" spans="1:94" ht="15.75" customHeight="1">
      <c r="A72" s="1190"/>
      <c r="B72" s="1995" t="s">
        <v>2388</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0"/>
      <c r="AC72" s="2078" t="s">
        <v>2387</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0"/>
      <c r="BE72" s="1194"/>
    </row>
    <row r="73" spans="1:94" ht="15.75" customHeight="1">
      <c r="A73" s="1190"/>
      <c r="B73" s="1999" t="s">
        <v>2386</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0"/>
      <c r="AC73" s="2080" t="s">
        <v>2331</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0"/>
      <c r="BE73" s="1194"/>
      <c r="CK73" s="1188"/>
      <c r="CL73" s="1188"/>
      <c r="CM73" s="1188"/>
      <c r="CN73" s="1188"/>
      <c r="CO73" s="1188"/>
      <c r="CP73" s="1188"/>
    </row>
    <row r="74" spans="1:94" ht="15.75" customHeight="1">
      <c r="A74" s="1190"/>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0"/>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0"/>
      <c r="BE74" s="1194"/>
      <c r="CK74" s="1188"/>
      <c r="CL74" s="1188"/>
      <c r="CM74" s="1188"/>
      <c r="CN74" s="1188"/>
      <c r="CO74" s="1188"/>
      <c r="CP74" s="1188"/>
    </row>
    <row r="75" spans="1:94" ht="15.75" customHeight="1" thickBot="1">
      <c r="A75" s="1190"/>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0"/>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2"/>
      <c r="G79" s="2063"/>
      <c r="H79" s="2063"/>
      <c r="I79" s="2063"/>
      <c r="J79" s="2063"/>
      <c r="K79" s="2063"/>
      <c r="L79" s="2063"/>
      <c r="M79" s="2063"/>
      <c r="N79" s="2063"/>
      <c r="O79" s="2063"/>
      <c r="P79" s="2063"/>
      <c r="Q79" s="2063"/>
      <c r="R79" s="2063"/>
      <c r="S79" s="2063"/>
      <c r="T79" s="206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5" t="s">
        <v>2384</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0" t="s">
        <v>2383</v>
      </c>
      <c r="C81" s="2071"/>
      <c r="D81" s="2071"/>
      <c r="E81" s="2071"/>
      <c r="F81" s="2071"/>
      <c r="G81" s="2071"/>
      <c r="H81" s="2071"/>
      <c r="I81" s="2071"/>
      <c r="J81" s="2071"/>
      <c r="K81" s="2071"/>
      <c r="L81" s="2071"/>
      <c r="M81" s="2071"/>
      <c r="N81" s="2071"/>
      <c r="O81" s="2071"/>
      <c r="P81" s="2071"/>
      <c r="Q81" s="2071"/>
      <c r="R81" s="2072" t="s">
        <v>2189</v>
      </c>
      <c r="S81" s="2073"/>
      <c r="T81" s="207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5" t="s">
        <v>2382</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0"/>
      <c r="AJ83" s="2093" t="s">
        <v>2381</v>
      </c>
      <c r="AK83" s="2094"/>
      <c r="AL83" s="2094"/>
      <c r="AM83" s="2094"/>
      <c r="AN83" s="2094"/>
      <c r="AO83" s="2094"/>
      <c r="AP83" s="2094"/>
      <c r="AQ83" s="2094"/>
      <c r="AR83" s="2094"/>
      <c r="AS83" s="2094"/>
      <c r="AT83" s="2094"/>
      <c r="AU83" s="2094"/>
      <c r="AV83" s="2094"/>
      <c r="AW83" s="2094"/>
      <c r="AX83" s="2094"/>
      <c r="AY83" s="2097" t="s">
        <v>546</v>
      </c>
      <c r="AZ83" s="2097"/>
      <c r="BA83" s="2097"/>
      <c r="BB83" s="2098"/>
      <c r="BC83" s="1190"/>
      <c r="BD83" s="1190"/>
      <c r="BE83" s="1194"/>
      <c r="CK83" s="1188"/>
      <c r="CL83" s="1188"/>
      <c r="CM83" s="1188"/>
      <c r="CN83" s="1188"/>
      <c r="CO83" s="1188"/>
      <c r="CP83" s="1188"/>
    </row>
    <row r="84" spans="1:94" ht="15.75" customHeight="1">
      <c r="A84" s="1190"/>
      <c r="B84" s="2014"/>
      <c r="C84" s="2015"/>
      <c r="D84" s="2015"/>
      <c r="E84" s="2015"/>
      <c r="F84" s="2015"/>
      <c r="G84" s="2015"/>
      <c r="H84" s="2015"/>
      <c r="I84" s="2015" t="s">
        <v>2371</v>
      </c>
      <c r="J84" s="2015"/>
      <c r="K84" s="2015"/>
      <c r="L84" s="2015"/>
      <c r="M84" s="2015"/>
      <c r="N84" s="2015"/>
      <c r="O84" s="2015" t="s">
        <v>2347</v>
      </c>
      <c r="P84" s="2015"/>
      <c r="Q84" s="2015"/>
      <c r="R84" s="2015"/>
      <c r="S84" s="2015"/>
      <c r="T84" s="2015"/>
      <c r="U84" s="2015"/>
      <c r="V84" s="2101" t="s">
        <v>2346</v>
      </c>
      <c r="W84" s="2101"/>
      <c r="X84" s="2101"/>
      <c r="Y84" s="2101"/>
      <c r="Z84" s="2101"/>
      <c r="AA84" s="2101"/>
      <c r="AB84" s="2102" t="s">
        <v>2370</v>
      </c>
      <c r="AC84" s="2102"/>
      <c r="AD84" s="2102"/>
      <c r="AE84" s="2102"/>
      <c r="AF84" s="2102"/>
      <c r="AG84" s="2102"/>
      <c r="AH84" s="2103"/>
      <c r="AI84" s="1190"/>
      <c r="AJ84" s="2095"/>
      <c r="AK84" s="2096"/>
      <c r="AL84" s="2096"/>
      <c r="AM84" s="2096"/>
      <c r="AN84" s="2096"/>
      <c r="AO84" s="2096"/>
      <c r="AP84" s="2096"/>
      <c r="AQ84" s="2096"/>
      <c r="AR84" s="2096"/>
      <c r="AS84" s="2096"/>
      <c r="AT84" s="2096"/>
      <c r="AU84" s="2096"/>
      <c r="AV84" s="2096"/>
      <c r="AW84" s="2096"/>
      <c r="AX84" s="2096"/>
      <c r="AY84" s="2099"/>
      <c r="AZ84" s="2099"/>
      <c r="BA84" s="2099"/>
      <c r="BB84" s="2100"/>
      <c r="BC84" s="1190"/>
      <c r="BD84" s="1190"/>
      <c r="BE84" s="1194"/>
      <c r="CK84" s="1188"/>
      <c r="CL84" s="1188"/>
      <c r="CM84" s="1188"/>
      <c r="CN84" s="1188"/>
      <c r="CO84" s="1188"/>
      <c r="CP84" s="1188"/>
    </row>
    <row r="85" spans="1:94" ht="15.75" customHeight="1">
      <c r="A85" s="1190"/>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0"/>
      <c r="AJ85" s="2095"/>
      <c r="AK85" s="2096"/>
      <c r="AL85" s="2096"/>
      <c r="AM85" s="2096"/>
      <c r="AN85" s="2096"/>
      <c r="AO85" s="2096"/>
      <c r="AP85" s="2096"/>
      <c r="AQ85" s="2096"/>
      <c r="AR85" s="2096"/>
      <c r="AS85" s="2096"/>
      <c r="AT85" s="2096"/>
      <c r="AU85" s="2096"/>
      <c r="AV85" s="2096"/>
      <c r="AW85" s="2096"/>
      <c r="AX85" s="2096"/>
      <c r="AY85" s="2099"/>
      <c r="AZ85" s="2099"/>
      <c r="BA85" s="2099"/>
      <c r="BB85" s="2100"/>
      <c r="BC85" s="1190"/>
      <c r="BD85" s="1190"/>
      <c r="BE85" s="1194"/>
      <c r="CK85" s="1188"/>
      <c r="CL85" s="1188"/>
      <c r="CM85" s="1188"/>
      <c r="CN85" s="1188"/>
      <c r="CO85" s="1188"/>
      <c r="CP85" s="1188"/>
    </row>
    <row r="86" spans="1:94" ht="15.75" customHeight="1">
      <c r="A86" s="1190"/>
      <c r="B86" s="2014" t="s">
        <v>2369</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0"/>
      <c r="AJ86" s="2095"/>
      <c r="AK86" s="2096"/>
      <c r="AL86" s="2096"/>
      <c r="AM86" s="2096"/>
      <c r="AN86" s="2096"/>
      <c r="AO86" s="2096"/>
      <c r="AP86" s="2096"/>
      <c r="AQ86" s="2096"/>
      <c r="AR86" s="2096"/>
      <c r="AS86" s="2096"/>
      <c r="AT86" s="2096"/>
      <c r="AU86" s="2096"/>
      <c r="AV86" s="2096"/>
      <c r="AW86" s="2096"/>
      <c r="AX86" s="2096"/>
      <c r="AY86" s="2099"/>
      <c r="AZ86" s="2099"/>
      <c r="BA86" s="2099"/>
      <c r="BB86" s="2100"/>
      <c r="BC86" s="1190"/>
      <c r="BD86" s="1190"/>
      <c r="BE86" s="1194"/>
      <c r="CK86" s="1188"/>
      <c r="CL86" s="1188"/>
      <c r="CM86" s="1188"/>
      <c r="CN86" s="1188"/>
      <c r="CO86" s="1188"/>
      <c r="CP86" s="1188"/>
    </row>
    <row r="87" spans="1:94" ht="15.75" customHeight="1">
      <c r="A87" s="1190"/>
      <c r="B87" s="2014" t="s">
        <v>2368</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0"/>
      <c r="AJ87" s="2080" t="s">
        <v>2375</v>
      </c>
      <c r="AK87" s="2081"/>
      <c r="AL87" s="2081"/>
      <c r="AM87" s="2081"/>
      <c r="AN87" s="2081"/>
      <c r="AO87" s="2081"/>
      <c r="AP87" s="2081"/>
      <c r="AQ87" s="2081"/>
      <c r="AR87" s="2081"/>
      <c r="AS87" s="2081"/>
      <c r="AT87" s="2081"/>
      <c r="AU87" s="2081"/>
      <c r="AV87" s="2081"/>
      <c r="AW87" s="2081"/>
      <c r="AX87" s="2081"/>
      <c r="AY87" s="2081"/>
      <c r="AZ87" s="2081"/>
      <c r="BA87" s="2081"/>
      <c r="BB87" s="2082"/>
      <c r="BC87" s="1190"/>
      <c r="BD87" s="1190"/>
      <c r="BE87" s="1194"/>
      <c r="CK87" s="1188"/>
      <c r="CL87" s="1188"/>
      <c r="CM87" s="1188"/>
      <c r="CN87" s="1188"/>
      <c r="CO87" s="1188"/>
      <c r="CP87" s="1188"/>
    </row>
    <row r="88" spans="1:94" ht="15.75" customHeight="1" thickBot="1">
      <c r="A88" s="1190"/>
      <c r="B88" s="2032" t="s">
        <v>2367</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0"/>
      <c r="AJ88" s="2083"/>
      <c r="AK88" s="2084"/>
      <c r="AL88" s="2084"/>
      <c r="AM88" s="2084"/>
      <c r="AN88" s="2084"/>
      <c r="AO88" s="2084"/>
      <c r="AP88" s="2084"/>
      <c r="AQ88" s="2084"/>
      <c r="AR88" s="2084"/>
      <c r="AS88" s="2084"/>
      <c r="AT88" s="2084"/>
      <c r="AU88" s="2084"/>
      <c r="AV88" s="2084"/>
      <c r="AW88" s="2084"/>
      <c r="AX88" s="2084"/>
      <c r="AY88" s="2084"/>
      <c r="AZ88" s="2084"/>
      <c r="BA88" s="2084"/>
      <c r="BB88" s="208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2"/>
      <c r="G92" s="2063"/>
      <c r="H92" s="2063"/>
      <c r="I92" s="2063"/>
      <c r="J92" s="2063"/>
      <c r="K92" s="2063"/>
      <c r="L92" s="2063"/>
      <c r="M92" s="2063"/>
      <c r="N92" s="2063"/>
      <c r="O92" s="2063"/>
      <c r="P92" s="2063"/>
      <c r="Q92" s="2063"/>
      <c r="R92" s="2063"/>
      <c r="S92" s="2063"/>
      <c r="T92" s="206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5" t="s">
        <v>2379</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0" t="s">
        <v>2378</v>
      </c>
      <c r="C94" s="2071"/>
      <c r="D94" s="2071"/>
      <c r="E94" s="2071"/>
      <c r="F94" s="2071"/>
      <c r="G94" s="2071"/>
      <c r="H94" s="2071"/>
      <c r="I94" s="2071"/>
      <c r="J94" s="2071"/>
      <c r="K94" s="2071"/>
      <c r="L94" s="2071"/>
      <c r="M94" s="2071"/>
      <c r="N94" s="2071"/>
      <c r="O94" s="2071"/>
      <c r="P94" s="2071"/>
      <c r="Q94" s="2105"/>
      <c r="R94" s="2072" t="s">
        <v>2189</v>
      </c>
      <c r="S94" s="2073"/>
      <c r="T94" s="207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5" t="s">
        <v>2377</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0"/>
      <c r="AJ96" s="2093" t="s">
        <v>2376</v>
      </c>
      <c r="AK96" s="2094"/>
      <c r="AL96" s="2094"/>
      <c r="AM96" s="2094"/>
      <c r="AN96" s="2094"/>
      <c r="AO96" s="2094"/>
      <c r="AP96" s="2094"/>
      <c r="AQ96" s="2094"/>
      <c r="AR96" s="2094"/>
      <c r="AS96" s="2094"/>
      <c r="AT96" s="2094"/>
      <c r="AU96" s="2094"/>
      <c r="AV96" s="2094"/>
      <c r="AW96" s="2094"/>
      <c r="AX96" s="2094"/>
      <c r="AY96" s="2097" t="s">
        <v>546</v>
      </c>
      <c r="AZ96" s="2097"/>
      <c r="BA96" s="2097"/>
      <c r="BB96" s="2098"/>
      <c r="BC96" s="1190"/>
      <c r="BD96" s="1190"/>
      <c r="BE96" s="1194"/>
      <c r="BQ96" s="1256" t="str">
        <f>Application!M243&amp;IF(TRIM(Application!AA249)&lt;&gt;""," ("&amp;Application!AA249&amp;")","")</f>
        <v>Rainbow Housing Assistance Corporation (Rainbow Housing)</v>
      </c>
      <c r="BR96" s="1259">
        <f>Application!AH246</f>
        <v>2.5000000000000001E-3</v>
      </c>
      <c r="CM96" s="1188"/>
      <c r="CN96" s="1188"/>
      <c r="CO96" s="1188"/>
      <c r="CP96" s="1188"/>
    </row>
    <row r="97" spans="1:94" ht="15.75" customHeight="1">
      <c r="A97" s="1190"/>
      <c r="B97" s="2014"/>
      <c r="C97" s="2015"/>
      <c r="D97" s="2015"/>
      <c r="E97" s="2015"/>
      <c r="F97" s="2015"/>
      <c r="G97" s="2015"/>
      <c r="H97" s="2015"/>
      <c r="I97" s="2015" t="s">
        <v>2371</v>
      </c>
      <c r="J97" s="2015"/>
      <c r="K97" s="2015"/>
      <c r="L97" s="2015"/>
      <c r="M97" s="2015"/>
      <c r="N97" s="2015"/>
      <c r="O97" s="2015" t="s">
        <v>2347</v>
      </c>
      <c r="P97" s="2015"/>
      <c r="Q97" s="2015"/>
      <c r="R97" s="2015"/>
      <c r="S97" s="2015"/>
      <c r="T97" s="2015"/>
      <c r="U97" s="2015"/>
      <c r="V97" s="2101" t="s">
        <v>2346</v>
      </c>
      <c r="W97" s="2101"/>
      <c r="X97" s="2101"/>
      <c r="Y97" s="2101"/>
      <c r="Z97" s="2101"/>
      <c r="AA97" s="2101"/>
      <c r="AB97" s="2102" t="s">
        <v>2370</v>
      </c>
      <c r="AC97" s="2102"/>
      <c r="AD97" s="2102"/>
      <c r="AE97" s="2102"/>
      <c r="AF97" s="2102"/>
      <c r="AG97" s="2102"/>
      <c r="AH97" s="2103"/>
      <c r="AI97" s="1190"/>
      <c r="AJ97" s="2095"/>
      <c r="AK97" s="2096"/>
      <c r="AL97" s="2096"/>
      <c r="AM97" s="2096"/>
      <c r="AN97" s="2096"/>
      <c r="AO97" s="2096"/>
      <c r="AP97" s="2096"/>
      <c r="AQ97" s="2096"/>
      <c r="AR97" s="2096"/>
      <c r="AS97" s="2096"/>
      <c r="AT97" s="2096"/>
      <c r="AU97" s="2096"/>
      <c r="AV97" s="2096"/>
      <c r="AW97" s="2096"/>
      <c r="AX97" s="2096"/>
      <c r="AY97" s="2099"/>
      <c r="AZ97" s="2099"/>
      <c r="BA97" s="2099"/>
      <c r="BB97" s="2100"/>
      <c r="BC97" s="1190"/>
      <c r="BD97" s="1190"/>
      <c r="BE97" s="1194"/>
      <c r="BQ97" s="1256" t="str">
        <f>Application!M251&amp;IF(TRIM(Application!AA257)&lt;&gt;""," ("&amp;Application!AA257&amp;")","")</f>
        <v>TBF Related Affordable LLC (Related Affordable)</v>
      </c>
      <c r="BR97" s="1259">
        <f>Application!AH254</f>
        <v>0</v>
      </c>
      <c r="CM97" s="1188"/>
      <c r="CN97" s="1188"/>
      <c r="CO97" s="1188"/>
      <c r="CP97" s="1188"/>
    </row>
    <row r="98" spans="1:94" ht="15.75" customHeight="1">
      <c r="A98" s="1190"/>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0"/>
      <c r="AJ98" s="2095"/>
      <c r="AK98" s="2096"/>
      <c r="AL98" s="2096"/>
      <c r="AM98" s="2096"/>
      <c r="AN98" s="2096"/>
      <c r="AO98" s="2096"/>
      <c r="AP98" s="2096"/>
      <c r="AQ98" s="2096"/>
      <c r="AR98" s="2096"/>
      <c r="AS98" s="2096"/>
      <c r="AT98" s="2096"/>
      <c r="AU98" s="2096"/>
      <c r="AV98" s="2096"/>
      <c r="AW98" s="2096"/>
      <c r="AX98" s="2096"/>
      <c r="AY98" s="2099"/>
      <c r="AZ98" s="2099"/>
      <c r="BA98" s="2099"/>
      <c r="BB98" s="210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4" t="s">
        <v>2369</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0"/>
      <c r="AJ99" s="2095"/>
      <c r="AK99" s="2096"/>
      <c r="AL99" s="2096"/>
      <c r="AM99" s="2096"/>
      <c r="AN99" s="2096"/>
      <c r="AO99" s="2096"/>
      <c r="AP99" s="2096"/>
      <c r="AQ99" s="2096"/>
      <c r="AR99" s="2096"/>
      <c r="AS99" s="2096"/>
      <c r="AT99" s="2096"/>
      <c r="AU99" s="2096"/>
      <c r="AV99" s="2096"/>
      <c r="AW99" s="2096"/>
      <c r="AX99" s="2096"/>
      <c r="AY99" s="2099"/>
      <c r="AZ99" s="2099"/>
      <c r="BA99" s="2099"/>
      <c r="BB99" s="2100"/>
      <c r="BC99" s="1190"/>
      <c r="BD99" s="1190"/>
      <c r="BE99" s="1194"/>
      <c r="CM99" s="1188"/>
      <c r="CN99" s="1188"/>
      <c r="CO99" s="1188"/>
      <c r="CP99" s="1188"/>
    </row>
    <row r="100" spans="1:94" ht="15.75" customHeight="1">
      <c r="A100" s="1190"/>
      <c r="B100" s="2014" t="s">
        <v>2368</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0"/>
      <c r="AJ100" s="2080" t="s">
        <v>2375</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0"/>
      <c r="BD100" s="1190"/>
      <c r="BE100" s="1194"/>
      <c r="CM100" s="1188"/>
      <c r="CN100" s="1188"/>
      <c r="CO100" s="1188"/>
      <c r="CP100" s="1188"/>
    </row>
    <row r="101" spans="1:94" ht="15.75" customHeight="1" thickBot="1">
      <c r="A101" s="1190"/>
      <c r="B101" s="2032" t="s">
        <v>2367</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0"/>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0"/>
      <c r="BD101" s="1190"/>
      <c r="BE101" s="1194"/>
      <c r="BQ101" s="1256" t="str">
        <f>Application!AA335</f>
        <v>RA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8"/>
      <c r="G104" s="2109"/>
      <c r="H104" s="2109"/>
      <c r="I104" s="2109"/>
      <c r="J104" s="2109"/>
      <c r="K104" s="2109"/>
      <c r="L104" s="2109"/>
      <c r="M104" s="2109"/>
      <c r="N104" s="2109"/>
      <c r="O104" s="2109"/>
      <c r="P104" s="2109"/>
      <c r="Q104" s="2109"/>
      <c r="R104" s="211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2" t="str">
        <f>IFERROR(INDEX(BR96:BR98,MATCH(F104,$BQ$96:$BQ$98,0))/SUM($BR$96:$BR$98),"")</f>
        <v/>
      </c>
      <c r="P105" s="2073"/>
      <c r="Q105" s="2073"/>
      <c r="R105" s="207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0" t="s">
        <v>2372</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4"/>
      <c r="C108" s="2015"/>
      <c r="D108" s="2015"/>
      <c r="E108" s="2015"/>
      <c r="F108" s="2015"/>
      <c r="G108" s="2015"/>
      <c r="H108" s="2015"/>
      <c r="I108" s="2015" t="s">
        <v>2371</v>
      </c>
      <c r="J108" s="2015"/>
      <c r="K108" s="2015"/>
      <c r="L108" s="2015"/>
      <c r="M108" s="2015"/>
      <c r="N108" s="2015"/>
      <c r="O108" s="2015" t="s">
        <v>2347</v>
      </c>
      <c r="P108" s="2015"/>
      <c r="Q108" s="2015"/>
      <c r="R108" s="2015"/>
      <c r="S108" s="2015"/>
      <c r="T108" s="2015"/>
      <c r="U108" s="2015"/>
      <c r="V108" s="2101" t="s">
        <v>2346</v>
      </c>
      <c r="W108" s="2101"/>
      <c r="X108" s="2101"/>
      <c r="Y108" s="2101"/>
      <c r="Z108" s="2101"/>
      <c r="AA108" s="2101"/>
      <c r="AB108" s="2102" t="s">
        <v>2370</v>
      </c>
      <c r="AC108" s="2102"/>
      <c r="AD108" s="2102"/>
      <c r="AE108" s="2102"/>
      <c r="AF108" s="2102"/>
      <c r="AG108" s="2102"/>
      <c r="AH108" s="210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4" t="s">
        <v>2369</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4" t="s">
        <v>2368</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2" t="s">
        <v>2367</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8"/>
      <c r="G115" s="2109"/>
      <c r="H115" s="2109"/>
      <c r="I115" s="2109"/>
      <c r="J115" s="2109"/>
      <c r="K115" s="2109"/>
      <c r="L115" s="2109"/>
      <c r="M115" s="2109"/>
      <c r="N115" s="2109"/>
      <c r="O115" s="2109"/>
      <c r="P115" s="2109"/>
      <c r="Q115" s="2109"/>
      <c r="R115" s="211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0" t="s">
        <v>2365</v>
      </c>
      <c r="C117" s="2121"/>
      <c r="D117" s="2121"/>
      <c r="E117" s="2121"/>
      <c r="F117" s="2121"/>
      <c r="G117" s="2121"/>
      <c r="H117" s="2121"/>
      <c r="I117" s="2121"/>
      <c r="J117" s="2121"/>
      <c r="K117" s="2121"/>
      <c r="L117" s="2121"/>
      <c r="M117" s="2121"/>
      <c r="N117" s="2121"/>
      <c r="O117" s="2121"/>
      <c r="P117" s="2121"/>
      <c r="Q117" s="2121"/>
      <c r="R117" s="2121"/>
      <c r="S117" s="2121"/>
      <c r="T117" s="2121"/>
      <c r="U117" s="2124" t="s">
        <v>546</v>
      </c>
      <c r="V117" s="2124"/>
      <c r="W117" s="2124"/>
      <c r="X117" s="212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8" t="s">
        <v>2365</v>
      </c>
      <c r="C121" s="2129"/>
      <c r="D121" s="2129"/>
      <c r="E121" s="2129"/>
      <c r="F121" s="2129"/>
      <c r="G121" s="2129"/>
      <c r="H121" s="2129"/>
      <c r="I121" s="2129"/>
      <c r="J121" s="2129"/>
      <c r="K121" s="2129"/>
      <c r="L121" s="2129"/>
      <c r="M121" s="2129"/>
      <c r="N121" s="2129"/>
      <c r="O121" s="2129"/>
      <c r="P121" s="2129"/>
      <c r="Q121" s="2129"/>
      <c r="R121" s="2129"/>
      <c r="S121" s="2129"/>
      <c r="T121" s="2129"/>
      <c r="U121" s="2132" t="s">
        <v>546</v>
      </c>
      <c r="V121" s="2132"/>
      <c r="W121" s="2132"/>
      <c r="X121" s="213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3" t="s">
        <v>2363</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6"/>
      <c r="BE125" s="1194"/>
    </row>
    <row r="126" spans="1:57" ht="15.75" customHeight="1">
      <c r="A126" s="1190"/>
      <c r="B126" s="2138" t="s">
        <v>1577</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90"/>
      <c r="W126" s="1190"/>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37"/>
      <c r="BE126" s="1194"/>
    </row>
    <row r="127" spans="1:57" ht="15.75" customHeight="1">
      <c r="A127" s="1190"/>
      <c r="B127" s="2156"/>
      <c r="C127" s="2157"/>
      <c r="D127" s="2157"/>
      <c r="E127" s="2157"/>
      <c r="F127" s="2157"/>
      <c r="G127" s="2157"/>
      <c r="H127" s="2157"/>
      <c r="I127" s="2015" t="s">
        <v>2362</v>
      </c>
      <c r="J127" s="2015"/>
      <c r="K127" s="2015"/>
      <c r="L127" s="2015"/>
      <c r="M127" s="2015"/>
      <c r="N127" s="2015"/>
      <c r="O127" s="2112" t="s">
        <v>2361</v>
      </c>
      <c r="P127" s="2112"/>
      <c r="Q127" s="2112"/>
      <c r="R127" s="2112"/>
      <c r="S127" s="2112"/>
      <c r="T127" s="2112"/>
      <c r="U127" s="2113"/>
      <c r="V127" s="1190"/>
      <c r="W127" s="1190"/>
      <c r="X127" s="2080" t="s">
        <v>2331</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4"/>
    </row>
    <row r="128" spans="1:57" ht="15.75" customHeight="1">
      <c r="A128" s="1190"/>
      <c r="B128" s="2114" t="s">
        <v>2345</v>
      </c>
      <c r="C128" s="2115"/>
      <c r="D128" s="2115"/>
      <c r="E128" s="2115"/>
      <c r="F128" s="2115"/>
      <c r="G128" s="2115"/>
      <c r="H128" s="2115"/>
      <c r="I128" s="2091">
        <v>0</v>
      </c>
      <c r="J128" s="2091"/>
      <c r="K128" s="2091"/>
      <c r="L128" s="2091"/>
      <c r="M128" s="2091"/>
      <c r="N128" s="2091"/>
      <c r="O128" s="2091">
        <v>0</v>
      </c>
      <c r="P128" s="2091"/>
      <c r="Q128" s="2091"/>
      <c r="R128" s="2091"/>
      <c r="S128" s="2091"/>
      <c r="T128" s="2091"/>
      <c r="U128" s="2092"/>
      <c r="V128" s="1190"/>
      <c r="W128" s="1190"/>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4"/>
    </row>
    <row r="129" spans="1:57" ht="15.75" customHeight="1" thickBot="1">
      <c r="A129" s="1190"/>
      <c r="B129" s="2116" t="s">
        <v>2344</v>
      </c>
      <c r="C129" s="2117"/>
      <c r="D129" s="2117"/>
      <c r="E129" s="2117"/>
      <c r="F129" s="2117"/>
      <c r="G129" s="2117"/>
      <c r="H129" s="2117"/>
      <c r="I129" s="2106">
        <v>0</v>
      </c>
      <c r="J129" s="2106"/>
      <c r="K129" s="2106"/>
      <c r="L129" s="2106"/>
      <c r="M129" s="2106"/>
      <c r="N129" s="2106"/>
      <c r="O129" s="2118"/>
      <c r="P129" s="2118"/>
      <c r="Q129" s="2118"/>
      <c r="R129" s="2118"/>
      <c r="S129" s="2118"/>
      <c r="T129" s="2118"/>
      <c r="U129" s="2119"/>
      <c r="V129" s="1190"/>
      <c r="W129" s="1190"/>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4"/>
    </row>
    <row r="133" spans="1:57" ht="15.75" customHeight="1">
      <c r="A133" s="1190"/>
      <c r="B133" s="1916" t="s">
        <v>2359</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0"/>
      <c r="W133" s="1190"/>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4"/>
    </row>
    <row r="134" spans="1:57" ht="15.75" customHeight="1">
      <c r="A134" s="1190"/>
      <c r="B134" s="2156"/>
      <c r="C134" s="2157"/>
      <c r="D134" s="2157"/>
      <c r="E134" s="2157"/>
      <c r="F134" s="2157"/>
      <c r="G134" s="2157"/>
      <c r="H134" s="2157"/>
      <c r="I134" s="2158" t="s">
        <v>2347</v>
      </c>
      <c r="J134" s="2158"/>
      <c r="K134" s="2158"/>
      <c r="L134" s="2158"/>
      <c r="M134" s="2158"/>
      <c r="N134" s="2158"/>
      <c r="O134" s="2158"/>
      <c r="P134" s="2158" t="s">
        <v>2346</v>
      </c>
      <c r="Q134" s="2158"/>
      <c r="R134" s="2158"/>
      <c r="S134" s="2158"/>
      <c r="T134" s="2158"/>
      <c r="U134" s="2159"/>
      <c r="V134" s="1190"/>
      <c r="W134" s="1190"/>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4"/>
    </row>
    <row r="135" spans="1:57" ht="15.75" customHeight="1">
      <c r="A135" s="1190"/>
      <c r="B135" s="2156"/>
      <c r="C135" s="2157"/>
      <c r="D135" s="2157"/>
      <c r="E135" s="2157"/>
      <c r="F135" s="2157"/>
      <c r="G135" s="2157"/>
      <c r="H135" s="2157"/>
      <c r="I135" s="2158"/>
      <c r="J135" s="2158"/>
      <c r="K135" s="2158"/>
      <c r="L135" s="2158"/>
      <c r="M135" s="2158"/>
      <c r="N135" s="2158"/>
      <c r="O135" s="2158"/>
      <c r="P135" s="2158"/>
      <c r="Q135" s="2158"/>
      <c r="R135" s="2158"/>
      <c r="S135" s="2158"/>
      <c r="T135" s="2158"/>
      <c r="U135" s="2159"/>
      <c r="V135" s="1190"/>
      <c r="W135" s="1190"/>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4"/>
    </row>
    <row r="136" spans="1:57" ht="15.75" customHeight="1">
      <c r="A136" s="1190"/>
      <c r="B136" s="2114" t="s">
        <v>2345</v>
      </c>
      <c r="C136" s="2115"/>
      <c r="D136" s="2115"/>
      <c r="E136" s="2115"/>
      <c r="F136" s="2115"/>
      <c r="G136" s="2115"/>
      <c r="H136" s="2115"/>
      <c r="I136" s="2091">
        <v>0</v>
      </c>
      <c r="J136" s="2091"/>
      <c r="K136" s="2091"/>
      <c r="L136" s="2091"/>
      <c r="M136" s="2091"/>
      <c r="N136" s="2091"/>
      <c r="O136" s="2091"/>
      <c r="P136" s="2091">
        <v>0</v>
      </c>
      <c r="Q136" s="2091"/>
      <c r="R136" s="2091"/>
      <c r="S136" s="2091"/>
      <c r="T136" s="2091"/>
      <c r="U136" s="2092"/>
      <c r="V136" s="1190"/>
      <c r="W136" s="1190"/>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4"/>
    </row>
    <row r="137" spans="1:57" ht="15.75" customHeight="1" thickBot="1">
      <c r="A137" s="1190"/>
      <c r="B137" s="2116" t="s">
        <v>2344</v>
      </c>
      <c r="C137" s="2117"/>
      <c r="D137" s="2117"/>
      <c r="E137" s="2117"/>
      <c r="F137" s="2117"/>
      <c r="G137" s="2117"/>
      <c r="H137" s="2117"/>
      <c r="I137" s="2106">
        <v>0</v>
      </c>
      <c r="J137" s="2106"/>
      <c r="K137" s="2106"/>
      <c r="L137" s="2106"/>
      <c r="M137" s="2106"/>
      <c r="N137" s="2106"/>
      <c r="O137" s="2106"/>
      <c r="P137" s="2106">
        <v>0</v>
      </c>
      <c r="Q137" s="2106"/>
      <c r="R137" s="2106"/>
      <c r="S137" s="2106"/>
      <c r="T137" s="2106"/>
      <c r="U137" s="2107"/>
      <c r="V137" s="1190"/>
      <c r="W137" s="1190"/>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4" t="s">
        <v>2358</v>
      </c>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039" t="s">
        <v>546</v>
      </c>
      <c r="AI139" s="2039"/>
      <c r="AJ139" s="2039"/>
      <c r="AK139" s="2039"/>
      <c r="AL139" s="2039"/>
      <c r="AM139" s="2039"/>
      <c r="AN139" s="2039"/>
      <c r="AO139" s="2039"/>
      <c r="AP139" s="2039"/>
      <c r="AQ139" s="2039"/>
      <c r="AR139" s="2039"/>
      <c r="AS139" s="2039"/>
      <c r="AT139" s="2039"/>
      <c r="AU139" s="2039"/>
      <c r="AV139" s="2039"/>
      <c r="AW139" s="2039"/>
      <c r="AX139" s="2040"/>
      <c r="AY139" s="1190"/>
      <c r="AZ139" s="1190"/>
      <c r="BA139" s="1190"/>
      <c r="BB139" s="1190"/>
      <c r="BC139" s="1190"/>
      <c r="BD139" s="1190"/>
      <c r="BE139" s="1194"/>
    </row>
    <row r="140" spans="1:57" ht="15.75" customHeight="1" thickBot="1">
      <c r="A140" s="1190"/>
      <c r="B140" s="2141" t="s">
        <v>2357</v>
      </c>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3"/>
      <c r="AH140" s="2108"/>
      <c r="AI140" s="2109"/>
      <c r="AJ140" s="2109"/>
      <c r="AK140" s="2109"/>
      <c r="AL140" s="2109"/>
      <c r="AM140" s="2109"/>
      <c r="AN140" s="2109"/>
      <c r="AO140" s="2109"/>
      <c r="AP140" s="2109"/>
      <c r="AQ140" s="2109"/>
      <c r="AR140" s="2109"/>
      <c r="AS140" s="2109"/>
      <c r="AT140" s="2109"/>
      <c r="AU140" s="2109"/>
      <c r="AV140" s="2109"/>
      <c r="AW140" s="2109"/>
      <c r="AX140" s="2110"/>
      <c r="AY140" s="1190"/>
      <c r="AZ140" s="1190"/>
      <c r="BA140" s="1190"/>
      <c r="BB140" s="1190"/>
      <c r="BC140" s="1190"/>
      <c r="BD140" s="1190"/>
      <c r="BE140" s="1194"/>
    </row>
    <row r="141" spans="1:57" ht="15.75" customHeight="1">
      <c r="A141" s="1190"/>
      <c r="B141" s="2141" t="s">
        <v>2356</v>
      </c>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3"/>
      <c r="AH141" s="2039" t="s">
        <v>546</v>
      </c>
      <c r="AI141" s="2039"/>
      <c r="AJ141" s="2039"/>
      <c r="AK141" s="2039"/>
      <c r="AL141" s="2039"/>
      <c r="AM141" s="2039"/>
      <c r="AN141" s="2039"/>
      <c r="AO141" s="2039"/>
      <c r="AP141" s="2039"/>
      <c r="AQ141" s="2039"/>
      <c r="AR141" s="2039"/>
      <c r="AS141" s="2039"/>
      <c r="AT141" s="2039"/>
      <c r="AU141" s="2039"/>
      <c r="AV141" s="2039"/>
      <c r="AW141" s="2039"/>
      <c r="AX141" s="2040"/>
      <c r="AY141" s="1190"/>
      <c r="AZ141" s="1190"/>
      <c r="BA141" s="1190"/>
      <c r="BB141" s="1190"/>
      <c r="BC141" s="1190"/>
      <c r="BD141" s="1190"/>
      <c r="BE141" s="1194"/>
    </row>
    <row r="142" spans="1:57" ht="15.75" customHeight="1">
      <c r="A142" s="1190"/>
      <c r="B142" s="2144" t="s">
        <v>2355</v>
      </c>
      <c r="C142" s="2145"/>
      <c r="D142" s="2145"/>
      <c r="E142" s="2145"/>
      <c r="F142" s="2145"/>
      <c r="G142" s="2145"/>
      <c r="H142" s="2145"/>
      <c r="I142" s="2145"/>
      <c r="J142" s="2145"/>
      <c r="K142" s="2145"/>
      <c r="L142" s="2145"/>
      <c r="M142" s="2145"/>
      <c r="N142" s="2145"/>
      <c r="O142" s="2145"/>
      <c r="P142" s="2145"/>
      <c r="Q142" s="2145"/>
      <c r="R142" s="2146" t="s">
        <v>2354</v>
      </c>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190"/>
      <c r="AZ142" s="1190"/>
      <c r="BA142" s="1190"/>
      <c r="BB142" s="1190"/>
      <c r="BC142" s="1190" t="s">
        <v>250</v>
      </c>
      <c r="BD142" s="1190"/>
      <c r="BE142" s="1194"/>
    </row>
    <row r="143" spans="1:57" ht="15.75" customHeight="1">
      <c r="A143" s="1190"/>
      <c r="B143" s="2148" t="s">
        <v>2353</v>
      </c>
      <c r="C143" s="2149"/>
      <c r="D143" s="2149"/>
      <c r="E143" s="2149"/>
      <c r="F143" s="2149"/>
      <c r="G143" s="2149"/>
      <c r="H143" s="2149"/>
      <c r="I143" s="2149"/>
      <c r="J143" s="2149"/>
      <c r="K143" s="2149"/>
      <c r="L143" s="2149"/>
      <c r="M143" s="2149"/>
      <c r="N143" s="2149"/>
      <c r="O143" s="2149"/>
      <c r="P143" s="2149"/>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50"/>
      <c r="AY143" s="1190"/>
      <c r="AZ143" s="1190"/>
      <c r="BA143" s="1190"/>
      <c r="BB143" s="1190"/>
      <c r="BC143" s="1190"/>
      <c r="BD143" s="1190"/>
      <c r="BE143" s="1194"/>
    </row>
    <row r="144" spans="1:57" ht="15.75" customHeight="1">
      <c r="A144" s="1190"/>
      <c r="B144" s="2148"/>
      <c r="C144" s="2149"/>
      <c r="D144" s="2149"/>
      <c r="E144" s="2149"/>
      <c r="F144" s="2149"/>
      <c r="G144" s="2149"/>
      <c r="H144" s="2149"/>
      <c r="I144" s="2149"/>
      <c r="J144" s="2149"/>
      <c r="K144" s="2149"/>
      <c r="L144" s="2149"/>
      <c r="M144" s="2149"/>
      <c r="N144" s="2149"/>
      <c r="O144" s="2149"/>
      <c r="P144" s="2149"/>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50"/>
      <c r="AY144" s="1190"/>
      <c r="AZ144" s="1190"/>
      <c r="BA144" s="1190"/>
      <c r="BB144" s="1190"/>
      <c r="BC144" s="1190"/>
      <c r="BD144" s="1190"/>
      <c r="BE144" s="1194"/>
    </row>
    <row r="145" spans="1:57" ht="15.75" customHeight="1">
      <c r="A145" s="1190"/>
      <c r="B145" s="2148"/>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50"/>
      <c r="AY145" s="1190"/>
      <c r="AZ145" s="1190"/>
      <c r="BA145" s="1190"/>
      <c r="BB145" s="1190"/>
      <c r="BC145" s="1190"/>
      <c r="BD145" s="1190"/>
      <c r="BE145" s="1194"/>
    </row>
    <row r="146" spans="1:57" ht="15.75" customHeight="1">
      <c r="A146" s="1190"/>
      <c r="B146" s="2148"/>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50"/>
      <c r="AY146" s="1190"/>
      <c r="AZ146" s="1190"/>
      <c r="BA146" s="1190"/>
      <c r="BB146" s="1190"/>
      <c r="BC146" s="1190"/>
      <c r="BD146" s="1190"/>
      <c r="BE146" s="1194"/>
    </row>
    <row r="147" spans="1:57" ht="15.75" customHeight="1">
      <c r="A147" s="1190"/>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190"/>
      <c r="AZ147" s="1190"/>
      <c r="BA147" s="1190"/>
      <c r="BB147" s="1190"/>
      <c r="BC147" s="1190"/>
      <c r="BD147" s="1190"/>
      <c r="BE147" s="1194"/>
    </row>
    <row r="148" spans="1:57" ht="15.75" customHeight="1">
      <c r="A148" s="1190"/>
      <c r="B148" s="2148"/>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50"/>
      <c r="AY148" s="1190"/>
      <c r="AZ148" s="1190"/>
      <c r="BA148" s="1190"/>
      <c r="BB148" s="1190"/>
      <c r="BC148" s="1190"/>
      <c r="BD148" s="1190"/>
      <c r="BE148" s="1194"/>
    </row>
    <row r="149" spans="1:57" ht="15.75" customHeight="1">
      <c r="A149" s="1190"/>
      <c r="B149" s="2148"/>
      <c r="C149" s="2149"/>
      <c r="D149" s="2149"/>
      <c r="E149" s="2149"/>
      <c r="F149" s="2149"/>
      <c r="G149" s="2149"/>
      <c r="H149" s="2149"/>
      <c r="I149" s="2149"/>
      <c r="J149" s="2149"/>
      <c r="K149" s="2149"/>
      <c r="L149" s="2149"/>
      <c r="M149" s="2149"/>
      <c r="N149" s="2149"/>
      <c r="O149" s="2149"/>
      <c r="P149" s="2149"/>
      <c r="Q149" s="2149"/>
      <c r="R149" s="2149"/>
      <c r="S149" s="2149"/>
      <c r="T149" s="2149"/>
      <c r="U149" s="2149"/>
      <c r="V149" s="2149"/>
      <c r="W149" s="2149"/>
      <c r="X149" s="2149"/>
      <c r="Y149" s="2149"/>
      <c r="Z149" s="2149"/>
      <c r="AA149" s="2149"/>
      <c r="AB149" s="2149"/>
      <c r="AC149" s="2149"/>
      <c r="AD149" s="2149"/>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50"/>
      <c r="AY149" s="1190"/>
      <c r="AZ149" s="1190"/>
      <c r="BA149" s="1190"/>
      <c r="BB149" s="1190"/>
      <c r="BC149" s="1190"/>
      <c r="BD149" s="1190"/>
      <c r="BE149" s="1194"/>
    </row>
    <row r="150" spans="1:57" ht="15.75" customHeight="1">
      <c r="A150" s="1190"/>
      <c r="B150" s="2148"/>
      <c r="C150" s="2149"/>
      <c r="D150" s="2149"/>
      <c r="E150" s="2149"/>
      <c r="F150" s="2149"/>
      <c r="G150" s="2149"/>
      <c r="H150" s="2149"/>
      <c r="I150" s="2149"/>
      <c r="J150" s="2149"/>
      <c r="K150" s="2149"/>
      <c r="L150" s="2149"/>
      <c r="M150" s="2149"/>
      <c r="N150" s="2149"/>
      <c r="O150" s="2149"/>
      <c r="P150" s="2149"/>
      <c r="Q150" s="2149"/>
      <c r="R150" s="2149"/>
      <c r="S150" s="2149"/>
      <c r="T150" s="2149"/>
      <c r="U150" s="2149"/>
      <c r="V150" s="2149"/>
      <c r="W150" s="2149"/>
      <c r="X150" s="2149"/>
      <c r="Y150" s="2149"/>
      <c r="Z150" s="2149"/>
      <c r="AA150" s="2149"/>
      <c r="AB150" s="2149"/>
      <c r="AC150" s="2149"/>
      <c r="AD150" s="2149"/>
      <c r="AE150" s="2149"/>
      <c r="AF150" s="2149"/>
      <c r="AG150" s="2149"/>
      <c r="AH150" s="2149"/>
      <c r="AI150" s="2149"/>
      <c r="AJ150" s="2149"/>
      <c r="AK150" s="2149"/>
      <c r="AL150" s="2149"/>
      <c r="AM150" s="2149"/>
      <c r="AN150" s="2149"/>
      <c r="AO150" s="2149"/>
      <c r="AP150" s="2149"/>
      <c r="AQ150" s="2149"/>
      <c r="AR150" s="2149"/>
      <c r="AS150" s="2149"/>
      <c r="AT150" s="2149"/>
      <c r="AU150" s="2149"/>
      <c r="AV150" s="2149"/>
      <c r="AW150" s="2149"/>
      <c r="AX150" s="2150"/>
      <c r="AY150" s="1190"/>
      <c r="AZ150" s="1190"/>
      <c r="BA150" s="1190"/>
      <c r="BB150" s="1190"/>
      <c r="BC150" s="1190"/>
      <c r="BD150" s="1190"/>
      <c r="BE150" s="1194"/>
    </row>
    <row r="151" spans="1:57" ht="15.75" customHeight="1">
      <c r="A151" s="1190"/>
      <c r="B151" s="2148"/>
      <c r="C151" s="2149"/>
      <c r="D151" s="2149"/>
      <c r="E151" s="2149"/>
      <c r="F151" s="2149"/>
      <c r="G151" s="2149"/>
      <c r="H151" s="2149"/>
      <c r="I151" s="2149"/>
      <c r="J151" s="2149"/>
      <c r="K151" s="2149"/>
      <c r="L151" s="2149"/>
      <c r="M151" s="2149"/>
      <c r="N151" s="2149"/>
      <c r="O151" s="2149"/>
      <c r="P151" s="2149"/>
      <c r="Q151" s="2149"/>
      <c r="R151" s="2149"/>
      <c r="S151" s="2149"/>
      <c r="T151" s="2149"/>
      <c r="U151" s="2149"/>
      <c r="V151" s="2149"/>
      <c r="W151" s="2149"/>
      <c r="X151" s="2149"/>
      <c r="Y151" s="2149"/>
      <c r="Z151" s="2149"/>
      <c r="AA151" s="2149"/>
      <c r="AB151" s="2149"/>
      <c r="AC151" s="2149"/>
      <c r="AD151" s="2149"/>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50"/>
      <c r="AY151" s="1190"/>
      <c r="AZ151" s="1190"/>
      <c r="BA151" s="1190"/>
      <c r="BB151" s="1190"/>
      <c r="BC151" s="1190"/>
      <c r="BD151" s="1190"/>
      <c r="BE151" s="1194"/>
    </row>
    <row r="152" spans="1:57" ht="15.75" customHeight="1" thickBot="1">
      <c r="A152" s="1190"/>
      <c r="B152" s="2151"/>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K152" s="2152"/>
      <c r="AL152" s="2152"/>
      <c r="AM152" s="2152"/>
      <c r="AN152" s="2152"/>
      <c r="AO152" s="2152"/>
      <c r="AP152" s="2152"/>
      <c r="AQ152" s="2152"/>
      <c r="AR152" s="2152"/>
      <c r="AS152" s="2152"/>
      <c r="AT152" s="2152"/>
      <c r="AU152" s="2152"/>
      <c r="AV152" s="2152"/>
      <c r="AW152" s="2152"/>
      <c r="AX152" s="215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1" t="s">
        <v>2350</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0"/>
      <c r="W156" s="1192"/>
      <c r="X156" s="2011" t="s">
        <v>2349</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6"/>
      <c r="C157" s="2157"/>
      <c r="D157" s="2157"/>
      <c r="E157" s="2157"/>
      <c r="F157" s="2157"/>
      <c r="G157" s="2157"/>
      <c r="H157" s="2157"/>
      <c r="I157" s="2158" t="s">
        <v>2347</v>
      </c>
      <c r="J157" s="2158"/>
      <c r="K157" s="2158"/>
      <c r="L157" s="2158"/>
      <c r="M157" s="2158"/>
      <c r="N157" s="2158"/>
      <c r="O157" s="2158"/>
      <c r="P157" s="2158" t="s">
        <v>2348</v>
      </c>
      <c r="Q157" s="2158"/>
      <c r="R157" s="2158"/>
      <c r="S157" s="2158"/>
      <c r="T157" s="2158"/>
      <c r="U157" s="2159"/>
      <c r="V157" s="1190"/>
      <c r="W157" s="1190"/>
      <c r="X157" s="2156"/>
      <c r="Y157" s="2157"/>
      <c r="Z157" s="2157"/>
      <c r="AA157" s="2157"/>
      <c r="AB157" s="2157"/>
      <c r="AC157" s="2157"/>
      <c r="AD157" s="2157"/>
      <c r="AE157" s="2158" t="s">
        <v>2347</v>
      </c>
      <c r="AF157" s="2158"/>
      <c r="AG157" s="2158"/>
      <c r="AH157" s="2158"/>
      <c r="AI157" s="2158"/>
      <c r="AJ157" s="2158"/>
      <c r="AK157" s="2158"/>
      <c r="AL157" s="2158" t="s">
        <v>2346</v>
      </c>
      <c r="AM157" s="2158"/>
      <c r="AN157" s="2158"/>
      <c r="AO157" s="2158"/>
      <c r="AP157" s="2158"/>
      <c r="AQ157" s="215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6"/>
      <c r="C158" s="2157"/>
      <c r="D158" s="2157"/>
      <c r="E158" s="2157"/>
      <c r="F158" s="2157"/>
      <c r="G158" s="2157"/>
      <c r="H158" s="2157"/>
      <c r="I158" s="2158"/>
      <c r="J158" s="2158"/>
      <c r="K158" s="2158"/>
      <c r="L158" s="2158"/>
      <c r="M158" s="2158"/>
      <c r="N158" s="2158"/>
      <c r="O158" s="2158"/>
      <c r="P158" s="2158"/>
      <c r="Q158" s="2158"/>
      <c r="R158" s="2158"/>
      <c r="S158" s="2158"/>
      <c r="T158" s="2158"/>
      <c r="U158" s="2159"/>
      <c r="V158" s="1190"/>
      <c r="W158" s="1190"/>
      <c r="X158" s="2156"/>
      <c r="Y158" s="2157"/>
      <c r="Z158" s="2157"/>
      <c r="AA158" s="2157"/>
      <c r="AB158" s="2157"/>
      <c r="AC158" s="2157"/>
      <c r="AD158" s="2157"/>
      <c r="AE158" s="2158"/>
      <c r="AF158" s="2158"/>
      <c r="AG158" s="2158"/>
      <c r="AH158" s="2158"/>
      <c r="AI158" s="2158"/>
      <c r="AJ158" s="2158"/>
      <c r="AK158" s="2158"/>
      <c r="AL158" s="2158"/>
      <c r="AM158" s="2158"/>
      <c r="AN158" s="2158"/>
      <c r="AO158" s="2158"/>
      <c r="AP158" s="2158"/>
      <c r="AQ158" s="215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4" t="s">
        <v>2345</v>
      </c>
      <c r="C159" s="2115"/>
      <c r="D159" s="2115"/>
      <c r="E159" s="2115"/>
      <c r="F159" s="2115"/>
      <c r="G159" s="2115"/>
      <c r="H159" s="2115"/>
      <c r="I159" s="2091">
        <v>0</v>
      </c>
      <c r="J159" s="2091"/>
      <c r="K159" s="2091"/>
      <c r="L159" s="2091"/>
      <c r="M159" s="2091"/>
      <c r="N159" s="2091"/>
      <c r="O159" s="2091"/>
      <c r="P159" s="2091">
        <v>0</v>
      </c>
      <c r="Q159" s="2091"/>
      <c r="R159" s="2091"/>
      <c r="S159" s="2091"/>
      <c r="T159" s="2091"/>
      <c r="U159" s="2092"/>
      <c r="V159" s="1190"/>
      <c r="W159" s="1190"/>
      <c r="X159" s="2116" t="s">
        <v>2345</v>
      </c>
      <c r="Y159" s="2117"/>
      <c r="Z159" s="2117"/>
      <c r="AA159" s="2117"/>
      <c r="AB159" s="2117"/>
      <c r="AC159" s="2117"/>
      <c r="AD159" s="2117"/>
      <c r="AE159" s="2106">
        <v>0</v>
      </c>
      <c r="AF159" s="2106"/>
      <c r="AG159" s="2106"/>
      <c r="AH159" s="2106"/>
      <c r="AI159" s="2106"/>
      <c r="AJ159" s="2106"/>
      <c r="AK159" s="2106"/>
      <c r="AL159" s="2106">
        <v>0</v>
      </c>
      <c r="AM159" s="2106"/>
      <c r="AN159" s="2106"/>
      <c r="AO159" s="2106"/>
      <c r="AP159" s="2106"/>
      <c r="AQ159" s="210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6" t="s">
        <v>2344</v>
      </c>
      <c r="C160" s="2117"/>
      <c r="D160" s="2117"/>
      <c r="E160" s="2117"/>
      <c r="F160" s="2117"/>
      <c r="G160" s="2117"/>
      <c r="H160" s="2117"/>
      <c r="I160" s="2106">
        <v>0</v>
      </c>
      <c r="J160" s="2106"/>
      <c r="K160" s="2106"/>
      <c r="L160" s="2106"/>
      <c r="M160" s="2106"/>
      <c r="N160" s="2106"/>
      <c r="O160" s="2106"/>
      <c r="P160" s="2106">
        <v>0</v>
      </c>
      <c r="Q160" s="2106"/>
      <c r="R160" s="2106"/>
      <c r="S160" s="2106"/>
      <c r="T160" s="2106"/>
      <c r="U160" s="210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1" t="s">
        <v>2343</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6" t="s">
        <v>2328</v>
      </c>
      <c r="D163" s="2157"/>
      <c r="E163" s="2157"/>
      <c r="F163" s="2157"/>
      <c r="G163" s="2157"/>
      <c r="H163" s="2157"/>
      <c r="I163" s="2157"/>
      <c r="J163" s="2157"/>
      <c r="K163" s="2157"/>
      <c r="L163" s="2157"/>
      <c r="M163" s="2157"/>
      <c r="N163" s="2157"/>
      <c r="O163" s="2157"/>
      <c r="P163" s="2157"/>
      <c r="Q163" s="2157" t="s">
        <v>2342</v>
      </c>
      <c r="R163" s="2157"/>
      <c r="S163" s="2157"/>
      <c r="T163" s="2102" t="s">
        <v>2341</v>
      </c>
      <c r="U163" s="2102"/>
      <c r="V163" s="2102"/>
      <c r="W163" s="2102"/>
      <c r="X163" s="2102"/>
      <c r="Y163" s="2102"/>
      <c r="Z163" s="2102"/>
      <c r="AA163" s="2102"/>
      <c r="AB163" s="2157" t="s">
        <v>2340</v>
      </c>
      <c r="AC163" s="2157"/>
      <c r="AD163" s="2157"/>
      <c r="AE163" s="2157"/>
      <c r="AF163" s="2157"/>
      <c r="AG163" s="216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0" t="s">
        <v>2339</v>
      </c>
      <c r="D164" s="2161"/>
      <c r="E164" s="2161"/>
      <c r="F164" s="2161"/>
      <c r="G164" s="2161"/>
      <c r="H164" s="2161"/>
      <c r="I164" s="2161"/>
      <c r="J164" s="2161"/>
      <c r="K164" s="2161"/>
      <c r="L164" s="2161"/>
      <c r="M164" s="2161"/>
      <c r="N164" s="2161"/>
      <c r="O164" s="2161"/>
      <c r="P164" s="2161"/>
      <c r="Q164" s="2162">
        <v>55</v>
      </c>
      <c r="R164" s="2162"/>
      <c r="S164" s="2162"/>
      <c r="T164" s="2163"/>
      <c r="U164" s="2163"/>
      <c r="V164" s="2163"/>
      <c r="W164" s="2163"/>
      <c r="X164" s="2163"/>
      <c r="Y164" s="2163"/>
      <c r="Z164" s="2163"/>
      <c r="AA164" s="216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0" t="s">
        <v>2338</v>
      </c>
      <c r="D165" s="2161"/>
      <c r="E165" s="2161"/>
      <c r="F165" s="2161"/>
      <c r="G165" s="2161"/>
      <c r="H165" s="2161"/>
      <c r="I165" s="2161"/>
      <c r="J165" s="2161"/>
      <c r="K165" s="2161"/>
      <c r="L165" s="2161"/>
      <c r="M165" s="2161"/>
      <c r="N165" s="2161"/>
      <c r="O165" s="2161"/>
      <c r="P165" s="2161"/>
      <c r="Q165" s="2162">
        <v>55</v>
      </c>
      <c r="R165" s="2162"/>
      <c r="S165" s="2162"/>
      <c r="T165" s="2164"/>
      <c r="U165" s="2164"/>
      <c r="V165" s="2164"/>
      <c r="W165" s="2164"/>
      <c r="X165" s="2164"/>
      <c r="Y165" s="2164"/>
      <c r="Z165" s="2164"/>
      <c r="AA165" s="21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0" t="s">
        <v>2337</v>
      </c>
      <c r="D166" s="2161"/>
      <c r="E166" s="2161"/>
      <c r="F166" s="2161"/>
      <c r="G166" s="2161"/>
      <c r="H166" s="2161"/>
      <c r="I166" s="2161"/>
      <c r="J166" s="2161"/>
      <c r="K166" s="2161"/>
      <c r="L166" s="2161"/>
      <c r="M166" s="2161"/>
      <c r="N166" s="2161"/>
      <c r="O166" s="2161"/>
      <c r="P166" s="2161"/>
      <c r="Q166" s="2162">
        <v>55</v>
      </c>
      <c r="R166" s="2162"/>
      <c r="S166" s="2162"/>
      <c r="T166" s="2163"/>
      <c r="U166" s="2163"/>
      <c r="V166" s="2163"/>
      <c r="W166" s="2163"/>
      <c r="X166" s="2163"/>
      <c r="Y166" s="2163"/>
      <c r="Z166" s="2163"/>
      <c r="AA166" s="216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0" t="s">
        <v>2336</v>
      </c>
      <c r="D167" s="2161"/>
      <c r="E167" s="2161"/>
      <c r="F167" s="2161"/>
      <c r="G167" s="2161"/>
      <c r="H167" s="2161"/>
      <c r="I167" s="2161"/>
      <c r="J167" s="2161"/>
      <c r="K167" s="2161"/>
      <c r="L167" s="2161"/>
      <c r="M167" s="2161"/>
      <c r="N167" s="2161"/>
      <c r="O167" s="2161"/>
      <c r="P167" s="2161"/>
      <c r="Q167" s="2162">
        <v>55</v>
      </c>
      <c r="R167" s="2162"/>
      <c r="S167" s="2162"/>
      <c r="T167" s="2163"/>
      <c r="U167" s="2163"/>
      <c r="V167" s="2163"/>
      <c r="W167" s="2163"/>
      <c r="X167" s="2163"/>
      <c r="Y167" s="2163"/>
      <c r="Z167" s="2163"/>
      <c r="AA167" s="2163"/>
      <c r="AB167" s="2166">
        <v>0</v>
      </c>
      <c r="AC167" s="2166"/>
      <c r="AD167" s="2166"/>
      <c r="AE167" s="2166"/>
      <c r="AF167" s="2166"/>
      <c r="AG167" s="216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0" t="s">
        <v>170</v>
      </c>
      <c r="D168" s="2161"/>
      <c r="E168" s="2161"/>
      <c r="F168" s="2168" t="s">
        <v>2317</v>
      </c>
      <c r="G168" s="2168"/>
      <c r="H168" s="2168"/>
      <c r="I168" s="2168"/>
      <c r="J168" s="2168"/>
      <c r="K168" s="2168"/>
      <c r="L168" s="2168"/>
      <c r="M168" s="2168"/>
      <c r="N168" s="2168"/>
      <c r="O168" s="2168"/>
      <c r="P168" s="2168"/>
      <c r="Q168" s="2162">
        <v>55</v>
      </c>
      <c r="R168" s="2162"/>
      <c r="S168" s="2162"/>
      <c r="T168" s="2164"/>
      <c r="U168" s="2164"/>
      <c r="V168" s="2164"/>
      <c r="W168" s="2164"/>
      <c r="X168" s="2164"/>
      <c r="Y168" s="2164"/>
      <c r="Z168" s="2164"/>
      <c r="AA168" s="2164"/>
      <c r="AB168" s="2166">
        <v>0</v>
      </c>
      <c r="AC168" s="2166"/>
      <c r="AD168" s="2166"/>
      <c r="AE168" s="2166"/>
      <c r="AF168" s="2166"/>
      <c r="AG168" s="216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0" t="s">
        <v>170</v>
      </c>
      <c r="D169" s="2161"/>
      <c r="E169" s="2161"/>
      <c r="F169" s="2168" t="s">
        <v>2317</v>
      </c>
      <c r="G169" s="2168"/>
      <c r="H169" s="2168"/>
      <c r="I169" s="2168"/>
      <c r="J169" s="2168"/>
      <c r="K169" s="2168"/>
      <c r="L169" s="2168"/>
      <c r="M169" s="2168"/>
      <c r="N169" s="2168"/>
      <c r="O169" s="2168"/>
      <c r="P169" s="2168"/>
      <c r="Q169" s="2162">
        <v>55</v>
      </c>
      <c r="R169" s="2162"/>
      <c r="S169" s="2162"/>
      <c r="T169" s="2164"/>
      <c r="U169" s="2164"/>
      <c r="V169" s="2164"/>
      <c r="W169" s="2164"/>
      <c r="X169" s="2164"/>
      <c r="Y169" s="2164"/>
      <c r="Z169" s="2164"/>
      <c r="AA169" s="2164"/>
      <c r="AB169" s="2166">
        <v>0</v>
      </c>
      <c r="AC169" s="2166"/>
      <c r="AD169" s="2166"/>
      <c r="AE169" s="2166"/>
      <c r="AF169" s="2166"/>
      <c r="AG169" s="216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9" t="s">
        <v>170</v>
      </c>
      <c r="D170" s="2170"/>
      <c r="E170" s="2170"/>
      <c r="F170" s="2171" t="s">
        <v>2317</v>
      </c>
      <c r="G170" s="2171"/>
      <c r="H170" s="2171"/>
      <c r="I170" s="2171"/>
      <c r="J170" s="2171"/>
      <c r="K170" s="2171"/>
      <c r="L170" s="2171"/>
      <c r="M170" s="2171"/>
      <c r="N170" s="2171"/>
      <c r="O170" s="2171"/>
      <c r="P170" s="2171"/>
      <c r="Q170" s="2172">
        <v>55</v>
      </c>
      <c r="R170" s="2172"/>
      <c r="S170" s="2172"/>
      <c r="T170" s="2173"/>
      <c r="U170" s="2173"/>
      <c r="V170" s="2173"/>
      <c r="W170" s="2173"/>
      <c r="X170" s="2173"/>
      <c r="Y170" s="2173"/>
      <c r="Z170" s="2173"/>
      <c r="AA170" s="2173"/>
      <c r="AB170" s="2174">
        <v>0</v>
      </c>
      <c r="AC170" s="2174"/>
      <c r="AD170" s="2174"/>
      <c r="AE170" s="2174"/>
      <c r="AF170" s="2174"/>
      <c r="AG170" s="217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0" t="s">
        <v>2335</v>
      </c>
      <c r="D172" s="2061"/>
      <c r="E172" s="2061"/>
      <c r="F172" s="2061"/>
      <c r="G172" s="2061"/>
      <c r="H172" s="2061"/>
      <c r="I172" s="2061"/>
      <c r="J172" s="2061"/>
      <c r="K172" s="2061"/>
      <c r="L172" s="2061"/>
      <c r="M172" s="2061"/>
      <c r="N172" s="2111"/>
      <c r="O172" s="1190"/>
      <c r="P172" s="2176" t="s">
        <v>2334</v>
      </c>
      <c r="Q172" s="2177"/>
      <c r="R172" s="2177"/>
      <c r="S172" s="2177"/>
      <c r="T172" s="2177"/>
      <c r="U172" s="2177"/>
      <c r="V172" s="2177"/>
      <c r="W172" s="2177"/>
      <c r="X172" s="2177"/>
      <c r="Y172" s="2177"/>
      <c r="Z172" s="2177"/>
      <c r="AA172" s="2177"/>
      <c r="AB172" s="2177"/>
      <c r="AC172" s="2177"/>
      <c r="AD172" s="2177"/>
      <c r="AE172" s="2177"/>
      <c r="AF172" s="2177"/>
      <c r="AG172" s="2177"/>
      <c r="AH172" s="2177"/>
      <c r="AI172" s="2177"/>
      <c r="AJ172" s="2177"/>
      <c r="AK172" s="2177"/>
      <c r="AL172" s="2177"/>
      <c r="AM172" s="2177"/>
      <c r="AN172" s="2177"/>
      <c r="AO172" s="217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6" t="s">
        <v>2333</v>
      </c>
      <c r="D173" s="2157"/>
      <c r="E173" s="2157"/>
      <c r="F173" s="2157"/>
      <c r="G173" s="2157"/>
      <c r="H173" s="2157"/>
      <c r="I173" s="2157" t="s">
        <v>2332</v>
      </c>
      <c r="J173" s="2157"/>
      <c r="K173" s="2157"/>
      <c r="L173" s="2157"/>
      <c r="M173" s="2157"/>
      <c r="N173" s="2165"/>
      <c r="O173" s="1190"/>
      <c r="P173" s="2080" t="s">
        <v>2331</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6"/>
      <c r="D174" s="2018"/>
      <c r="E174" s="2018"/>
      <c r="F174" s="2018"/>
      <c r="G174" s="2018"/>
      <c r="H174" s="2018"/>
      <c r="I174" s="2163"/>
      <c r="J174" s="2163"/>
      <c r="K174" s="2163"/>
      <c r="L174" s="2163"/>
      <c r="M174" s="2163"/>
      <c r="N174" s="2179"/>
      <c r="O174" s="1190"/>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6"/>
      <c r="D175" s="2018"/>
      <c r="E175" s="2018"/>
      <c r="F175" s="2018"/>
      <c r="G175" s="2018"/>
      <c r="H175" s="2018"/>
      <c r="I175" s="2163"/>
      <c r="J175" s="2163"/>
      <c r="K175" s="2163"/>
      <c r="L175" s="2163"/>
      <c r="M175" s="2163"/>
      <c r="N175" s="2179"/>
      <c r="O175" s="1190"/>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6"/>
      <c r="D176" s="2018"/>
      <c r="E176" s="2018"/>
      <c r="F176" s="2018"/>
      <c r="G176" s="2018"/>
      <c r="H176" s="2018"/>
      <c r="I176" s="2163"/>
      <c r="J176" s="2163"/>
      <c r="K176" s="2163"/>
      <c r="L176" s="2163"/>
      <c r="M176" s="2163"/>
      <c r="N176" s="2179"/>
      <c r="O176" s="1190"/>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6"/>
      <c r="D177" s="2018"/>
      <c r="E177" s="2018"/>
      <c r="F177" s="2018"/>
      <c r="G177" s="2018"/>
      <c r="H177" s="2018"/>
      <c r="I177" s="2163"/>
      <c r="J177" s="2163"/>
      <c r="K177" s="2163"/>
      <c r="L177" s="2163"/>
      <c r="M177" s="2163"/>
      <c r="N177" s="2179"/>
      <c r="O177" s="1190"/>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6"/>
      <c r="D178" s="2018"/>
      <c r="E178" s="2018"/>
      <c r="F178" s="2018"/>
      <c r="G178" s="2018"/>
      <c r="H178" s="2018"/>
      <c r="I178" s="2163"/>
      <c r="J178" s="2163"/>
      <c r="K178" s="2163"/>
      <c r="L178" s="2163"/>
      <c r="M178" s="2163"/>
      <c r="N178" s="2179"/>
      <c r="O178" s="1190"/>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6"/>
      <c r="D179" s="2018"/>
      <c r="E179" s="2018"/>
      <c r="F179" s="2018"/>
      <c r="G179" s="2018"/>
      <c r="H179" s="2018"/>
      <c r="I179" s="2163"/>
      <c r="J179" s="2163"/>
      <c r="K179" s="2163"/>
      <c r="L179" s="2163"/>
      <c r="M179" s="2163"/>
      <c r="N179" s="2179"/>
      <c r="O179" s="1190"/>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0"/>
      <c r="D180" s="2181"/>
      <c r="E180" s="2181"/>
      <c r="F180" s="2181"/>
      <c r="G180" s="2181"/>
      <c r="H180" s="2181"/>
      <c r="I180" s="2182"/>
      <c r="J180" s="2182"/>
      <c r="K180" s="2182"/>
      <c r="L180" s="2182"/>
      <c r="M180" s="2182"/>
      <c r="N180" s="2183"/>
      <c r="O180" s="1190"/>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7" t="s">
        <v>2330</v>
      </c>
      <c r="D182" s="2188"/>
      <c r="E182" s="2188"/>
      <c r="F182" s="2188"/>
      <c r="G182" s="2188"/>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9"/>
      <c r="AF182" s="1190"/>
      <c r="AG182" s="1190"/>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190"/>
      <c r="B183" s="1190"/>
      <c r="C183" s="2190"/>
      <c r="D183" s="2191"/>
      <c r="E183" s="2191"/>
      <c r="F183" s="2191"/>
      <c r="G183" s="2191"/>
      <c r="H183" s="2191"/>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2191"/>
      <c r="AD183" s="2191"/>
      <c r="AE183" s="2192"/>
      <c r="AF183" s="1190"/>
      <c r="AG183" s="1190"/>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c r="A184" s="1190"/>
      <c r="B184" s="1190"/>
      <c r="C184" s="2060" t="s">
        <v>2328</v>
      </c>
      <c r="D184" s="2061"/>
      <c r="E184" s="2061"/>
      <c r="F184" s="2061"/>
      <c r="G184" s="2061"/>
      <c r="H184" s="2061"/>
      <c r="I184" s="2061"/>
      <c r="J184" s="2061"/>
      <c r="K184" s="2061"/>
      <c r="L184" s="2061"/>
      <c r="M184" s="2061"/>
      <c r="N184" s="2061" t="s">
        <v>2329</v>
      </c>
      <c r="O184" s="2061"/>
      <c r="P184" s="2061"/>
      <c r="Q184" s="2061"/>
      <c r="R184" s="2061"/>
      <c r="S184" s="2061"/>
      <c r="T184" s="2061"/>
      <c r="U184" s="2012" t="s">
        <v>2328</v>
      </c>
      <c r="V184" s="2012"/>
      <c r="W184" s="2012"/>
      <c r="X184" s="2012"/>
      <c r="Y184" s="2012"/>
      <c r="Z184" s="2012"/>
      <c r="AA184" s="2012"/>
      <c r="AB184" s="2012"/>
      <c r="AC184" s="2012"/>
      <c r="AD184" s="2012"/>
      <c r="AE184" s="2013"/>
      <c r="AF184" s="1190"/>
      <c r="AG184" s="1190"/>
      <c r="AH184" s="2197"/>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7"/>
    </row>
    <row r="185" spans="1:57" ht="15.75" customHeight="1">
      <c r="A185" s="1190"/>
      <c r="B185" s="1190"/>
      <c r="C185" s="2184" t="s">
        <v>2327</v>
      </c>
      <c r="D185" s="2185"/>
      <c r="E185" s="2185"/>
      <c r="F185" s="2185"/>
      <c r="G185" s="2185"/>
      <c r="H185" s="2185"/>
      <c r="I185" s="2185"/>
      <c r="J185" s="2185"/>
      <c r="K185" s="2185"/>
      <c r="L185" s="2185"/>
      <c r="M185" s="2185"/>
      <c r="N185" s="2186">
        <f>'Sources and Uses Budget'!B105</f>
        <v>96878029</v>
      </c>
      <c r="O185" s="2186"/>
      <c r="P185" s="2186"/>
      <c r="Q185" s="2186"/>
      <c r="R185" s="2186"/>
      <c r="S185" s="2186"/>
      <c r="T185" s="2186"/>
      <c r="U185" s="2198"/>
      <c r="V185" s="2198"/>
      <c r="W185" s="2198"/>
      <c r="X185" s="2198"/>
      <c r="Y185" s="2198"/>
      <c r="Z185" s="2198"/>
      <c r="AA185" s="2198"/>
      <c r="AB185" s="2198"/>
      <c r="AC185" s="2198"/>
      <c r="AD185" s="2198"/>
      <c r="AE185" s="2199"/>
      <c r="AF185" s="1190"/>
      <c r="AG185" s="1190"/>
      <c r="AH185" s="2197"/>
      <c r="AI185" s="2197"/>
      <c r="AJ185" s="2197"/>
      <c r="AK185" s="2197"/>
      <c r="AL185" s="2197"/>
      <c r="AM185" s="2197"/>
      <c r="AN185" s="2197"/>
      <c r="AO185" s="2197"/>
      <c r="AP185" s="2197"/>
      <c r="AQ185" s="2197"/>
      <c r="AR185" s="2197"/>
      <c r="AS185" s="2197"/>
      <c r="AT185" s="2197"/>
      <c r="AU185" s="2197"/>
      <c r="AV185" s="2197"/>
      <c r="AW185" s="2197"/>
      <c r="AX185" s="2197"/>
      <c r="AY185" s="2197"/>
      <c r="AZ185" s="2197"/>
      <c r="BA185" s="2197"/>
      <c r="BB185" s="2197"/>
      <c r="BC185" s="2197"/>
      <c r="BD185" s="2197"/>
      <c r="BE185" s="2197"/>
    </row>
    <row r="186" spans="1:57" ht="15.75" customHeight="1">
      <c r="A186" s="1190"/>
      <c r="B186" s="1190"/>
      <c r="C186" s="2184" t="s">
        <v>2326</v>
      </c>
      <c r="D186" s="2185"/>
      <c r="E186" s="2185"/>
      <c r="F186" s="2185"/>
      <c r="G186" s="2185"/>
      <c r="H186" s="2185"/>
      <c r="I186" s="2185"/>
      <c r="J186" s="2185"/>
      <c r="K186" s="2185"/>
      <c r="L186" s="2185"/>
      <c r="M186" s="2185"/>
      <c r="N186" s="2186">
        <f>N185/J29</f>
        <v>421208.82173913042</v>
      </c>
      <c r="O186" s="2186"/>
      <c r="P186" s="2186"/>
      <c r="Q186" s="2186"/>
      <c r="R186" s="2186"/>
      <c r="S186" s="2186"/>
      <c r="T186" s="2186"/>
      <c r="U186" s="1228"/>
      <c r="V186" s="1228"/>
      <c r="W186" s="1228"/>
      <c r="X186" s="1228"/>
      <c r="Y186" s="1228"/>
      <c r="Z186" s="1228"/>
      <c r="AA186" s="1228"/>
      <c r="AB186" s="1228"/>
      <c r="AC186" s="1228"/>
      <c r="AD186" s="1228"/>
      <c r="AE186" s="1229"/>
      <c r="AF186" s="1190"/>
      <c r="AG186" s="1190"/>
      <c r="AH186" s="2197"/>
      <c r="AI186" s="2197"/>
      <c r="AJ186" s="2197"/>
      <c r="AK186" s="2197"/>
      <c r="AL186" s="2197"/>
      <c r="AM186" s="2197"/>
      <c r="AN186" s="2197"/>
      <c r="AO186" s="2197"/>
      <c r="AP186" s="2197"/>
      <c r="AQ186" s="2197"/>
      <c r="AR186" s="2197"/>
      <c r="AS186" s="2197"/>
      <c r="AT186" s="2197"/>
      <c r="AU186" s="2197"/>
      <c r="AV186" s="2197"/>
      <c r="AW186" s="2197"/>
      <c r="AX186" s="2197"/>
      <c r="AY186" s="2197"/>
      <c r="AZ186" s="2197"/>
      <c r="BA186" s="2197"/>
      <c r="BB186" s="2197"/>
      <c r="BC186" s="2197"/>
      <c r="BD186" s="2197"/>
      <c r="BE186" s="2197"/>
    </row>
    <row r="187" spans="1:57" ht="15.75" customHeight="1">
      <c r="A187" s="1190"/>
      <c r="B187" s="1190"/>
      <c r="C187" s="2200" t="s">
        <v>2325</v>
      </c>
      <c r="D187" s="2201"/>
      <c r="E187" s="2201"/>
      <c r="F187" s="2201"/>
      <c r="G187" s="2201"/>
      <c r="H187" s="2201"/>
      <c r="I187" s="2201"/>
      <c r="J187" s="2201"/>
      <c r="K187" s="2201"/>
      <c r="L187" s="2201"/>
      <c r="M187" s="2201"/>
      <c r="N187" s="2054">
        <v>0</v>
      </c>
      <c r="O187" s="2054"/>
      <c r="P187" s="2054"/>
      <c r="Q187" s="2054"/>
      <c r="R187" s="2054"/>
      <c r="S187" s="2054"/>
      <c r="T187" s="2054"/>
      <c r="U187" s="2030"/>
      <c r="V187" s="2030"/>
      <c r="W187" s="2030"/>
      <c r="X187" s="2030"/>
      <c r="Y187" s="2030"/>
      <c r="Z187" s="2030"/>
      <c r="AA187" s="2030"/>
      <c r="AB187" s="2030"/>
      <c r="AC187" s="2030"/>
      <c r="AD187" s="2030"/>
      <c r="AE187" s="2031"/>
      <c r="AF187" s="1190"/>
      <c r="AG187" s="1190"/>
      <c r="AH187" s="2197"/>
      <c r="AI187" s="2197"/>
      <c r="AJ187" s="2197"/>
      <c r="AK187" s="2197"/>
      <c r="AL187" s="2197"/>
      <c r="AM187" s="2197"/>
      <c r="AN187" s="2197"/>
      <c r="AO187" s="2197"/>
      <c r="AP187" s="2197"/>
      <c r="AQ187" s="2197"/>
      <c r="AR187" s="2197"/>
      <c r="AS187" s="2197"/>
      <c r="AT187" s="2197"/>
      <c r="AU187" s="2197"/>
      <c r="AV187" s="2197"/>
      <c r="AW187" s="2197"/>
      <c r="AX187" s="2197"/>
      <c r="AY187" s="2197"/>
      <c r="AZ187" s="2197"/>
      <c r="BA187" s="2197"/>
      <c r="BB187" s="2197"/>
      <c r="BC187" s="2197"/>
      <c r="BD187" s="2197"/>
      <c r="BE187" s="2197"/>
    </row>
    <row r="188" spans="1:57" ht="15.75" customHeight="1" thickBot="1">
      <c r="A188" s="1190"/>
      <c r="B188" s="1190"/>
      <c r="C188" s="2184" t="s">
        <v>2324</v>
      </c>
      <c r="D188" s="2185"/>
      <c r="E188" s="2185"/>
      <c r="F188" s="2185"/>
      <c r="G188" s="2185"/>
      <c r="H188" s="2185"/>
      <c r="I188" s="2185"/>
      <c r="J188" s="2185"/>
      <c r="K188" s="2185"/>
      <c r="L188" s="2185"/>
      <c r="M188" s="2185"/>
      <c r="N188" s="2202">
        <f>SUM('Sources and Uses Budget'!B85:B86)</f>
        <v>300000</v>
      </c>
      <c r="O188" s="2202"/>
      <c r="P188" s="2202"/>
      <c r="Q188" s="2202"/>
      <c r="R188" s="2202"/>
      <c r="S188" s="2202"/>
      <c r="T188" s="2202"/>
      <c r="U188" s="2030"/>
      <c r="V188" s="2030"/>
      <c r="W188" s="2030"/>
      <c r="X188" s="2030"/>
      <c r="Y188" s="2030"/>
      <c r="Z188" s="2030"/>
      <c r="AA188" s="2030"/>
      <c r="AB188" s="2030"/>
      <c r="AC188" s="2030"/>
      <c r="AD188" s="2030"/>
      <c r="AE188" s="2031"/>
      <c r="AF188" s="1190"/>
      <c r="AG188" s="1190"/>
      <c r="AH188" s="2197"/>
      <c r="AI188" s="2197"/>
      <c r="AJ188" s="2197"/>
      <c r="AK188" s="2197"/>
      <c r="AL188" s="2197"/>
      <c r="AM188" s="2197"/>
      <c r="AN188" s="2197"/>
      <c r="AO188" s="2197"/>
      <c r="AP188" s="2197"/>
      <c r="AQ188" s="2197"/>
      <c r="AR188" s="2197"/>
      <c r="AS188" s="2197"/>
      <c r="AT188" s="2197"/>
      <c r="AU188" s="2197"/>
      <c r="AV188" s="2197"/>
      <c r="AW188" s="2197"/>
      <c r="AX188" s="2197"/>
      <c r="AY188" s="2197"/>
      <c r="AZ188" s="2197"/>
      <c r="BA188" s="2197"/>
      <c r="BB188" s="2197"/>
      <c r="BC188" s="2197"/>
      <c r="BD188" s="2197"/>
      <c r="BE188" s="2197"/>
    </row>
    <row r="189" spans="1:57" ht="15.75" customHeight="1" thickBot="1">
      <c r="A189" s="1190"/>
      <c r="B189" s="1190"/>
      <c r="C189" s="2184" t="s">
        <v>2323</v>
      </c>
      <c r="D189" s="2185"/>
      <c r="E189" s="2185"/>
      <c r="F189" s="2185"/>
      <c r="G189" s="2185"/>
      <c r="H189" s="2185"/>
      <c r="I189" s="2185"/>
      <c r="J189" s="2185"/>
      <c r="K189" s="2185"/>
      <c r="L189" s="2185"/>
      <c r="M189" s="2185"/>
      <c r="N189" s="2202">
        <f>'Sources and Uses Budget'!B8</f>
        <v>1008000</v>
      </c>
      <c r="O189" s="2202"/>
      <c r="P189" s="2202"/>
      <c r="Q189" s="2202"/>
      <c r="R189" s="2202"/>
      <c r="S189" s="2202"/>
      <c r="T189" s="2202"/>
      <c r="U189" s="2030"/>
      <c r="V189" s="2030"/>
      <c r="W189" s="2030"/>
      <c r="X189" s="2030"/>
      <c r="Y189" s="2030"/>
      <c r="Z189" s="2030"/>
      <c r="AA189" s="2030"/>
      <c r="AB189" s="2030"/>
      <c r="AC189" s="2030"/>
      <c r="AD189" s="2030"/>
      <c r="AE189" s="2031"/>
      <c r="AF189" s="1190"/>
      <c r="AG189" s="1190"/>
      <c r="AH189" s="2206" t="s">
        <v>2321</v>
      </c>
      <c r="AI189" s="2207"/>
      <c r="AJ189" s="2207"/>
      <c r="AK189" s="2207"/>
      <c r="AL189" s="2207"/>
      <c r="AM189" s="2207"/>
      <c r="AN189" s="2207"/>
      <c r="AO189" s="2207"/>
      <c r="AP189" s="2207"/>
      <c r="AQ189" s="2207"/>
      <c r="AR189" s="2207"/>
      <c r="AS189" s="2207"/>
      <c r="AT189" s="2207"/>
      <c r="AU189" s="2207"/>
      <c r="AV189" s="2207"/>
      <c r="AW189" s="2207"/>
      <c r="AX189" s="2207"/>
      <c r="AY189" s="2207"/>
      <c r="AZ189" s="2207"/>
      <c r="BA189" s="2207"/>
      <c r="BB189" s="2207"/>
      <c r="BC189" s="2207"/>
      <c r="BD189" s="2207"/>
      <c r="BE189" s="2208"/>
    </row>
    <row r="190" spans="1:57" ht="15.75" customHeight="1">
      <c r="A190" s="1190"/>
      <c r="B190" s="1190"/>
      <c r="C190" s="2184" t="s">
        <v>2322</v>
      </c>
      <c r="D190" s="2185"/>
      <c r="E190" s="2185"/>
      <c r="F190" s="2185"/>
      <c r="G190" s="2185"/>
      <c r="H190" s="2185"/>
      <c r="I190" s="2185"/>
      <c r="J190" s="2185"/>
      <c r="K190" s="2185"/>
      <c r="L190" s="2185"/>
      <c r="M190" s="2185"/>
      <c r="N190" s="2193">
        <v>0</v>
      </c>
      <c r="O190" s="2193"/>
      <c r="P190" s="2193"/>
      <c r="Q190" s="2193"/>
      <c r="R190" s="2193"/>
      <c r="S190" s="2193"/>
      <c r="T190" s="2193"/>
      <c r="U190" s="2030"/>
      <c r="V190" s="2030"/>
      <c r="W190" s="2030"/>
      <c r="X190" s="2030"/>
      <c r="Y190" s="2030"/>
      <c r="Z190" s="2030"/>
      <c r="AA190" s="2030"/>
      <c r="AB190" s="2030"/>
      <c r="AC190" s="2030"/>
      <c r="AD190" s="2030"/>
      <c r="AE190" s="2031"/>
      <c r="AF190" s="1190"/>
      <c r="AG190" s="1190"/>
      <c r="AH190" s="2209" t="s">
        <v>2321</v>
      </c>
      <c r="AI190" s="2210"/>
      <c r="AJ190" s="2210"/>
      <c r="AK190" s="2210"/>
      <c r="AL190" s="2210"/>
      <c r="AM190" s="2210"/>
      <c r="AN190" s="2210"/>
      <c r="AO190" s="2210"/>
      <c r="AP190" s="2210"/>
      <c r="AQ190" s="2210"/>
      <c r="AR190" s="2210"/>
      <c r="AS190" s="2210"/>
      <c r="AT190" s="2210"/>
      <c r="AU190" s="2211">
        <v>0</v>
      </c>
      <c r="AV190" s="2211"/>
      <c r="AW190" s="2211"/>
      <c r="AX190" s="2211"/>
      <c r="AY190" s="2211"/>
      <c r="AZ190" s="2211"/>
      <c r="BA190" s="2211"/>
      <c r="BB190" s="2211"/>
      <c r="BC190" s="2212"/>
      <c r="BD190" s="2213"/>
      <c r="BE190" s="2214"/>
    </row>
    <row r="191" spans="1:57" ht="15.75" customHeight="1">
      <c r="A191" s="1190"/>
      <c r="B191" s="1190"/>
      <c r="C191" s="2184" t="s">
        <v>2320</v>
      </c>
      <c r="D191" s="2185"/>
      <c r="E191" s="2185"/>
      <c r="F191" s="2185"/>
      <c r="G191" s="2185"/>
      <c r="H191" s="2185"/>
      <c r="I191" s="2185"/>
      <c r="J191" s="2185"/>
      <c r="K191" s="2185"/>
      <c r="L191" s="2185"/>
      <c r="M191" s="2185"/>
      <c r="N191" s="2193">
        <v>0</v>
      </c>
      <c r="O191" s="2193"/>
      <c r="P191" s="2193"/>
      <c r="Q191" s="2193"/>
      <c r="R191" s="2193"/>
      <c r="S191" s="2193"/>
      <c r="T191" s="2193"/>
      <c r="U191" s="2030"/>
      <c r="V191" s="2030"/>
      <c r="W191" s="2030"/>
      <c r="X191" s="2030"/>
      <c r="Y191" s="2030"/>
      <c r="Z191" s="2030"/>
      <c r="AA191" s="2030"/>
      <c r="AB191" s="2030"/>
      <c r="AC191" s="2030"/>
      <c r="AD191" s="2030"/>
      <c r="AE191" s="2031"/>
      <c r="AF191" s="1190"/>
      <c r="AG191" s="1190"/>
      <c r="AH191" s="2194" t="s">
        <v>2319</v>
      </c>
      <c r="AI191" s="2195"/>
      <c r="AJ191" s="2195"/>
      <c r="AK191" s="2195"/>
      <c r="AL191" s="2195"/>
      <c r="AM191" s="2195"/>
      <c r="AN191" s="2195"/>
      <c r="AO191" s="2195"/>
      <c r="AP191" s="2195"/>
      <c r="AQ191" s="2195"/>
      <c r="AR191" s="2195"/>
      <c r="AS191" s="2195"/>
      <c r="AT191" s="2195"/>
      <c r="AU191" s="2196"/>
      <c r="AV191" s="2196"/>
      <c r="AW191" s="2196"/>
      <c r="AX191" s="2196"/>
      <c r="AY191" s="2196"/>
      <c r="AZ191" s="2196"/>
      <c r="BA191" s="2196"/>
      <c r="BB191" s="2196"/>
      <c r="BC191" s="2203"/>
      <c r="BD191" s="2204"/>
      <c r="BE191" s="2205"/>
    </row>
    <row r="192" spans="1:57" ht="15.75" customHeight="1">
      <c r="A192" s="1190"/>
      <c r="B192" s="1190"/>
      <c r="C192" s="2219" t="s">
        <v>300</v>
      </c>
      <c r="D192" s="2162"/>
      <c r="E192" s="2215" t="s">
        <v>2317</v>
      </c>
      <c r="F192" s="2215"/>
      <c r="G192" s="2215"/>
      <c r="H192" s="2215"/>
      <c r="I192" s="2215"/>
      <c r="J192" s="2215"/>
      <c r="K192" s="2215"/>
      <c r="L192" s="2215"/>
      <c r="M192" s="2215"/>
      <c r="N192" s="2193">
        <v>0</v>
      </c>
      <c r="O192" s="2193"/>
      <c r="P192" s="2193"/>
      <c r="Q192" s="2193"/>
      <c r="R192" s="2193"/>
      <c r="S192" s="2193"/>
      <c r="T192" s="2193"/>
      <c r="U192" s="2030"/>
      <c r="V192" s="2030"/>
      <c r="W192" s="2030"/>
      <c r="X192" s="2030"/>
      <c r="Y192" s="2030"/>
      <c r="Z192" s="2030"/>
      <c r="AA192" s="2030"/>
      <c r="AB192" s="2030"/>
      <c r="AC192" s="2030"/>
      <c r="AD192" s="2030"/>
      <c r="AE192" s="2031"/>
      <c r="AF192" s="1190"/>
      <c r="AG192" s="1190"/>
      <c r="AH192" s="2220" t="s">
        <v>2318</v>
      </c>
      <c r="AI192" s="2221"/>
      <c r="AJ192" s="2221"/>
      <c r="AK192" s="2221"/>
      <c r="AL192" s="2221"/>
      <c r="AM192" s="2221"/>
      <c r="AN192" s="2221"/>
      <c r="AO192" s="2221"/>
      <c r="AP192" s="2221"/>
      <c r="AQ192" s="2221"/>
      <c r="AR192" s="2221"/>
      <c r="AS192" s="2221"/>
      <c r="AT192" s="2221"/>
      <c r="AU192" s="2222">
        <f>SUM(AU190:BB191)</f>
        <v>0</v>
      </c>
      <c r="AV192" s="2222"/>
      <c r="AW192" s="2222"/>
      <c r="AX192" s="2222"/>
      <c r="AY192" s="2222"/>
      <c r="AZ192" s="2222"/>
      <c r="BA192" s="2222"/>
      <c r="BB192" s="2222"/>
      <c r="BC192" s="2203"/>
      <c r="BD192" s="2204"/>
      <c r="BE192" s="2205"/>
    </row>
    <row r="193" spans="1:57" ht="15.75" customHeight="1" thickBot="1">
      <c r="A193" s="1190"/>
      <c r="B193" s="1190"/>
      <c r="C193" s="2086" t="s">
        <v>300</v>
      </c>
      <c r="D193" s="2018"/>
      <c r="E193" s="2215" t="s">
        <v>2317</v>
      </c>
      <c r="F193" s="2215"/>
      <c r="G193" s="2215"/>
      <c r="H193" s="2215"/>
      <c r="I193" s="2215"/>
      <c r="J193" s="2215"/>
      <c r="K193" s="2215"/>
      <c r="L193" s="2215"/>
      <c r="M193" s="2215"/>
      <c r="N193" s="2193">
        <v>0</v>
      </c>
      <c r="O193" s="2193"/>
      <c r="P193" s="2193"/>
      <c r="Q193" s="2193"/>
      <c r="R193" s="2193"/>
      <c r="S193" s="2193"/>
      <c r="T193" s="2193"/>
      <c r="U193" s="2030"/>
      <c r="V193" s="2030"/>
      <c r="W193" s="2030"/>
      <c r="X193" s="2030"/>
      <c r="Y193" s="2030"/>
      <c r="Z193" s="2030"/>
      <c r="AA193" s="2030"/>
      <c r="AB193" s="2030"/>
      <c r="AC193" s="2030"/>
      <c r="AD193" s="2030"/>
      <c r="AE193" s="203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6"/>
      <c r="BD193" s="2217"/>
      <c r="BE193" s="2218"/>
    </row>
    <row r="194" spans="1:57" ht="15.75" customHeight="1" thickBot="1">
      <c r="A194" s="1190"/>
      <c r="B194" s="1190"/>
      <c r="C194" s="2240" t="s">
        <v>300</v>
      </c>
      <c r="D194" s="2241"/>
      <c r="E194" s="2242" t="s">
        <v>2317</v>
      </c>
      <c r="F194" s="2242"/>
      <c r="G194" s="2242"/>
      <c r="H194" s="2242"/>
      <c r="I194" s="2242"/>
      <c r="J194" s="2242"/>
      <c r="K194" s="2242"/>
      <c r="L194" s="2242"/>
      <c r="M194" s="2243"/>
      <c r="N194" s="2244">
        <v>0</v>
      </c>
      <c r="O194" s="2244"/>
      <c r="P194" s="2244"/>
      <c r="Q194" s="2244"/>
      <c r="R194" s="2244"/>
      <c r="S194" s="2244"/>
      <c r="T194" s="2245"/>
      <c r="U194" s="2246"/>
      <c r="V194" s="2247"/>
      <c r="W194" s="2247"/>
      <c r="X194" s="2247"/>
      <c r="Y194" s="2247"/>
      <c r="Z194" s="2247"/>
      <c r="AA194" s="2247"/>
      <c r="AB194" s="2247"/>
      <c r="AC194" s="2247"/>
      <c r="AD194" s="2247"/>
      <c r="AE194" s="2248"/>
      <c r="AF194" s="1190"/>
      <c r="AG194" s="1190"/>
      <c r="AH194" s="2249" t="s">
        <v>2316</v>
      </c>
      <c r="AI194" s="2250"/>
      <c r="AJ194" s="2250"/>
      <c r="AK194" s="2250"/>
      <c r="AL194" s="2250"/>
      <c r="AM194" s="2250"/>
      <c r="AN194" s="2250"/>
      <c r="AO194" s="2250"/>
      <c r="AP194" s="2250"/>
      <c r="AQ194" s="2250"/>
      <c r="AR194" s="2250"/>
      <c r="AS194" s="2250"/>
      <c r="AT194" s="2250"/>
      <c r="AU194" s="2251"/>
      <c r="AV194" s="2251"/>
      <c r="AW194" s="2251"/>
      <c r="AX194" s="2251"/>
      <c r="AY194" s="2251"/>
      <c r="AZ194" s="2251"/>
      <c r="BA194" s="2251"/>
      <c r="BB194" s="2251"/>
      <c r="BC194" s="1171"/>
      <c r="BD194" s="1171"/>
      <c r="BE194" s="1232"/>
    </row>
    <row r="195" spans="1:57" ht="15.75" customHeight="1">
      <c r="A195" s="1190"/>
      <c r="B195" s="1190"/>
      <c r="C195" s="2223" t="s">
        <v>2315</v>
      </c>
      <c r="D195" s="2224"/>
      <c r="E195" s="2224"/>
      <c r="F195" s="2224"/>
      <c r="G195" s="2224"/>
      <c r="H195" s="2224"/>
      <c r="I195" s="2224"/>
      <c r="J195" s="2224"/>
      <c r="K195" s="2224"/>
      <c r="L195" s="2224"/>
      <c r="M195" s="2224"/>
      <c r="N195" s="2225">
        <f>SUM(N187:T194)</f>
        <v>1308000</v>
      </c>
      <c r="O195" s="2225"/>
      <c r="P195" s="2225"/>
      <c r="Q195" s="2225"/>
      <c r="R195" s="2225"/>
      <c r="S195" s="2225"/>
      <c r="T195" s="2226"/>
      <c r="U195" s="1190"/>
      <c r="V195" s="1190"/>
      <c r="W195" s="1190"/>
      <c r="X195" s="1190"/>
      <c r="Y195" s="1190"/>
      <c r="Z195" s="1190"/>
      <c r="AA195" s="1190"/>
      <c r="AB195" s="1190"/>
      <c r="AC195" s="1190"/>
      <c r="AD195" s="1190"/>
      <c r="AE195" s="1190"/>
      <c r="AF195" s="1190"/>
      <c r="AG195" s="1190"/>
      <c r="AH195" s="2227" t="s">
        <v>2314</v>
      </c>
      <c r="AI195" s="2228"/>
      <c r="AJ195" s="2228"/>
      <c r="AK195" s="2228"/>
      <c r="AL195" s="2228"/>
      <c r="AM195" s="2228"/>
      <c r="AN195" s="2228"/>
      <c r="AO195" s="2228"/>
      <c r="AP195" s="2228"/>
      <c r="AQ195" s="2228"/>
      <c r="AR195" s="2228"/>
      <c r="AS195" s="2228"/>
      <c r="AT195" s="2228"/>
      <c r="AU195" s="2228"/>
      <c r="AV195" s="2228"/>
      <c r="AW195" s="2228"/>
      <c r="AX195" s="2228"/>
      <c r="AY195" s="2228"/>
      <c r="AZ195" s="2228"/>
      <c r="BA195" s="2228"/>
      <c r="BB195" s="2228"/>
      <c r="BC195" s="2228"/>
      <c r="BD195" s="2228"/>
      <c r="BE195" s="2229"/>
    </row>
    <row r="196" spans="1:57" ht="15.75" customHeight="1" thickBot="1">
      <c r="A196" s="1190"/>
      <c r="B196" s="1190"/>
      <c r="C196" s="2233" t="s">
        <v>2313</v>
      </c>
      <c r="D196" s="2234"/>
      <c r="E196" s="2234"/>
      <c r="F196" s="2234"/>
      <c r="G196" s="2234"/>
      <c r="H196" s="2234"/>
      <c r="I196" s="2234"/>
      <c r="J196" s="2234"/>
      <c r="K196" s="2234"/>
      <c r="L196" s="2234"/>
      <c r="M196" s="2234"/>
      <c r="N196" s="2235">
        <f>(N185-N195)/J29</f>
        <v>415521.86521739129</v>
      </c>
      <c r="O196" s="2236"/>
      <c r="P196" s="2236"/>
      <c r="Q196" s="2236"/>
      <c r="R196" s="2236"/>
      <c r="S196" s="2236"/>
      <c r="T196" s="2237"/>
      <c r="U196" s="1195"/>
      <c r="V196" s="1190"/>
      <c r="W196" s="1190"/>
      <c r="X196" s="1190"/>
      <c r="Y196" s="1190"/>
      <c r="Z196" s="1190"/>
      <c r="AA196" s="1190"/>
      <c r="AB196" s="1190"/>
      <c r="AC196" s="1190"/>
      <c r="AD196" s="1190"/>
      <c r="AE196" s="1190"/>
      <c r="AF196" s="1190"/>
      <c r="AG196" s="1190"/>
      <c r="AH196" s="2230"/>
      <c r="AI196" s="2231"/>
      <c r="AJ196" s="2231"/>
      <c r="AK196" s="2231"/>
      <c r="AL196" s="2231"/>
      <c r="AM196" s="2231"/>
      <c r="AN196" s="2231"/>
      <c r="AO196" s="2231"/>
      <c r="AP196" s="2231"/>
      <c r="AQ196" s="2231"/>
      <c r="AR196" s="2231"/>
      <c r="AS196" s="2231"/>
      <c r="AT196" s="2231"/>
      <c r="AU196" s="2231"/>
      <c r="AV196" s="2231"/>
      <c r="AW196" s="2231"/>
      <c r="AX196" s="2231"/>
      <c r="AY196" s="2231"/>
      <c r="AZ196" s="2231"/>
      <c r="BA196" s="2231"/>
      <c r="BB196" s="2231"/>
      <c r="BC196" s="2231"/>
      <c r="BD196" s="2231"/>
      <c r="BE196" s="223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8"/>
      <c r="AI197" s="2238"/>
      <c r="AJ197" s="2238"/>
      <c r="AK197" s="2238"/>
      <c r="AL197" s="2238"/>
      <c r="AM197" s="2238"/>
      <c r="AN197" s="2238"/>
      <c r="AO197" s="2238"/>
      <c r="AP197" s="2238"/>
      <c r="AQ197" s="2238"/>
      <c r="AR197" s="2238"/>
      <c r="AS197" s="2239"/>
      <c r="AT197" s="2239"/>
      <c r="AU197" s="2239"/>
      <c r="AV197" s="2239"/>
      <c r="AW197" s="2239"/>
      <c r="AX197" s="2239"/>
      <c r="AY197" s="2239"/>
      <c r="AZ197" s="2239"/>
      <c r="BA197" s="2239"/>
      <c r="BB197" s="2239"/>
      <c r="BC197" s="2239"/>
      <c r="BD197" s="223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7" t="s">
        <v>2312</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0" t="s">
        <v>2311</v>
      </c>
      <c r="D200" s="2260"/>
      <c r="E200" s="2260"/>
      <c r="F200" s="2260"/>
      <c r="G200" s="2260"/>
      <c r="H200" s="2260"/>
      <c r="I200" s="2260"/>
      <c r="J200" s="2260"/>
      <c r="K200" s="2260"/>
      <c r="L200" s="2260"/>
      <c r="M200" s="2260"/>
      <c r="N200" s="2260"/>
      <c r="O200" s="2261" t="s">
        <v>2310</v>
      </c>
      <c r="P200" s="2261"/>
      <c r="Q200" s="2261"/>
      <c r="R200" s="2261"/>
      <c r="S200" s="2261"/>
      <c r="T200" s="2261"/>
      <c r="U200" s="2261"/>
      <c r="V200" s="2261"/>
      <c r="W200" s="2261"/>
      <c r="X200" s="2261" t="s">
        <v>2309</v>
      </c>
      <c r="Y200" s="2261"/>
      <c r="Z200" s="2261"/>
      <c r="AA200" s="2261"/>
      <c r="AB200" s="2261"/>
      <c r="AC200" s="2261"/>
      <c r="AD200" s="2261"/>
      <c r="AE200" s="22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2" t="s">
        <v>2308</v>
      </c>
      <c r="D201" s="2252"/>
      <c r="E201" s="2252"/>
      <c r="F201" s="2252"/>
      <c r="G201" s="2252"/>
      <c r="H201" s="2252"/>
      <c r="I201" s="2252"/>
      <c r="J201" s="2252"/>
      <c r="K201" s="2252"/>
      <c r="L201" s="2252"/>
      <c r="M201" s="2252"/>
      <c r="N201" s="2252"/>
      <c r="O201" s="2253" t="s">
        <v>2307</v>
      </c>
      <c r="P201" s="2253"/>
      <c r="Q201" s="2253"/>
      <c r="R201" s="2253"/>
      <c r="S201" s="2253"/>
      <c r="T201" s="2253"/>
      <c r="U201" s="2253"/>
      <c r="V201" s="2253"/>
      <c r="W201" s="2253"/>
      <c r="X201" s="2254">
        <v>0.03</v>
      </c>
      <c r="Y201" s="2254"/>
      <c r="Z201" s="2254"/>
      <c r="AA201" s="2254"/>
      <c r="AB201" s="2254"/>
      <c r="AC201" s="2254"/>
      <c r="AD201" s="2254"/>
      <c r="AE201" s="22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2" t="s">
        <v>855</v>
      </c>
      <c r="D202" s="2252"/>
      <c r="E202" s="2252"/>
      <c r="F202" s="2252"/>
      <c r="G202" s="2252"/>
      <c r="H202" s="2252"/>
      <c r="I202" s="2252"/>
      <c r="J202" s="2252"/>
      <c r="K202" s="2252"/>
      <c r="L202" s="2252"/>
      <c r="M202" s="2252"/>
      <c r="N202" s="2252"/>
      <c r="O202" s="2253" t="s">
        <v>2307</v>
      </c>
      <c r="P202" s="2253"/>
      <c r="Q202" s="2253"/>
      <c r="R202" s="2253"/>
      <c r="S202" s="2253"/>
      <c r="T202" s="2253"/>
      <c r="U202" s="2253"/>
      <c r="V202" s="2253"/>
      <c r="W202" s="2253"/>
      <c r="X202" s="2254">
        <v>0.03</v>
      </c>
      <c r="Y202" s="2254"/>
      <c r="Z202" s="2254"/>
      <c r="AA202" s="2254"/>
      <c r="AB202" s="2254"/>
      <c r="AC202" s="2254"/>
      <c r="AD202" s="2254"/>
      <c r="AE202" s="22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2" t="s">
        <v>2306</v>
      </c>
      <c r="D203" s="2252"/>
      <c r="E203" s="2252"/>
      <c r="F203" s="2252"/>
      <c r="G203" s="2252"/>
      <c r="H203" s="2252"/>
      <c r="I203" s="2252"/>
      <c r="J203" s="2252"/>
      <c r="K203" s="2252"/>
      <c r="L203" s="2252"/>
      <c r="M203" s="2252"/>
      <c r="N203" s="2252"/>
      <c r="O203" s="2255">
        <f>SUM(O201:W202)</f>
        <v>0</v>
      </c>
      <c r="P203" s="2256"/>
      <c r="Q203" s="2256"/>
      <c r="R203" s="2256"/>
      <c r="S203" s="2256"/>
      <c r="T203" s="2256"/>
      <c r="U203" s="2256"/>
      <c r="V203" s="2256"/>
      <c r="W203" s="2256"/>
      <c r="X203" s="2256" t="s">
        <v>2305</v>
      </c>
      <c r="Y203" s="2256"/>
      <c r="Z203" s="2256"/>
      <c r="AA203" s="2256"/>
      <c r="AB203" s="2256"/>
      <c r="AC203" s="2256"/>
      <c r="AD203" s="2256"/>
      <c r="AE203" s="22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2" t="s">
        <v>2304</v>
      </c>
      <c r="D204" s="2262"/>
      <c r="E204" s="2262"/>
      <c r="F204" s="2262"/>
      <c r="G204" s="2262"/>
      <c r="H204" s="2262"/>
      <c r="I204" s="2262"/>
      <c r="J204" s="2262"/>
      <c r="K204" s="2262"/>
      <c r="L204" s="2262"/>
      <c r="M204" s="2262"/>
      <c r="N204" s="2262"/>
      <c r="O204" s="2262"/>
      <c r="P204" s="2262"/>
      <c r="Q204" s="2262"/>
      <c r="R204" s="2262"/>
      <c r="S204" s="2262"/>
      <c r="T204" s="2262"/>
      <c r="U204" s="2262"/>
      <c r="V204" s="2262"/>
      <c r="W204" s="2262"/>
      <c r="X204" s="2262"/>
      <c r="Y204" s="2262"/>
      <c r="Z204" s="2262"/>
      <c r="AA204" s="2262"/>
      <c r="AB204" s="2262"/>
      <c r="AC204" s="2262"/>
      <c r="AD204" s="2262"/>
      <c r="AE204" s="226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3" t="s">
        <v>2303</v>
      </c>
      <c r="D206" s="2264"/>
      <c r="E206" s="2264"/>
      <c r="F206" s="2264"/>
      <c r="G206" s="2264"/>
      <c r="H206" s="2264"/>
      <c r="I206" s="2264"/>
      <c r="J206" s="2264"/>
      <c r="K206" s="2264"/>
      <c r="L206" s="2264"/>
      <c r="M206" s="2264"/>
      <c r="N206" s="2264"/>
      <c r="O206" s="2264"/>
      <c r="P206" s="2264"/>
      <c r="Q206" s="2264"/>
      <c r="R206" s="2264"/>
      <c r="S206" s="2264"/>
      <c r="T206" s="2264"/>
      <c r="U206" s="2264"/>
      <c r="V206" s="2264"/>
      <c r="W206" s="2264"/>
      <c r="X206" s="2264"/>
      <c r="Y206" s="2264"/>
      <c r="Z206" s="2264"/>
      <c r="AA206" s="2264"/>
      <c r="AB206" s="2264"/>
      <c r="AC206" s="2264"/>
      <c r="AD206" s="2264"/>
      <c r="AE206" s="2264"/>
      <c r="AF206" s="2264"/>
      <c r="AG206" s="2264"/>
      <c r="AH206" s="2264"/>
      <c r="AI206" s="2264"/>
      <c r="AJ206" s="2264"/>
      <c r="AK206" s="226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6" t="s">
        <v>2302</v>
      </c>
      <c r="D207" s="2267"/>
      <c r="E207" s="2267"/>
      <c r="F207" s="2268"/>
      <c r="G207" s="2272" t="s">
        <v>2301</v>
      </c>
      <c r="H207" s="2267"/>
      <c r="I207" s="2267"/>
      <c r="J207" s="2267"/>
      <c r="K207" s="2267"/>
      <c r="L207" s="2267"/>
      <c r="M207" s="2267"/>
      <c r="N207" s="2267"/>
      <c r="O207" s="2268"/>
      <c r="P207" s="2274" t="s">
        <v>2300</v>
      </c>
      <c r="Q207" s="2275"/>
      <c r="R207" s="2275"/>
      <c r="S207" s="2275"/>
      <c r="T207" s="2276"/>
      <c r="U207" s="2280" t="s">
        <v>2299</v>
      </c>
      <c r="V207" s="2281"/>
      <c r="W207" s="2281"/>
      <c r="X207" s="2282"/>
      <c r="Y207" s="2280" t="s">
        <v>2298</v>
      </c>
      <c r="Z207" s="2281"/>
      <c r="AA207" s="2281"/>
      <c r="AB207" s="2282"/>
      <c r="AC207" s="2280" t="s">
        <v>2297</v>
      </c>
      <c r="AD207" s="2281"/>
      <c r="AE207" s="2281"/>
      <c r="AF207" s="2282"/>
      <c r="AG207" s="2272" t="s">
        <v>2296</v>
      </c>
      <c r="AH207" s="2267"/>
      <c r="AI207" s="2267"/>
      <c r="AJ207" s="2267"/>
      <c r="AK207" s="228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9"/>
      <c r="D208" s="2270"/>
      <c r="E208" s="2270"/>
      <c r="F208" s="2271"/>
      <c r="G208" s="2273"/>
      <c r="H208" s="2270"/>
      <c r="I208" s="2270"/>
      <c r="J208" s="2270"/>
      <c r="K208" s="2270"/>
      <c r="L208" s="2270"/>
      <c r="M208" s="2270"/>
      <c r="N208" s="2270"/>
      <c r="O208" s="2271"/>
      <c r="P208" s="2277"/>
      <c r="Q208" s="2278"/>
      <c r="R208" s="2278"/>
      <c r="S208" s="2278"/>
      <c r="T208" s="2279"/>
      <c r="U208" s="2283"/>
      <c r="V208" s="2284"/>
      <c r="W208" s="2284"/>
      <c r="X208" s="2285"/>
      <c r="Y208" s="2283"/>
      <c r="Z208" s="2284"/>
      <c r="AA208" s="2284"/>
      <c r="AB208" s="2285"/>
      <c r="AC208" s="2283"/>
      <c r="AD208" s="2284"/>
      <c r="AE208" s="2284"/>
      <c r="AF208" s="2285"/>
      <c r="AG208" s="2273"/>
      <c r="AH208" s="2270"/>
      <c r="AI208" s="2270"/>
      <c r="AJ208" s="2270"/>
      <c r="AK208" s="228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1">
        <v>1</v>
      </c>
      <c r="D209" s="2292"/>
      <c r="E209" s="2292"/>
      <c r="F209" s="2292"/>
      <c r="G209" s="2293" t="s">
        <v>1885</v>
      </c>
      <c r="H209" s="2293"/>
      <c r="I209" s="2293"/>
      <c r="J209" s="2293"/>
      <c r="K209" s="2293"/>
      <c r="L209" s="2293"/>
      <c r="M209" s="2293"/>
      <c r="N209" s="2293"/>
      <c r="O209" s="2293"/>
      <c r="P209" s="2294"/>
      <c r="Q209" s="2297"/>
      <c r="R209" s="2297"/>
      <c r="S209" s="2297"/>
      <c r="T209" s="2297"/>
      <c r="U209" s="2295" t="s">
        <v>1885</v>
      </c>
      <c r="V209" s="2295"/>
      <c r="W209" s="2295"/>
      <c r="X209" s="2295"/>
      <c r="Y209" s="2295" t="s">
        <v>1885</v>
      </c>
      <c r="Z209" s="2295"/>
      <c r="AA209" s="2295"/>
      <c r="AB209" s="2295"/>
      <c r="AC209" s="2296" t="s">
        <v>1885</v>
      </c>
      <c r="AD209" s="2296"/>
      <c r="AE209" s="2296"/>
      <c r="AF209" s="2296"/>
      <c r="AG209" s="2288"/>
      <c r="AH209" s="2289"/>
      <c r="AI209" s="2289"/>
      <c r="AJ209" s="2289"/>
      <c r="AK209" s="22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1">
        <v>2</v>
      </c>
      <c r="D210" s="2292"/>
      <c r="E210" s="2292"/>
      <c r="F210" s="2292"/>
      <c r="G210" s="2293" t="s">
        <v>1885</v>
      </c>
      <c r="H210" s="2293"/>
      <c r="I210" s="2293"/>
      <c r="J210" s="2293"/>
      <c r="K210" s="2293"/>
      <c r="L210" s="2293"/>
      <c r="M210" s="2293"/>
      <c r="N210" s="2293"/>
      <c r="O210" s="2293"/>
      <c r="P210" s="2294"/>
      <c r="Q210" s="2294"/>
      <c r="R210" s="2294"/>
      <c r="S210" s="2294"/>
      <c r="T210" s="2294"/>
      <c r="U210" s="2295" t="s">
        <v>1885</v>
      </c>
      <c r="V210" s="2295"/>
      <c r="W210" s="2295"/>
      <c r="X210" s="2295"/>
      <c r="Y210" s="2295" t="s">
        <v>1885</v>
      </c>
      <c r="Z210" s="2295"/>
      <c r="AA210" s="2295"/>
      <c r="AB210" s="2295"/>
      <c r="AC210" s="2296" t="s">
        <v>1885</v>
      </c>
      <c r="AD210" s="2296"/>
      <c r="AE210" s="2296"/>
      <c r="AF210" s="2296"/>
      <c r="AG210" s="2288"/>
      <c r="AH210" s="2289"/>
      <c r="AI210" s="2289"/>
      <c r="AJ210" s="2289"/>
      <c r="AK210" s="22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1">
        <v>3</v>
      </c>
      <c r="D211" s="2292"/>
      <c r="E211" s="2292"/>
      <c r="F211" s="2292"/>
      <c r="G211" s="2293" t="s">
        <v>1885</v>
      </c>
      <c r="H211" s="2293"/>
      <c r="I211" s="2293"/>
      <c r="J211" s="2293"/>
      <c r="K211" s="2293"/>
      <c r="L211" s="2293"/>
      <c r="M211" s="2293"/>
      <c r="N211" s="2293"/>
      <c r="O211" s="2293"/>
      <c r="P211" s="2294"/>
      <c r="Q211" s="2294"/>
      <c r="R211" s="2294"/>
      <c r="S211" s="2294"/>
      <c r="T211" s="2294"/>
      <c r="U211" s="2295" t="s">
        <v>1885</v>
      </c>
      <c r="V211" s="2295"/>
      <c r="W211" s="2295"/>
      <c r="X211" s="2295"/>
      <c r="Y211" s="2295" t="s">
        <v>1885</v>
      </c>
      <c r="Z211" s="2295"/>
      <c r="AA211" s="2295"/>
      <c r="AB211" s="2295"/>
      <c r="AC211" s="2296" t="s">
        <v>1885</v>
      </c>
      <c r="AD211" s="2296"/>
      <c r="AE211" s="2296"/>
      <c r="AF211" s="2296"/>
      <c r="AG211" s="2288"/>
      <c r="AH211" s="2289"/>
      <c r="AI211" s="2289"/>
      <c r="AJ211" s="2289"/>
      <c r="AK211" s="22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1">
        <v>4</v>
      </c>
      <c r="D212" s="2292"/>
      <c r="E212" s="2292"/>
      <c r="F212" s="2292"/>
      <c r="G212" s="2293" t="s">
        <v>1885</v>
      </c>
      <c r="H212" s="2293"/>
      <c r="I212" s="2293"/>
      <c r="J212" s="2293"/>
      <c r="K212" s="2293"/>
      <c r="L212" s="2293"/>
      <c r="M212" s="2293"/>
      <c r="N212" s="2293"/>
      <c r="O212" s="2293"/>
      <c r="P212" s="2294"/>
      <c r="Q212" s="2294"/>
      <c r="R212" s="2294"/>
      <c r="S212" s="2294"/>
      <c r="T212" s="2294"/>
      <c r="U212" s="2295" t="s">
        <v>1885</v>
      </c>
      <c r="V212" s="2295"/>
      <c r="W212" s="2295"/>
      <c r="X212" s="2295"/>
      <c r="Y212" s="2295" t="s">
        <v>1885</v>
      </c>
      <c r="Z212" s="2295"/>
      <c r="AA212" s="2295"/>
      <c r="AB212" s="2295"/>
      <c r="AC212" s="2296" t="s">
        <v>1885</v>
      </c>
      <c r="AD212" s="2296"/>
      <c r="AE212" s="2296"/>
      <c r="AF212" s="2296"/>
      <c r="AG212" s="2288"/>
      <c r="AH212" s="2289"/>
      <c r="AI212" s="2289"/>
      <c r="AJ212" s="2289"/>
      <c r="AK212" s="22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1">
        <v>5</v>
      </c>
      <c r="D213" s="2292"/>
      <c r="E213" s="2292"/>
      <c r="F213" s="2292"/>
      <c r="G213" s="2293" t="s">
        <v>1885</v>
      </c>
      <c r="H213" s="2293"/>
      <c r="I213" s="2293"/>
      <c r="J213" s="2293"/>
      <c r="K213" s="2293"/>
      <c r="L213" s="2293"/>
      <c r="M213" s="2293"/>
      <c r="N213" s="2293"/>
      <c r="O213" s="2293"/>
      <c r="P213" s="2294"/>
      <c r="Q213" s="2294"/>
      <c r="R213" s="2294"/>
      <c r="S213" s="2294"/>
      <c r="T213" s="2294"/>
      <c r="U213" s="2295" t="s">
        <v>1885</v>
      </c>
      <c r="V213" s="2295"/>
      <c r="W213" s="2295"/>
      <c r="X213" s="2295"/>
      <c r="Y213" s="2295" t="s">
        <v>1885</v>
      </c>
      <c r="Z213" s="2295"/>
      <c r="AA213" s="2295"/>
      <c r="AB213" s="2295"/>
      <c r="AC213" s="2296" t="s">
        <v>1885</v>
      </c>
      <c r="AD213" s="2296"/>
      <c r="AE213" s="2296"/>
      <c r="AF213" s="2296"/>
      <c r="AG213" s="2288"/>
      <c r="AH213" s="2289"/>
      <c r="AI213" s="2289"/>
      <c r="AJ213" s="2289"/>
      <c r="AK213" s="22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1">
        <v>6</v>
      </c>
      <c r="D214" s="2292"/>
      <c r="E214" s="2292"/>
      <c r="F214" s="2292"/>
      <c r="G214" s="2293" t="s">
        <v>1885</v>
      </c>
      <c r="H214" s="2293"/>
      <c r="I214" s="2293"/>
      <c r="J214" s="2293"/>
      <c r="K214" s="2293"/>
      <c r="L214" s="2293"/>
      <c r="M214" s="2293"/>
      <c r="N214" s="2293"/>
      <c r="O214" s="2293"/>
      <c r="P214" s="2294"/>
      <c r="Q214" s="2294"/>
      <c r="R214" s="2294"/>
      <c r="S214" s="2294"/>
      <c r="T214" s="2294"/>
      <c r="U214" s="2295"/>
      <c r="V214" s="2295"/>
      <c r="W214" s="2295"/>
      <c r="X214" s="2295"/>
      <c r="Y214" s="2295"/>
      <c r="Z214" s="2295"/>
      <c r="AA214" s="2295"/>
      <c r="AB214" s="2295"/>
      <c r="AC214" s="2296" t="s">
        <v>1885</v>
      </c>
      <c r="AD214" s="2296"/>
      <c r="AE214" s="2296"/>
      <c r="AF214" s="2296"/>
      <c r="AG214" s="2288"/>
      <c r="AH214" s="2289"/>
      <c r="AI214" s="2289"/>
      <c r="AJ214" s="2289"/>
      <c r="AK214" s="22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1">
        <v>7</v>
      </c>
      <c r="D215" s="2292"/>
      <c r="E215" s="2292"/>
      <c r="F215" s="2292"/>
      <c r="G215" s="2293"/>
      <c r="H215" s="2293"/>
      <c r="I215" s="2293"/>
      <c r="J215" s="2293"/>
      <c r="K215" s="2293"/>
      <c r="L215" s="2293"/>
      <c r="M215" s="2293"/>
      <c r="N215" s="2293"/>
      <c r="O215" s="2293"/>
      <c r="P215" s="2294"/>
      <c r="Q215" s="2294"/>
      <c r="R215" s="2294"/>
      <c r="S215" s="2294"/>
      <c r="T215" s="2294"/>
      <c r="U215" s="2295"/>
      <c r="V215" s="2295"/>
      <c r="W215" s="2295"/>
      <c r="X215" s="2295"/>
      <c r="Y215" s="2295"/>
      <c r="Z215" s="2295"/>
      <c r="AA215" s="2295"/>
      <c r="AB215" s="2295"/>
      <c r="AC215" s="2296" t="s">
        <v>1885</v>
      </c>
      <c r="AD215" s="2296"/>
      <c r="AE215" s="2296"/>
      <c r="AF215" s="2296"/>
      <c r="AG215" s="2288"/>
      <c r="AH215" s="2289"/>
      <c r="AI215" s="2289"/>
      <c r="AJ215" s="2289"/>
      <c r="AK215" s="22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0" t="s">
        <v>2295</v>
      </c>
      <c r="D216" s="2311"/>
      <c r="E216" s="2311"/>
      <c r="F216" s="2311"/>
      <c r="G216" s="2311"/>
      <c r="H216" s="2311"/>
      <c r="I216" s="2311"/>
      <c r="J216" s="2311"/>
      <c r="K216" s="2311"/>
      <c r="L216" s="2311"/>
      <c r="M216" s="2311"/>
      <c r="N216" s="2311"/>
      <c r="O216" s="2311"/>
      <c r="P216" s="2312"/>
      <c r="Q216" s="2312"/>
      <c r="R216" s="2312"/>
      <c r="S216" s="2312"/>
      <c r="T216" s="2312"/>
      <c r="U216" s="2313">
        <f>-SUM(U209:U215)</f>
        <v>0</v>
      </c>
      <c r="V216" s="2313"/>
      <c r="W216" s="2313"/>
      <c r="X216" s="2313"/>
      <c r="Y216" s="2313">
        <f>-SUM(Y209:Y215)</f>
        <v>0</v>
      </c>
      <c r="Z216" s="2313"/>
      <c r="AA216" s="2313"/>
      <c r="AB216" s="2313"/>
      <c r="AC216" s="2314">
        <f>-SUM(AC209:AC215)</f>
        <v>0</v>
      </c>
      <c r="AD216" s="2314"/>
      <c r="AE216" s="2314"/>
      <c r="AF216" s="2314"/>
      <c r="AG216" s="2315"/>
      <c r="AH216" s="2316"/>
      <c r="AI216" s="2316"/>
      <c r="AJ216" s="2316"/>
      <c r="AK216" s="23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8" t="s">
        <v>2293</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194"/>
    </row>
    <row r="222" spans="1:57" ht="15.75" customHeight="1">
      <c r="A222" s="1190"/>
      <c r="B222" s="2301"/>
      <c r="C222" s="2302"/>
      <c r="D222" s="2302"/>
      <c r="E222" s="2302"/>
      <c r="F222" s="2302"/>
      <c r="G222" s="2302"/>
      <c r="H222" s="2302"/>
      <c r="I222" s="2302"/>
      <c r="J222" s="2302"/>
      <c r="K222" s="2302"/>
      <c r="L222" s="2302"/>
      <c r="M222" s="2302"/>
      <c r="N222" s="2302"/>
      <c r="O222" s="2302"/>
      <c r="P222" s="2302"/>
      <c r="Q222" s="2302"/>
      <c r="R222" s="2302"/>
      <c r="S222" s="2302"/>
      <c r="T222" s="2302"/>
      <c r="U222" s="2302"/>
      <c r="V222" s="2302"/>
      <c r="W222" s="2302"/>
      <c r="X222" s="2302"/>
      <c r="Y222" s="2302"/>
      <c r="Z222" s="2302"/>
      <c r="AA222" s="2302"/>
      <c r="AB222" s="2302"/>
      <c r="AC222" s="2302"/>
      <c r="AD222" s="2302"/>
      <c r="AE222" s="2302"/>
      <c r="AF222" s="2302"/>
      <c r="AG222" s="2302"/>
      <c r="AH222" s="2302"/>
      <c r="AI222" s="2302"/>
      <c r="AJ222" s="2302"/>
      <c r="AK222" s="2302"/>
      <c r="AL222" s="2302"/>
      <c r="AM222" s="2302"/>
      <c r="AN222" s="2302"/>
      <c r="AO222" s="2302"/>
      <c r="AP222" s="2302"/>
      <c r="AQ222" s="2302"/>
      <c r="AR222" s="2302"/>
      <c r="AS222" s="2302"/>
      <c r="AT222" s="2302"/>
      <c r="AU222" s="2302"/>
      <c r="AV222" s="2302"/>
      <c r="AW222" s="2302"/>
      <c r="AX222" s="2302"/>
      <c r="AY222" s="2302"/>
      <c r="AZ222" s="2302"/>
      <c r="BA222" s="2302"/>
      <c r="BB222" s="2302"/>
      <c r="BC222" s="2302"/>
      <c r="BD222" s="2303"/>
      <c r="BE222" s="1194"/>
    </row>
    <row r="223" spans="1:57" ht="15.75" customHeight="1">
      <c r="A223" s="1190"/>
      <c r="B223" s="2304" t="s">
        <v>2292</v>
      </c>
      <c r="C223" s="2305"/>
      <c r="D223" s="2305"/>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2305"/>
      <c r="BB223" s="2305"/>
      <c r="BC223" s="2305"/>
      <c r="BD223" s="2306"/>
      <c r="BE223" s="1194"/>
    </row>
    <row r="224" spans="1:57" ht="15.75" customHeight="1">
      <c r="A224" s="1190"/>
      <c r="B224" s="2304" t="s">
        <v>2291</v>
      </c>
      <c r="C224" s="2305"/>
      <c r="D224" s="2305"/>
      <c r="E224" s="2305"/>
      <c r="F224" s="2305"/>
      <c r="G224" s="2305"/>
      <c r="H224" s="2305"/>
      <c r="I224" s="2305"/>
      <c r="J224" s="2305"/>
      <c r="K224" s="2305"/>
      <c r="L224" s="2305"/>
      <c r="M224" s="2305"/>
      <c r="N224" s="2305"/>
      <c r="O224" s="2305"/>
      <c r="P224" s="2305"/>
      <c r="Q224" s="2305"/>
      <c r="R224" s="2305"/>
      <c r="S224" s="2305"/>
      <c r="T224" s="2305"/>
      <c r="U224" s="2305"/>
      <c r="V224" s="2305"/>
      <c r="W224" s="2305"/>
      <c r="X224" s="2305"/>
      <c r="Y224" s="2305"/>
      <c r="Z224" s="2305"/>
      <c r="AA224" s="2305"/>
      <c r="AB224" s="2305"/>
      <c r="AC224" s="2305"/>
      <c r="AD224" s="2305"/>
      <c r="AE224" s="2305"/>
      <c r="AF224" s="2305"/>
      <c r="AG224" s="2305"/>
      <c r="AH224" s="2305"/>
      <c r="AI224" s="2305"/>
      <c r="AJ224" s="2305"/>
      <c r="AK224" s="2305"/>
      <c r="AL224" s="2305"/>
      <c r="AM224" s="2305"/>
      <c r="AN224" s="2305"/>
      <c r="AO224" s="2305"/>
      <c r="AP224" s="2305"/>
      <c r="AQ224" s="2305"/>
      <c r="AR224" s="2305"/>
      <c r="AS224" s="2305"/>
      <c r="AT224" s="2305"/>
      <c r="AU224" s="2305"/>
      <c r="AV224" s="2305"/>
      <c r="AW224" s="2305"/>
      <c r="AX224" s="2305"/>
      <c r="AY224" s="2305"/>
      <c r="AZ224" s="2305"/>
      <c r="BA224" s="2305"/>
      <c r="BB224" s="2305"/>
      <c r="BC224" s="2305"/>
      <c r="BD224" s="23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7" t="s">
        <v>2290</v>
      </c>
      <c r="C226" s="2197"/>
      <c r="D226" s="2197"/>
      <c r="E226" s="2197"/>
      <c r="F226" s="2197"/>
      <c r="G226" s="2197"/>
      <c r="H226" s="2197"/>
      <c r="I226" s="2197"/>
      <c r="J226" s="2197"/>
      <c r="K226" s="2197"/>
      <c r="L226" s="2197"/>
      <c r="M226" s="2197"/>
      <c r="N226" s="2197"/>
      <c r="O226" s="2197"/>
      <c r="P226" s="2197"/>
      <c r="Q226" s="2197"/>
      <c r="R226" s="2197"/>
      <c r="S226" s="2197"/>
      <c r="T226" s="2197"/>
      <c r="U226" s="2197"/>
      <c r="V226" s="2197"/>
      <c r="W226" s="2197"/>
      <c r="X226" s="2197"/>
      <c r="Y226" s="2197"/>
      <c r="Z226" s="2197"/>
      <c r="AA226" s="2197"/>
      <c r="AB226" s="2197"/>
      <c r="AC226" s="2197"/>
      <c r="AD226" s="2197"/>
      <c r="AE226" s="2197"/>
      <c r="AF226" s="2197"/>
      <c r="AG226" s="2197"/>
      <c r="AH226" s="2197"/>
      <c r="AI226" s="2197"/>
      <c r="AJ226" s="2197"/>
      <c r="AK226" s="2197"/>
      <c r="AL226" s="2197"/>
      <c r="AM226" s="2197"/>
      <c r="AN226" s="2197"/>
      <c r="AO226" s="2197"/>
      <c r="AP226" s="2197"/>
      <c r="AQ226" s="2197"/>
      <c r="AR226" s="2197"/>
      <c r="AS226" s="2197"/>
      <c r="AT226" s="2197"/>
      <c r="AU226" s="2197"/>
      <c r="AV226" s="2197"/>
      <c r="AW226" s="2197"/>
      <c r="AX226" s="2197"/>
      <c r="AY226" s="2197"/>
      <c r="AZ226" s="2197"/>
      <c r="BA226" s="2197"/>
      <c r="BB226" s="2197"/>
      <c r="BC226" s="2197"/>
      <c r="BD226" s="230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9" t="s">
        <v>2288</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7" t="s">
        <v>2287</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1190"/>
      <c r="BB232" s="1190"/>
      <c r="BC232" s="1190"/>
      <c r="BD232" s="1194"/>
      <c r="BE232" s="1194"/>
    </row>
    <row r="233" spans="1:57" ht="15.75" customHeight="1">
      <c r="A233" s="1190"/>
      <c r="B233" s="1189"/>
      <c r="C233" s="1190"/>
      <c r="D233" s="1190"/>
      <c r="E233" s="1190"/>
      <c r="F233" s="1190"/>
      <c r="G233" s="1190"/>
      <c r="H233" s="2327"/>
      <c r="I233" s="2327"/>
      <c r="J233" s="2327"/>
      <c r="K233" s="2327"/>
      <c r="L233" s="2327"/>
      <c r="M233" s="2327"/>
      <c r="N233" s="2327"/>
      <c r="O233" s="2327"/>
      <c r="P233" s="2327"/>
      <c r="Q233" s="2327"/>
      <c r="R233" s="2327"/>
      <c r="S233" s="2327"/>
      <c r="T233" s="2327"/>
      <c r="U233" s="2327"/>
      <c r="V233" s="2327"/>
      <c r="W233" s="2327"/>
      <c r="X233" s="2327"/>
      <c r="Y233" s="2327"/>
      <c r="Z233" s="2327"/>
      <c r="AA233" s="2327"/>
      <c r="AB233" s="2327"/>
      <c r="AC233" s="232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1190"/>
      <c r="BB233" s="1190"/>
      <c r="BC233" s="1190"/>
      <c r="BD233" s="1194"/>
      <c r="BE233" s="1194"/>
    </row>
    <row r="234" spans="1:57" ht="15.75" customHeight="1">
      <c r="A234" s="1190"/>
      <c r="B234" s="1189"/>
      <c r="C234" s="1190"/>
      <c r="D234" s="1190"/>
      <c r="E234" s="1190"/>
      <c r="F234" s="1190"/>
      <c r="G234" s="1190"/>
      <c r="H234" s="2327"/>
      <c r="I234" s="2327"/>
      <c r="J234" s="2327"/>
      <c r="K234" s="2327"/>
      <c r="L234" s="2327"/>
      <c r="M234" s="2327"/>
      <c r="N234" s="2327"/>
      <c r="O234" s="2327"/>
      <c r="P234" s="2327"/>
      <c r="Q234" s="2327"/>
      <c r="R234" s="2327"/>
      <c r="S234" s="2327"/>
      <c r="T234" s="2327"/>
      <c r="U234" s="2327"/>
      <c r="V234" s="2327"/>
      <c r="W234" s="2327"/>
      <c r="X234" s="2327"/>
      <c r="Y234" s="2327"/>
      <c r="Z234" s="2327"/>
      <c r="AA234" s="2327"/>
      <c r="AB234" s="2327"/>
      <c r="AC234" s="232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1190"/>
      <c r="BB234" s="1190"/>
      <c r="BC234" s="1190"/>
      <c r="BD234" s="1194"/>
      <c r="BE234" s="1194"/>
    </row>
    <row r="235" spans="1:57" ht="15.75" customHeight="1">
      <c r="A235" s="1190"/>
      <c r="B235" s="1189"/>
      <c r="C235" s="1190"/>
      <c r="D235" s="1190"/>
      <c r="E235" s="1190"/>
      <c r="F235" s="1190"/>
      <c r="G235" s="1190"/>
      <c r="H235" s="2327"/>
      <c r="I235" s="2327"/>
      <c r="J235" s="2327"/>
      <c r="K235" s="2327"/>
      <c r="L235" s="2327"/>
      <c r="M235" s="2327"/>
      <c r="N235" s="2327"/>
      <c r="O235" s="2327"/>
      <c r="P235" s="2327"/>
      <c r="Q235" s="2327"/>
      <c r="R235" s="2327"/>
      <c r="S235" s="2327"/>
      <c r="T235" s="2327"/>
      <c r="U235" s="2327"/>
      <c r="V235" s="2327"/>
      <c r="W235" s="2327"/>
      <c r="X235" s="2327"/>
      <c r="Y235" s="2327"/>
      <c r="Z235" s="2327"/>
      <c r="AA235" s="2327"/>
      <c r="AB235" s="2327"/>
      <c r="AC235" s="232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8" t="s">
        <v>2286</v>
      </c>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2328"/>
      <c r="AD237" s="2328"/>
      <c r="AE237" s="2328"/>
      <c r="AF237" s="2328"/>
      <c r="AG237" s="2328"/>
      <c r="AH237" s="2328"/>
      <c r="AI237" s="2328"/>
      <c r="AJ237" s="2328"/>
      <c r="AK237" s="2328"/>
      <c r="AL237" s="2328"/>
      <c r="AM237" s="2328"/>
      <c r="AN237" s="2328"/>
      <c r="AO237" s="2328"/>
      <c r="AP237" s="2328"/>
      <c r="AQ237" s="2328"/>
      <c r="AR237" s="2328"/>
      <c r="AS237" s="2328"/>
      <c r="AT237" s="2328"/>
      <c r="AU237" s="2328"/>
      <c r="AV237" s="232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8" t="s">
        <v>2285</v>
      </c>
      <c r="I239" s="2318"/>
      <c r="J239" s="2318"/>
      <c r="K239" s="2318"/>
      <c r="L239" s="1239"/>
      <c r="M239" s="1239"/>
      <c r="N239" s="1239"/>
      <c r="O239" s="1239"/>
      <c r="P239" s="1239"/>
      <c r="Q239" s="1239"/>
      <c r="R239" s="1239"/>
      <c r="S239" s="2329"/>
      <c r="T239" s="2330"/>
      <c r="U239" s="2330"/>
      <c r="V239" s="2330"/>
      <c r="W239" s="2330"/>
      <c r="X239" s="2330"/>
      <c r="Y239" s="2330"/>
      <c r="Z239" s="2330"/>
      <c r="AA239" s="2330"/>
      <c r="AB239" s="2330"/>
      <c r="AC239" s="2330"/>
      <c r="AD239" s="2330"/>
      <c r="AE239" s="2330"/>
      <c r="AF239" s="2330"/>
      <c r="AG239" s="2330"/>
      <c r="AH239" s="2330"/>
      <c r="AI239" s="2330"/>
      <c r="AJ239" s="233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8" t="s">
        <v>2284</v>
      </c>
      <c r="I241" s="2318"/>
      <c r="J241" s="2318"/>
      <c r="K241" s="1241"/>
      <c r="L241" s="1239"/>
      <c r="M241" s="1239"/>
      <c r="N241" s="1239"/>
      <c r="O241" s="1239"/>
      <c r="P241" s="1239"/>
      <c r="Q241" s="1239"/>
      <c r="R241" s="1239"/>
      <c r="S241" s="2319"/>
      <c r="T241" s="2320"/>
      <c r="U241" s="2320"/>
      <c r="V241" s="2320"/>
      <c r="W241" s="2320"/>
      <c r="X241" s="2320"/>
      <c r="Y241" s="2320"/>
      <c r="Z241" s="2320"/>
      <c r="AA241" s="2320"/>
      <c r="AB241" s="2320"/>
      <c r="AC241" s="2320"/>
      <c r="AD241" s="2320"/>
      <c r="AE241" s="2320"/>
      <c r="AF241" s="2320"/>
      <c r="AG241" s="2320"/>
      <c r="AH241" s="2320"/>
      <c r="AI241" s="2320"/>
      <c r="AJ241" s="232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8" t="s">
        <v>442</v>
      </c>
      <c r="I243" s="2318"/>
      <c r="J243" s="1241"/>
      <c r="K243" s="1241"/>
      <c r="L243" s="1239"/>
      <c r="M243" s="1239"/>
      <c r="N243" s="1239"/>
      <c r="O243" s="1239"/>
      <c r="P243" s="1239"/>
      <c r="Q243" s="1239"/>
      <c r="R243" s="1239"/>
      <c r="S243" s="2319"/>
      <c r="T243" s="2320"/>
      <c r="U243" s="2320"/>
      <c r="V243" s="2320"/>
      <c r="W243" s="2320"/>
      <c r="X243" s="2320"/>
      <c r="Y243" s="2320"/>
      <c r="Z243" s="2320"/>
      <c r="AA243" s="2320"/>
      <c r="AB243" s="2320"/>
      <c r="AC243" s="2320"/>
      <c r="AD243" s="2320"/>
      <c r="AE243" s="2320"/>
      <c r="AF243" s="2320"/>
      <c r="AG243" s="2320"/>
      <c r="AH243" s="2320"/>
      <c r="AI243" s="2320"/>
      <c r="AJ243" s="232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2" t="s">
        <v>2283</v>
      </c>
      <c r="I245" s="2322"/>
      <c r="J245" s="2322"/>
      <c r="K245" s="2322"/>
      <c r="L245" s="2322"/>
      <c r="M245" s="2322"/>
      <c r="N245" s="2322"/>
      <c r="O245" s="2322"/>
      <c r="P245" s="1239"/>
      <c r="Q245" s="1239"/>
      <c r="R245" s="1239"/>
      <c r="S245" s="2319"/>
      <c r="T245" s="2320"/>
      <c r="U245" s="2320"/>
      <c r="V245" s="2320"/>
      <c r="W245" s="2320"/>
      <c r="X245" s="2320"/>
      <c r="Y245" s="2320"/>
      <c r="Z245" s="2320"/>
      <c r="AA245" s="2320"/>
      <c r="AB245" s="2320"/>
      <c r="AC245" s="2320"/>
      <c r="AD245" s="2320"/>
      <c r="AE245" s="2320"/>
      <c r="AF245" s="2320"/>
      <c r="AG245" s="2320"/>
      <c r="AH245" s="2320"/>
      <c r="AI245" s="2320"/>
      <c r="AJ245" s="232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3" t="s">
        <v>2282</v>
      </c>
      <c r="I247" s="2323"/>
      <c r="J247" s="1239"/>
      <c r="K247" s="1239"/>
      <c r="L247" s="1239"/>
      <c r="M247" s="1239"/>
      <c r="N247" s="1239"/>
      <c r="O247" s="1239"/>
      <c r="P247" s="1239"/>
      <c r="Q247" s="1239"/>
      <c r="R247" s="1239"/>
      <c r="S247" s="2324"/>
      <c r="T247" s="2325"/>
      <c r="U247" s="2325"/>
      <c r="V247" s="2325"/>
      <c r="W247" s="2325"/>
      <c r="X247" s="2325"/>
      <c r="Y247" s="2325"/>
      <c r="Z247" s="2325"/>
      <c r="AA247" s="2325"/>
      <c r="AB247" s="2325"/>
      <c r="AC247" s="2325"/>
      <c r="AD247" s="2325"/>
      <c r="AE247" s="2325"/>
      <c r="AF247" s="2325"/>
      <c r="AG247" s="2325"/>
      <c r="AH247" s="2325"/>
      <c r="AI247" s="2325"/>
      <c r="AJ247" s="232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Y41" sqref="Y41:AH4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3" t="s">
        <v>1281</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2.9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2.95"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2.95"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2.95"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2.95" customHeight="1">
      <c r="B11" s="2344" t="s">
        <v>375</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54121129</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37830283</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2.95" customHeight="1">
      <c r="B12" s="2359" t="s">
        <v>498</v>
      </c>
      <c r="C12" s="1286"/>
      <c r="D12" s="1286"/>
      <c r="E12" s="1286"/>
      <c r="F12" s="1286"/>
      <c r="G12" s="1286"/>
      <c r="H12" s="1286"/>
      <c r="I12" s="1286"/>
      <c r="J12" s="1286"/>
      <c r="K12" s="1286"/>
      <c r="L12" s="1286"/>
      <c r="M12" s="1286"/>
      <c r="N12" s="1286"/>
      <c r="O12" s="1286"/>
      <c r="P12" s="1286"/>
      <c r="Q12" s="1286"/>
      <c r="R12" s="1286"/>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2.95" customHeight="1">
      <c r="B13" s="435"/>
      <c r="C13" s="2361" t="s">
        <v>499</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61" t="s">
        <v>500</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2.95" customHeight="1">
      <c r="B15" s="435"/>
      <c r="C15" s="2361" t="s">
        <v>501</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2.95" customHeight="1">
      <c r="B16" s="435"/>
      <c r="C16" s="2361" t="s">
        <v>806</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2.95" customHeight="1">
      <c r="B17" s="435"/>
      <c r="C17" s="2361" t="s">
        <v>502</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2.95" customHeight="1">
      <c r="A18"/>
      <c r="B18" s="1150"/>
      <c r="C18" s="1817" t="s">
        <v>961</v>
      </c>
      <c r="D18" s="1817"/>
      <c r="E18" s="1817"/>
      <c r="F18" s="1817"/>
      <c r="G18" s="1817"/>
      <c r="H18" s="1817"/>
      <c r="I18" s="1817"/>
      <c r="J18" s="1817"/>
      <c r="K18" s="1817"/>
      <c r="L18" s="1817"/>
      <c r="M18" s="1817"/>
      <c r="N18" s="1817"/>
      <c r="O18" s="1817"/>
      <c r="P18" s="1817"/>
      <c r="Q18" s="1817"/>
      <c r="R18" s="1817"/>
      <c r="S18" s="1818"/>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2.95" customHeight="1">
      <c r="B19" s="1150"/>
      <c r="C19" s="1817" t="s">
        <v>961</v>
      </c>
      <c r="D19" s="1817"/>
      <c r="E19" s="1817"/>
      <c r="F19" s="1817"/>
      <c r="G19" s="1817"/>
      <c r="H19" s="1817"/>
      <c r="I19" s="1817"/>
      <c r="J19" s="1817"/>
      <c r="K19" s="1817"/>
      <c r="L19" s="1817"/>
      <c r="M19" s="1817"/>
      <c r="N19" s="1817"/>
      <c r="O19" s="1817"/>
      <c r="P19" s="1817"/>
      <c r="Q19" s="1817"/>
      <c r="R19" s="1817"/>
      <c r="S19" s="1818"/>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2.95" customHeight="1">
      <c r="B20" s="2344" t="s">
        <v>503</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2.95" customHeight="1">
      <c r="B21" s="2344" t="s">
        <v>1264</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2.95" customHeight="1">
      <c r="B22" s="2344" t="s">
        <v>504</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2.95" customHeight="1">
      <c r="B23" s="2344" t="s">
        <v>505</v>
      </c>
      <c r="C23" s="2345"/>
      <c r="D23" s="2345"/>
      <c r="E23" s="2345"/>
      <c r="F23" s="2345"/>
      <c r="G23" s="2345"/>
      <c r="H23" s="2345"/>
      <c r="I23" s="2345"/>
      <c r="J23" s="2345"/>
      <c r="K23" s="2345"/>
      <c r="L23" s="2345"/>
      <c r="M23" s="2345"/>
      <c r="N23" s="2345"/>
      <c r="O23" s="2345"/>
      <c r="P23" s="2345"/>
      <c r="Q23" s="2345"/>
      <c r="R23" s="2345"/>
      <c r="S23" s="2346"/>
      <c r="T23" s="2337">
        <f>T11+T22</f>
        <v>54121129</v>
      </c>
      <c r="U23" s="2338"/>
      <c r="V23" s="2338"/>
      <c r="W23" s="2338"/>
      <c r="X23" s="2338"/>
      <c r="Y23" s="2337">
        <f>Y11+Y22</f>
        <v>0</v>
      </c>
      <c r="Z23" s="2338"/>
      <c r="AA23" s="2338"/>
      <c r="AB23" s="2338"/>
      <c r="AC23" s="2338"/>
      <c r="AD23" s="2337">
        <f>AD11+AD22</f>
        <v>37830283</v>
      </c>
      <c r="AE23" s="2338"/>
      <c r="AF23" s="2338"/>
      <c r="AG23" s="2338"/>
      <c r="AH23" s="2338"/>
      <c r="AI23" s="2337">
        <f>AI11+AI22</f>
        <v>0</v>
      </c>
      <c r="AJ23" s="2338"/>
      <c r="AK23" s="2338"/>
      <c r="AL23" s="2338"/>
      <c r="AM23" s="2338"/>
    </row>
    <row r="24" spans="1:40" ht="12.95" customHeight="1">
      <c r="B24" s="2344" t="s">
        <v>962</v>
      </c>
      <c r="C24" s="2345"/>
      <c r="D24" s="2345"/>
      <c r="E24" s="2345"/>
      <c r="F24" s="2345"/>
      <c r="G24" s="2345"/>
      <c r="H24" s="2345"/>
      <c r="I24" s="2345"/>
      <c r="J24" s="2345"/>
      <c r="K24" s="2345"/>
      <c r="L24" s="2345"/>
      <c r="M24" s="2345"/>
      <c r="N24" s="2345"/>
      <c r="O24" s="2345"/>
      <c r="P24" s="2345"/>
      <c r="Q24" s="2345"/>
      <c r="R24" s="2345"/>
      <c r="S24" s="2346"/>
      <c r="T24" s="2339">
        <f>Application!AJ1053</f>
        <v>290964227</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2.95" customHeight="1">
      <c r="B25" s="2348" t="s">
        <v>1265</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2.95" customHeight="1">
      <c r="B26" s="2344" t="s">
        <v>506</v>
      </c>
      <c r="C26" s="2345"/>
      <c r="D26" s="2345"/>
      <c r="E26" s="2345"/>
      <c r="F26" s="2345"/>
      <c r="G26" s="2345"/>
      <c r="H26" s="2345"/>
      <c r="I26" s="2345"/>
      <c r="J26" s="2345"/>
      <c r="K26" s="2345"/>
      <c r="L26" s="2345"/>
      <c r="M26" s="2345"/>
      <c r="N26" s="2345"/>
      <c r="O26" s="2345"/>
      <c r="P26" s="2345"/>
      <c r="Q26" s="2345"/>
      <c r="R26" s="2345"/>
      <c r="S26" s="2346"/>
      <c r="T26" s="2337">
        <f>T23*T25</f>
        <v>70357467.700000003</v>
      </c>
      <c r="U26" s="2338"/>
      <c r="V26" s="2338"/>
      <c r="W26" s="2338"/>
      <c r="X26" s="2338"/>
      <c r="Y26" s="2337">
        <f>Y23*Y25</f>
        <v>0</v>
      </c>
      <c r="Z26" s="2338"/>
      <c r="AA26" s="2338"/>
      <c r="AB26" s="2338"/>
      <c r="AC26" s="2338"/>
      <c r="AD26" s="2337">
        <f>AD23*AD25</f>
        <v>37830283</v>
      </c>
      <c r="AE26" s="2338"/>
      <c r="AF26" s="2338"/>
      <c r="AG26" s="2338"/>
      <c r="AH26" s="2338"/>
      <c r="AI26" s="2337">
        <f>AI23*AI25</f>
        <v>0</v>
      </c>
      <c r="AJ26" s="2338"/>
      <c r="AK26" s="2338"/>
      <c r="AL26" s="2338"/>
      <c r="AM26" s="2338"/>
    </row>
    <row r="27" spans="1:40" ht="12.95" customHeight="1">
      <c r="A27" s="410"/>
      <c r="B27" s="2351" t="s">
        <v>426</v>
      </c>
      <c r="C27" s="2352"/>
      <c r="D27" s="2352"/>
      <c r="E27" s="2352"/>
      <c r="F27" s="2352"/>
      <c r="G27" s="2352"/>
      <c r="H27" s="2352"/>
      <c r="I27" s="2352"/>
      <c r="J27" s="2352"/>
      <c r="K27" s="2352"/>
      <c r="L27" s="2352"/>
      <c r="M27" s="2352"/>
      <c r="N27" s="2352"/>
      <c r="O27" s="2352"/>
      <c r="P27" s="2352"/>
      <c r="Q27" s="2352"/>
      <c r="R27" s="2352"/>
      <c r="S27" s="2353"/>
      <c r="T27" s="2357">
        <f>Application!$AG$445</f>
        <v>1</v>
      </c>
      <c r="U27" s="2358"/>
      <c r="V27" s="2358"/>
      <c r="W27" s="2358"/>
      <c r="X27" s="2358"/>
      <c r="Y27" s="2357">
        <f>Application!$AG$445</f>
        <v>1</v>
      </c>
      <c r="Z27" s="2358"/>
      <c r="AA27" s="2358"/>
      <c r="AB27" s="2358"/>
      <c r="AC27" s="2358"/>
      <c r="AD27" s="2357">
        <f>Application!$AG$445</f>
        <v>1</v>
      </c>
      <c r="AE27" s="2358"/>
      <c r="AF27" s="2358"/>
      <c r="AG27" s="2358"/>
      <c r="AH27" s="2358"/>
      <c r="AI27" s="2357">
        <f>Application!$AG$445</f>
        <v>1</v>
      </c>
      <c r="AJ27" s="2358"/>
      <c r="AK27" s="2358"/>
      <c r="AL27" s="2358"/>
      <c r="AM27" s="2358"/>
    </row>
    <row r="28" spans="1:40" ht="12.95"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37">
        <f>IF(ISERROR((T26*T27)),0,(T26*T27))</f>
        <v>70357467.700000003</v>
      </c>
      <c r="U28" s="2338"/>
      <c r="V28" s="2338"/>
      <c r="W28" s="2338"/>
      <c r="X28" s="2338"/>
      <c r="Y28" s="2337">
        <f>IF(ISERROR((Y26*Y27)),0,(Y26*Y27))</f>
        <v>0</v>
      </c>
      <c r="Z28" s="2338"/>
      <c r="AA28" s="2338"/>
      <c r="AB28" s="2338"/>
      <c r="AC28" s="2338"/>
      <c r="AD28" s="2337">
        <f>IF(ISERROR((AD26*AD27)),0,(AD26*AD27))</f>
        <v>37830283</v>
      </c>
      <c r="AE28" s="2338"/>
      <c r="AF28" s="2338"/>
      <c r="AG28" s="2338"/>
      <c r="AH28" s="2338"/>
      <c r="AI28" s="2337">
        <f>IF(ISERROR((AI26*AI27)),0,(AI26*AI27))</f>
        <v>0</v>
      </c>
      <c r="AJ28" s="2338"/>
      <c r="AK28" s="2338"/>
      <c r="AL28" s="2338"/>
      <c r="AM28" s="2338"/>
    </row>
    <row r="29" spans="1:40" ht="12.95" customHeight="1">
      <c r="B29" s="2344" t="s">
        <v>524</v>
      </c>
      <c r="C29" s="2345"/>
      <c r="D29" s="2345"/>
      <c r="E29" s="2345"/>
      <c r="F29" s="2345"/>
      <c r="G29" s="2345"/>
      <c r="H29" s="2345"/>
      <c r="I29" s="2345"/>
      <c r="J29" s="2345"/>
      <c r="K29" s="2345"/>
      <c r="L29" s="2345"/>
      <c r="M29" s="2345"/>
      <c r="N29" s="2345"/>
      <c r="O29" s="2345"/>
      <c r="P29" s="2345"/>
      <c r="Q29" s="2345"/>
      <c r="R29" s="2345"/>
      <c r="S29" s="2346"/>
      <c r="T29" s="2339">
        <f>T28+Y28+AD28+AI28</f>
        <v>108187750.7</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2.95" customHeight="1">
      <c r="B30" s="2347" t="s">
        <v>1267</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2.95" customHeight="1">
      <c r="B31" s="2347" t="s">
        <v>1266</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1155</v>
      </c>
      <c r="Z35" s="2365"/>
      <c r="AA35" s="2365"/>
      <c r="AB35" s="2365"/>
      <c r="AC35" s="2365"/>
      <c r="AD35" s="2385" t="s">
        <v>369</v>
      </c>
      <c r="AE35" s="2385"/>
      <c r="AF35" s="2385"/>
      <c r="AG35" s="2385"/>
      <c r="AH35" s="2385"/>
    </row>
    <row r="36" spans="1:76" ht="12.95" customHeight="1">
      <c r="B36" s="407"/>
      <c r="X36" s="412"/>
      <c r="Y36" s="2365"/>
      <c r="Z36" s="2365"/>
      <c r="AA36" s="2365"/>
      <c r="AB36" s="2365"/>
      <c r="AC36" s="2365"/>
      <c r="AD36" s="2385"/>
      <c r="AE36" s="2385"/>
      <c r="AF36" s="2385"/>
      <c r="AG36" s="2385"/>
      <c r="AH36" s="238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2.95"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70357467.700000003</v>
      </c>
      <c r="Z38" s="2338"/>
      <c r="AA38" s="2338"/>
      <c r="AB38" s="2338"/>
      <c r="AC38" s="2338"/>
      <c r="AD38" s="2338">
        <f>IF(T24&gt;=(T23+Y23+AD23+AI23),AD28+AI28,0)</f>
        <v>37830283</v>
      </c>
      <c r="AE38" s="2338"/>
      <c r="AF38" s="2338"/>
      <c r="AG38" s="2338"/>
      <c r="AH38" s="2338"/>
    </row>
    <row r="39" spans="1:76" ht="12.95" customHeight="1">
      <c r="B39" s="2344" t="s">
        <v>1692</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2.95"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2814299</v>
      </c>
      <c r="Z40" s="2338"/>
      <c r="AA40" s="2338"/>
      <c r="AB40" s="2338"/>
      <c r="AC40" s="2338"/>
      <c r="AD40" s="2337">
        <f>ROUND(AD38*AD39,0)</f>
        <v>1513211</v>
      </c>
      <c r="AE40" s="2338"/>
      <c r="AF40" s="2338"/>
      <c r="AG40" s="2338"/>
      <c r="AH40" s="2338"/>
    </row>
    <row r="41" spans="1:76" ht="12.95"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4327510</v>
      </c>
      <c r="Z41" s="2340"/>
      <c r="AA41" s="2340"/>
      <c r="AB41" s="2340"/>
      <c r="AC41" s="2340"/>
      <c r="AD41" s="2340"/>
      <c r="AE41" s="2340"/>
      <c r="AF41" s="2340"/>
      <c r="AG41" s="2340"/>
      <c r="AH41" s="233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2" t="s">
        <v>1277</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2.95" customHeight="1" thickTop="1"/>
    <row r="46" spans="1:76" ht="12.95" customHeight="1">
      <c r="A46" s="404" t="s">
        <v>587</v>
      </c>
      <c r="C46" s="404" t="s">
        <v>282</v>
      </c>
    </row>
    <row r="47" spans="1:76" ht="12.95" customHeight="1">
      <c r="D47" s="404" t="s">
        <v>283</v>
      </c>
      <c r="AB47" s="2354">
        <f>'Sources and Uses Budget'!B105-MAX(IF('Sources and Uses Budget'!B15="",0,'Sources and Uses Budget'!B15),IF(Application!AG394="",0,Application!AG394))</f>
        <v>96878029</v>
      </c>
      <c r="AC47" s="2355"/>
      <c r="AD47" s="2355"/>
      <c r="AE47" s="2355"/>
      <c r="AF47" s="2356"/>
    </row>
    <row r="48" spans="1:76" ht="12.95" customHeight="1">
      <c r="D48" s="404" t="s">
        <v>21</v>
      </c>
      <c r="AB48" s="2354">
        <f>Application!AO639-MAX(IF('Sources and Uses Budget'!B15="",0,'Sources and Uses Budget'!B15),IF(Application!AG394="",0,Application!AG394))</f>
        <v>57501625.779325485</v>
      </c>
      <c r="AC48" s="2355"/>
      <c r="AD48" s="2355"/>
      <c r="AE48" s="2355"/>
      <c r="AF48" s="2356"/>
    </row>
    <row r="49" spans="1:76" ht="12.95" customHeight="1">
      <c r="D49" s="404" t="s">
        <v>91</v>
      </c>
      <c r="AB49" s="2354">
        <f>AB47-AB48</f>
        <v>39376403.220674515</v>
      </c>
      <c r="AC49" s="2355"/>
      <c r="AD49" s="2355"/>
      <c r="AE49" s="2355"/>
      <c r="AF49" s="2356"/>
    </row>
    <row r="50" spans="1:76" ht="12.95" customHeight="1">
      <c r="D50" s="404" t="s">
        <v>682</v>
      </c>
      <c r="AA50" s="415"/>
      <c r="AB50" s="2381">
        <v>0.90991299999999997</v>
      </c>
      <c r="AC50" s="2382"/>
      <c r="AD50" s="2382"/>
      <c r="AE50" s="2382"/>
      <c r="AF50" s="2383"/>
    </row>
    <row r="51" spans="1:76" s="417" customFormat="1" ht="12.95" customHeight="1">
      <c r="A51" s="402"/>
      <c r="B51" s="402"/>
      <c r="C51" s="402"/>
      <c r="D51" s="402"/>
      <c r="E51" s="2384" t="s">
        <v>2612</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ROUND(IF(ISERROR((AB49/AB50)),0,(AB49/AB50)),0)</f>
        <v>43274910</v>
      </c>
      <c r="AC54" s="2355"/>
      <c r="AD54" s="2355"/>
      <c r="AE54" s="2355"/>
      <c r="AF54" s="2356"/>
    </row>
    <row r="55" spans="1:76" ht="12.95" customHeight="1">
      <c r="D55" s="404" t="s">
        <v>333</v>
      </c>
      <c r="AB55" s="2354">
        <f>(AB54/10)</f>
        <v>4327491</v>
      </c>
      <c r="AC55" s="2355"/>
      <c r="AD55" s="2355"/>
      <c r="AE55" s="2355"/>
      <c r="AF55" s="2356"/>
    </row>
    <row r="56" spans="1:76" ht="12.95" customHeight="1">
      <c r="D56" s="404" t="s">
        <v>757</v>
      </c>
      <c r="AB56" s="2354">
        <f>ROUND((IF((Y41&lt;AB55),Y41,AB55)),0)</f>
        <v>4327491</v>
      </c>
      <c r="AC56" s="2355"/>
      <c r="AD56" s="2355"/>
      <c r="AE56" s="2355"/>
      <c r="AF56" s="2356"/>
    </row>
    <row r="57" spans="1:76" ht="12.95" customHeight="1">
      <c r="D57" s="404" t="s">
        <v>756</v>
      </c>
      <c r="AB57" s="2354">
        <f>ROUND((10*AB56*AB50),0)</f>
        <v>39376403</v>
      </c>
      <c r="AC57" s="2355"/>
      <c r="AD57" s="2355"/>
      <c r="AE57" s="2355"/>
      <c r="AF57" s="2356"/>
    </row>
    <row r="58" spans="1:76" ht="12.95" customHeight="1">
      <c r="D58" s="404"/>
      <c r="AB58" s="423"/>
      <c r="AC58" s="423"/>
      <c r="AD58" s="423"/>
      <c r="AE58" s="423"/>
      <c r="AF58" s="423"/>
    </row>
    <row r="59" spans="1:76" ht="12.95" customHeight="1">
      <c r="D59" s="404" t="s">
        <v>755</v>
      </c>
      <c r="AB59" s="2377">
        <f>AB49-AB57</f>
        <v>0.22067451477050781</v>
      </c>
      <c r="AC59" s="2377"/>
      <c r="AD59" s="2377"/>
      <c r="AE59" s="2377"/>
      <c r="AF59" s="2377"/>
    </row>
    <row r="60" spans="1:76" ht="12.95" customHeight="1">
      <c r="D60" s="404"/>
      <c r="AB60" s="423"/>
      <c r="AC60" s="423"/>
      <c r="AD60" s="423"/>
      <c r="AE60" s="423"/>
      <c r="AF60" s="423"/>
    </row>
    <row r="61" spans="1:76" s="204" customFormat="1" ht="12.95"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2.95" customHeight="1" thickTop="1"/>
    <row r="63" spans="1:76" ht="12.95" customHeight="1">
      <c r="A63" s="404" t="s">
        <v>590</v>
      </c>
      <c r="C63" s="205" t="s">
        <v>1249</v>
      </c>
      <c r="Y63" s="2378" t="s">
        <v>985</v>
      </c>
      <c r="Z63" s="2378"/>
      <c r="AA63" s="2378"/>
      <c r="AB63" s="2378"/>
      <c r="AC63" s="2378"/>
      <c r="AD63" s="2378" t="s">
        <v>369</v>
      </c>
      <c r="AE63" s="2378"/>
      <c r="AF63" s="2378"/>
      <c r="AG63" s="2378"/>
      <c r="AH63" s="2378"/>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79"/>
      <c r="AA64" s="2379"/>
      <c r="AB64" s="2379"/>
      <c r="AC64" s="2380"/>
      <c r="AD64" s="2339">
        <f>IF(AND(OR(Application!D211="At-Risk",Application!D211="At-Risk and Special Needs"),Application!M358="yes"),AD28+AI28,0)</f>
        <v>0</v>
      </c>
      <c r="AE64" s="2379"/>
      <c r="AF64" s="2379"/>
      <c r="AG64" s="2379"/>
      <c r="AH64" s="238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2">
        <f>IF(OR(Application!Z205="State Farmworker Credit",Application!Z205="$500M (Farmworker Housing)"),0.75,IF(Application!Z205="15% set-aside",0.13,IF(Application!Z205="15% set-aside with qualifying low value rehab",0.95,IF(Application!Z205="$500M",0.3,0))))</f>
        <v>0</v>
      </c>
      <c r="Z67" s="2392"/>
      <c r="AA67" s="2392"/>
      <c r="AB67" s="2392"/>
      <c r="AC67" s="2392"/>
      <c r="AD67" s="2392">
        <f>IF(Application!Z205="15% set-aside with qualifying low value rehab", 0.95,IF(OR(Application!D211="At-Risk",'Points System'!B13="Yes"),0.13,0))</f>
        <v>0</v>
      </c>
      <c r="AE67" s="2392"/>
      <c r="AF67" s="2392"/>
      <c r="AG67" s="2392"/>
      <c r="AH67" s="2392"/>
    </row>
    <row r="68" spans="1:36" ht="12.95" customHeight="1">
      <c r="C68" s="404"/>
      <c r="D68" s="205" t="s">
        <v>2225</v>
      </c>
      <c r="Y68" s="2338">
        <f>ROUND(Y64*Y67,0)</f>
        <v>0</v>
      </c>
      <c r="Z68" s="2393"/>
      <c r="AA68" s="2393"/>
      <c r="AB68" s="2393"/>
      <c r="AC68" s="2393"/>
      <c r="AD68" s="2338">
        <f>ROUND(AD64*AD67,0)</f>
        <v>0</v>
      </c>
      <c r="AE68" s="2393"/>
      <c r="AF68" s="2393"/>
      <c r="AG68" s="2393"/>
      <c r="AH68" s="2393"/>
    </row>
    <row r="69" spans="1:36" ht="12.95" customHeight="1">
      <c r="C69" s="404"/>
      <c r="D69" s="205" t="s">
        <v>2226</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81"/>
      <c r="AC72" s="2382"/>
      <c r="AD72" s="2382"/>
      <c r="AE72" s="2382"/>
      <c r="AF72" s="2383"/>
    </row>
    <row r="73" spans="1:36" ht="12.95" customHeight="1">
      <c r="A73" s="404"/>
      <c r="C73" s="404"/>
      <c r="D73" s="404"/>
      <c r="E73" s="2394" t="s">
        <v>1252</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6" ht="12.95"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6" ht="12.95"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7">
        <f>ROUND(IF(ISERROR((AB59/AB72)),0,(AB59/AB72)),0)</f>
        <v>0</v>
      </c>
      <c r="AC77" s="2387"/>
      <c r="AD77" s="2387"/>
      <c r="AE77" s="2387"/>
      <c r="AF77" s="2387"/>
    </row>
    <row r="78" spans="1:36" ht="12.95" customHeight="1">
      <c r="C78" s="404"/>
      <c r="D78" s="205" t="s">
        <v>1254</v>
      </c>
      <c r="AB78" s="2388">
        <f>ROUNDUP(MIN(Y69,AB77),0)</f>
        <v>0</v>
      </c>
      <c r="AC78" s="2389"/>
      <c r="AD78" s="2389"/>
      <c r="AE78" s="2389"/>
      <c r="AF78" s="2390"/>
    </row>
    <row r="79" spans="1:36" ht="12.95" customHeight="1">
      <c r="C79" s="404"/>
      <c r="D79" s="205" t="s">
        <v>1255</v>
      </c>
      <c r="AB79" s="2391">
        <f>AB78*AB72</f>
        <v>0</v>
      </c>
      <c r="AC79" s="2391"/>
      <c r="AD79" s="2391"/>
      <c r="AE79" s="2391"/>
      <c r="AF79" s="2391"/>
    </row>
    <row r="80" spans="1:36" ht="12.95" customHeight="1">
      <c r="C80" s="404"/>
      <c r="D80" s="404"/>
      <c r="AB80" s="425"/>
      <c r="AC80" s="425"/>
      <c r="AD80" s="425"/>
      <c r="AE80" s="425"/>
      <c r="AF80" s="425"/>
    </row>
    <row r="81" spans="1:78" ht="12.95" customHeight="1">
      <c r="D81" s="404" t="s">
        <v>755</v>
      </c>
      <c r="AB81" s="2377">
        <f>AB49-(AB57+AB79)</f>
        <v>0.22067451477050781</v>
      </c>
      <c r="AC81" s="2377"/>
      <c r="AD81" s="2377"/>
      <c r="AE81" s="2377"/>
      <c r="AF81" s="2377"/>
    </row>
    <row r="82" spans="1:78" ht="12.95" customHeight="1">
      <c r="F82" s="522"/>
      <c r="J82" s="522" t="str">
        <f>IF(AB81&gt;0,"FUNDING GAP MUST NOT EXCEED ZERO","")</f>
        <v>FUNDING GAP MUST NOT EXCEED ZERO</v>
      </c>
    </row>
    <row r="83" spans="1:78" ht="12.95" customHeight="1">
      <c r="D83" s="523"/>
    </row>
    <row r="84" spans="1:78" ht="12.95"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2.95" customHeight="1" thickTop="1"/>
    <row r="86" spans="1:78" ht="12.95" customHeight="1">
      <c r="A86" s="404"/>
      <c r="C86" s="205"/>
    </row>
    <row r="87" spans="1:78" ht="12.95" customHeight="1">
      <c r="D87" s="205"/>
      <c r="AB87" s="2343"/>
      <c r="AC87" s="2343"/>
      <c r="AD87" s="2343"/>
      <c r="AE87" s="2343"/>
      <c r="AF87" s="2343"/>
    </row>
    <row r="88" spans="1:78" ht="12.95"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5" t="s">
        <v>1301</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6" t="s">
        <v>1306</v>
      </c>
      <c r="AF7" s="2466"/>
      <c r="AG7" s="2466"/>
      <c r="AH7" s="2466"/>
      <c r="AI7" s="2466"/>
      <c r="AJ7" s="2466"/>
      <c r="AK7" s="246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9" t="s">
        <v>592</v>
      </c>
      <c r="C13" s="261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7"/>
      <c r="AH13" s="2627"/>
      <c r="AI13" s="2627"/>
      <c r="AJ13" s="26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9" t="s">
        <v>592</v>
      </c>
      <c r="C16" s="2619"/>
      <c r="D16" s="547"/>
      <c r="E16" s="2611" t="s">
        <v>1308</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0"/>
      <c r="AL16" s="540"/>
      <c r="AM16" s="540"/>
      <c r="AN16" s="535"/>
      <c r="AO16" s="550">
        <f>IF($B25="yes",20,0)</f>
        <v>0</v>
      </c>
      <c r="AP16" s="14"/>
    </row>
    <row r="17" spans="1:42" s="536" customFormat="1" ht="12.75" customHeight="1">
      <c r="A17" s="540"/>
      <c r="B17" s="540"/>
      <c r="C17" s="540"/>
      <c r="D17" s="551"/>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0"/>
      <c r="AL17" s="540"/>
      <c r="AM17" s="540"/>
      <c r="AN17" s="535"/>
      <c r="AO17" s="550">
        <f>IF($B28="yes",20,0)</f>
        <v>0</v>
      </c>
    </row>
    <row r="18" spans="1:42" s="536" customFormat="1" ht="12.75" customHeight="1">
      <c r="A18" s="540"/>
      <c r="B18" s="540"/>
      <c r="C18" s="540"/>
      <c r="D18" s="551"/>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9" t="s">
        <v>592</v>
      </c>
      <c r="C22" s="2619"/>
      <c r="D22" s="547"/>
      <c r="E22" s="2629" t="s">
        <v>1311</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0"/>
      <c r="AL22" s="540"/>
      <c r="AM22" s="540"/>
      <c r="AN22" s="535"/>
      <c r="AO22" s="550">
        <f>IF($B40="yes",14,0)</f>
        <v>0</v>
      </c>
    </row>
    <row r="23" spans="1:42" s="536" customFormat="1" ht="12.75" customHeight="1">
      <c r="A23" s="540"/>
      <c r="B23" s="540"/>
      <c r="C23" s="540"/>
      <c r="D23" s="550"/>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9" t="s">
        <v>592</v>
      </c>
      <c r="C25" s="2619"/>
      <c r="D25" s="547"/>
      <c r="E25" s="2546" t="s">
        <v>2034</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0"/>
      <c r="AL25" s="540"/>
      <c r="AM25" s="540"/>
      <c r="AN25" s="535"/>
      <c r="AO25" s="550">
        <f>IF($B45="yes",6,0)</f>
        <v>0</v>
      </c>
    </row>
    <row r="26" spans="1:42" s="536" customFormat="1" ht="12.75" customHeight="1">
      <c r="A26" s="540"/>
      <c r="B26" s="540"/>
      <c r="C26" s="540"/>
      <c r="D26" s="550"/>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9" t="s">
        <v>592</v>
      </c>
      <c r="C28" s="2619"/>
      <c r="D28" s="547"/>
      <c r="E28" s="2648" t="s">
        <v>2249</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9" t="s">
        <v>592</v>
      </c>
      <c r="C33" s="2619"/>
      <c r="D33" s="547"/>
      <c r="E33" s="2629" t="s">
        <v>2251</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50"/>
    </row>
    <row r="34" spans="1:41" s="536" customFormat="1" ht="12.75" customHeight="1">
      <c r="A34" s="540"/>
      <c r="B34" s="540"/>
      <c r="C34" s="540"/>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9" t="s">
        <v>592</v>
      </c>
      <c r="C36" s="2619"/>
      <c r="D36" s="547"/>
      <c r="E36" s="2546" t="s">
        <v>2252</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0"/>
      <c r="AL36" s="540"/>
      <c r="AM36" s="540"/>
      <c r="AN36" s="535"/>
    </row>
    <row r="37" spans="1:41" s="536" customFormat="1" ht="12.75" customHeight="1">
      <c r="A37" s="540"/>
      <c r="B37" s="540"/>
      <c r="C37" s="540"/>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0"/>
      <c r="AL37" s="540"/>
      <c r="AM37" s="540"/>
      <c r="AN37" s="535"/>
    </row>
    <row r="38" spans="1:41" s="536" customFormat="1" ht="12.75" customHeight="1">
      <c r="A38" s="540"/>
      <c r="B38" s="540"/>
      <c r="C38" s="540"/>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9" t="s">
        <v>592</v>
      </c>
      <c r="C40" s="2619"/>
      <c r="D40" s="547"/>
      <c r="E40" s="2546" t="s">
        <v>2250</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0"/>
      <c r="AL40" s="540"/>
      <c r="AM40" s="540"/>
      <c r="AN40" s="535"/>
    </row>
    <row r="41" spans="1:41" s="536" customFormat="1" ht="12.75" customHeight="1">
      <c r="A41" s="540"/>
      <c r="B41" s="540"/>
      <c r="C41" s="540"/>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9" t="s">
        <v>592</v>
      </c>
      <c r="C45" s="2619"/>
      <c r="D45" s="1142"/>
      <c r="E45" s="2546" t="s">
        <v>2009</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2"/>
      <c r="AL45" s="540"/>
      <c r="AM45" s="540"/>
      <c r="AN45" s="535"/>
    </row>
    <row r="46" spans="1:41" s="536" customFormat="1" ht="12.75" customHeight="1">
      <c r="A46" s="540"/>
      <c r="B46" s="540"/>
      <c r="C46" s="540"/>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0"/>
      <c r="AL46" s="540"/>
      <c r="AM46" s="540"/>
      <c r="AN46" s="535"/>
    </row>
    <row r="47" spans="1:41" s="536" customFormat="1" ht="12.75" customHeight="1">
      <c r="A47" s="540"/>
      <c r="D47" s="547"/>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9" t="s">
        <v>546</v>
      </c>
      <c r="C52" s="2619"/>
      <c r="D52" s="540"/>
      <c r="E52" s="2546" t="s">
        <v>2014</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0"/>
      <c r="AL52" s="540"/>
      <c r="AM52" s="540"/>
      <c r="AN52" s="535"/>
      <c r="AO52" s="559"/>
    </row>
    <row r="53" spans="1:50" s="536" customFormat="1" ht="12.75" customHeight="1">
      <c r="A53" s="540"/>
      <c r="D53" s="547"/>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0"/>
      <c r="AL53" s="540"/>
      <c r="AM53" s="540"/>
      <c r="AN53" s="535"/>
      <c r="AO53" s="559"/>
    </row>
    <row r="54" spans="1:50" s="536" customFormat="1" ht="12.75" customHeight="1">
      <c r="A54" s="540"/>
      <c r="D54" s="540"/>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9" t="s">
        <v>546</v>
      </c>
      <c r="C56" s="2619"/>
      <c r="D56" s="540"/>
      <c r="E56" s="2645" t="s">
        <v>2015</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9" t="s">
        <v>546</v>
      </c>
      <c r="C58" s="2619"/>
      <c r="D58" s="540"/>
      <c r="E58" s="2546" t="s">
        <v>2016</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0"/>
      <c r="AL58" s="540"/>
      <c r="AM58" s="540"/>
      <c r="AN58" s="535"/>
    </row>
    <row r="59" spans="1:50" s="536" customFormat="1" ht="12.75" customHeight="1">
      <c r="A59" s="540"/>
      <c r="B59" s="547"/>
      <c r="C59" s="547"/>
      <c r="D59" s="547"/>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92">
        <f>AO39</f>
        <v>20</v>
      </c>
      <c r="AL62" s="2593"/>
      <c r="AM62" s="259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6" t="s">
        <v>1315</v>
      </c>
      <c r="AF65" s="2466"/>
      <c r="AG65" s="2466"/>
      <c r="AH65" s="2466"/>
      <c r="AI65" s="2466"/>
      <c r="AJ65" s="2466"/>
      <c r="AK65" s="246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9" t="s">
        <v>592</v>
      </c>
      <c r="C68" s="2619"/>
      <c r="D68" s="547" t="s">
        <v>1316</v>
      </c>
      <c r="E68" s="2611" t="s">
        <v>2017</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3"/>
      <c r="AL68" s="540"/>
      <c r="AM68" s="540"/>
      <c r="AN68" s="535"/>
      <c r="AO68" s="550">
        <f>IF($B68="yes",10,0)</f>
        <v>0</v>
      </c>
    </row>
    <row r="69" spans="1:42" s="536" customFormat="1" ht="12.75" customHeight="1">
      <c r="A69" s="538"/>
      <c r="B69" s="540"/>
      <c r="C69" s="540"/>
      <c r="D69" s="551"/>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3"/>
      <c r="AL69" s="540"/>
      <c r="AM69" s="540"/>
      <c r="AN69" s="535"/>
      <c r="AO69" s="550">
        <f>IF($B74="yes",10,0)</f>
        <v>0</v>
      </c>
    </row>
    <row r="70" spans="1:42" s="536" customFormat="1" ht="12.75" customHeight="1">
      <c r="A70" s="538"/>
      <c r="B70" s="540"/>
      <c r="C70" s="540"/>
      <c r="D70" s="551"/>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3"/>
      <c r="AL70" s="540"/>
      <c r="AM70" s="540"/>
      <c r="AN70" s="535"/>
      <c r="AO70" s="550">
        <f>IF($B81="yes",10,0)</f>
        <v>0</v>
      </c>
    </row>
    <row r="71" spans="1:42" s="536" customFormat="1" ht="12.75" customHeight="1">
      <c r="A71" s="538"/>
      <c r="B71" s="540"/>
      <c r="C71" s="540"/>
      <c r="D71" s="551"/>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3"/>
      <c r="AL71" s="540"/>
      <c r="AM71" s="540"/>
      <c r="AN71" s="535"/>
      <c r="AO71" s="536">
        <f>IF(SUM(AO68:AO70)&gt;10,10,(SUM(AO68:AO70)))</f>
        <v>0</v>
      </c>
      <c r="AP71" s="574" t="s">
        <v>1317</v>
      </c>
    </row>
    <row r="72" spans="1:42" s="536" customFormat="1" ht="12.75" customHeight="1">
      <c r="A72" s="538"/>
      <c r="B72" s="540"/>
      <c r="C72" s="540"/>
      <c r="D72" s="551"/>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9" t="s">
        <v>592</v>
      </c>
      <c r="C74" s="261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4" t="s">
        <v>592</v>
      </c>
      <c r="F75" s="261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9" t="s">
        <v>592</v>
      </c>
      <c r="F76" s="264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9" t="s">
        <v>592</v>
      </c>
      <c r="F77" s="264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4" t="s">
        <v>592</v>
      </c>
      <c r="F79" s="261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9" t="s">
        <v>592</v>
      </c>
      <c r="C81" s="2619"/>
      <c r="D81" s="547" t="s">
        <v>1321</v>
      </c>
      <c r="E81" s="2546" t="s">
        <v>1741</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3"/>
      <c r="AL81" s="540"/>
      <c r="AM81" s="540"/>
      <c r="AN81" s="535"/>
    </row>
    <row r="82" spans="1:43" s="536" customFormat="1" ht="12.75" customHeight="1">
      <c r="A82" s="538"/>
      <c r="B82" s="540"/>
      <c r="C82" s="540"/>
      <c r="D82" s="550"/>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92">
        <f>IF(AK62&gt;0,0,AO71)</f>
        <v>0</v>
      </c>
      <c r="AL84" s="2593"/>
      <c r="AM84" s="259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6" t="s">
        <v>1306</v>
      </c>
      <c r="AF87" s="2466"/>
      <c r="AG87" s="2466"/>
      <c r="AH87" s="2466"/>
      <c r="AI87" s="2466"/>
      <c r="AJ87" s="2466"/>
      <c r="AK87" s="246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9" t="s">
        <v>546</v>
      </c>
      <c r="C90" s="2619"/>
      <c r="D90" s="547" t="s">
        <v>1316</v>
      </c>
      <c r="E90" s="2611" t="s">
        <v>1326</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3"/>
      <c r="AL90" s="540"/>
      <c r="AM90" s="540"/>
      <c r="AN90" s="535"/>
    </row>
    <row r="91" spans="1:43" s="536" customFormat="1" ht="12.75" customHeight="1">
      <c r="A91" s="538"/>
      <c r="B91" s="539"/>
      <c r="C91" s="539"/>
      <c r="D91" s="539"/>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7">
        <f>Application!AC753</f>
        <v>0.44934497816593877</v>
      </c>
      <c r="F93" s="2608"/>
      <c r="G93" s="2608"/>
      <c r="H93" s="260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8">
        <f>0.6-ROUNDUP(E93,2)</f>
        <v>0.14999999999999997</v>
      </c>
      <c r="F94" s="2413"/>
      <c r="G94" s="2413"/>
      <c r="H94" s="241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3">
        <f>IF(E94*200&gt;20,20,E94*200)</f>
        <v>20</v>
      </c>
      <c r="F95" s="2624"/>
      <c r="G95" s="2624"/>
      <c r="H95" s="262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9" t="s">
        <v>546</v>
      </c>
      <c r="C98" s="2619"/>
      <c r="D98" s="547" t="s">
        <v>1318</v>
      </c>
      <c r="E98" s="2611" t="s">
        <v>1726</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3"/>
      <c r="AL98" s="540"/>
      <c r="AM98" s="540"/>
      <c r="AN98" s="535"/>
    </row>
    <row r="99" spans="1:47" s="536" customFormat="1" ht="12.75" customHeight="1">
      <c r="A99" s="538"/>
      <c r="B99" s="539"/>
      <c r="C99" s="539"/>
      <c r="D99" s="539"/>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3"/>
      <c r="AL99" s="540"/>
      <c r="AM99" s="540"/>
      <c r="AN99" s="535"/>
    </row>
    <row r="100" spans="1:47" s="536" customFormat="1" ht="12.75" customHeight="1">
      <c r="A100" s="538"/>
      <c r="B100" s="539"/>
      <c r="C100" s="539"/>
      <c r="D100" s="539"/>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3"/>
      <c r="AL100" s="540"/>
      <c r="AM100" s="540"/>
      <c r="AN100" s="535"/>
    </row>
    <row r="101" spans="1:47" s="536" customFormat="1" ht="12.75" customHeight="1">
      <c r="A101" s="538"/>
      <c r="B101" s="539"/>
      <c r="C101" s="539"/>
      <c r="D101" s="539"/>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7">
        <f>Application!AC753</f>
        <v>0.44934497816593877</v>
      </c>
      <c r="F103" s="2608"/>
      <c r="G103" s="2608"/>
      <c r="H103" s="260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7">
        <f ca="1">SUMIF(Application!AC718:AG752,0.2,Application!G718:J752)/Application!G753+SUMIF(Application!AC718:AG752,0.25,Application!G718:J752)/Application!G753+SUMIF(Application!AC718:AG752,0.3,Application!G718:J752)/Application!G753</f>
        <v>0.50218340611353707</v>
      </c>
      <c r="F104" s="2608"/>
      <c r="G104" s="2608"/>
      <c r="H104" s="260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7">
        <f ca="1">SUMIF(Application!AC718:AG752,0.35,Application!G718:J752)/Application!G753+SUMIF(Application!AC718:AG752,0.4,Application!G718:J752)/Application!G753+SUMIF(Application!AC718:AG752,0.45,Application!G718:J752)/Application!G753+SUMIF(Application!AC718:AG752,0.5,Application!G718:J752)/Application!G753</f>
        <v>0</v>
      </c>
      <c r="F105" s="2608"/>
      <c r="G105" s="2608"/>
      <c r="H105" s="260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5">
        <f ca="1">IF(AND(E103&lt;=0.6,OR(AND(E104&gt;=0.1,E105&gt;=0.1),AND(E104&gt;0.1,(E104+E105)&gt;=0.2))),20,0)</f>
        <v>20</v>
      </c>
      <c r="F106" s="2606"/>
      <c r="G106" s="2606"/>
      <c r="H106" s="260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92">
        <f ca="1">MAX(AP95,AP106)</f>
        <v>20</v>
      </c>
      <c r="AL109" s="2593"/>
      <c r="AM109" s="259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6" t="s">
        <v>1315</v>
      </c>
      <c r="AF112" s="2466"/>
      <c r="AG112" s="2466"/>
      <c r="AH112" s="2466"/>
      <c r="AI112" s="2466"/>
      <c r="AJ112" s="2466"/>
      <c r="AK112" s="2466"/>
      <c r="AL112" s="540"/>
      <c r="AM112" s="540"/>
      <c r="AN112" s="535"/>
      <c r="AO112" s="536" t="str">
        <f>Application!B718</f>
        <v>SRO/Studio</v>
      </c>
      <c r="AQ112" s="536">
        <f>Application!O718</f>
        <v>839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1678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898</v>
      </c>
    </row>
    <row r="115" spans="1:52" s="536" customFormat="1" ht="12.75" customHeight="1">
      <c r="A115" s="540"/>
      <c r="B115" s="2619" t="s">
        <v>546</v>
      </c>
      <c r="C115" s="2619"/>
      <c r="D115" s="547" t="s">
        <v>1316</v>
      </c>
      <c r="E115" s="2611" t="s">
        <v>1858</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0"/>
      <c r="AL115" s="540"/>
      <c r="AM115" s="540"/>
      <c r="AN115" s="535"/>
      <c r="AO115" s="536" t="str">
        <f>Application!B721</f>
        <v>1 Bedroom</v>
      </c>
      <c r="AQ115" s="536">
        <f>Application!O721</f>
        <v>1797</v>
      </c>
      <c r="AU115" s="536" t="s">
        <v>1841</v>
      </c>
      <c r="AV115" s="595" t="s">
        <v>1842</v>
      </c>
      <c r="AW115" s="536" t="s">
        <v>1843</v>
      </c>
    </row>
    <row r="116" spans="1:52" s="536" customFormat="1" ht="12.75" customHeight="1">
      <c r="A116" s="540"/>
      <c r="B116" s="539"/>
      <c r="C116" s="539"/>
      <c r="D116" s="539"/>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0"/>
      <c r="AL116" s="540"/>
      <c r="AM116" s="540"/>
      <c r="AN116" s="535"/>
      <c r="AO116" s="536" t="str">
        <f>Application!B722</f>
        <v>2 Bedrooms</v>
      </c>
      <c r="AQ116" s="536">
        <f>Application!O722</f>
        <v>1078</v>
      </c>
      <c r="AU116" s="856" t="str">
        <f>E124</f>
        <v>Studio/SRO</v>
      </c>
      <c r="AV116" s="536">
        <f t="array" ref="AV116">SUM(IF(Application!B718:F752="SRO/Studio",Application!G718:J752))</f>
        <v>33</v>
      </c>
      <c r="AW116" s="1011">
        <f>AV116/AV122</f>
        <v>0.14410480349344978</v>
      </c>
    </row>
    <row r="117" spans="1:52" s="536" customFormat="1" ht="12.75" customHeight="1">
      <c r="A117" s="540"/>
      <c r="B117" s="539"/>
      <c r="C117" s="539"/>
      <c r="D117" s="539"/>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0"/>
      <c r="AL117" s="540"/>
      <c r="AM117" s="540"/>
      <c r="AN117" s="535"/>
      <c r="AO117" s="536" t="str">
        <f>Application!B723</f>
        <v>2 Bedrooms</v>
      </c>
      <c r="AQ117" s="536">
        <f>Application!O723</f>
        <v>2157</v>
      </c>
      <c r="AU117" s="856" t="str">
        <f>J124</f>
        <v>1-bedroom</v>
      </c>
      <c r="AV117" s="536">
        <f t="array" ref="AV117">SUM(IF(Application!B718:F752="1 Bedroom",Application!G718:J752))</f>
        <v>66</v>
      </c>
      <c r="AW117" s="1011">
        <f>AV117/AV122</f>
        <v>0.28820960698689957</v>
      </c>
    </row>
    <row r="118" spans="1:52" s="536" customFormat="1" ht="12.75" customHeight="1">
      <c r="A118" s="540"/>
      <c r="B118" s="539"/>
      <c r="C118" s="539"/>
      <c r="D118" s="539"/>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0"/>
      <c r="AL118" s="540"/>
      <c r="AM118" s="540"/>
      <c r="AN118" s="535"/>
      <c r="AO118" s="536">
        <f>Application!B724</f>
        <v>0</v>
      </c>
      <c r="AQ118" s="536">
        <f>Application!O724</f>
        <v>0</v>
      </c>
      <c r="AU118" s="856" t="str">
        <f>O124</f>
        <v>2-bedroom</v>
      </c>
      <c r="AV118" s="536">
        <f t="array" ref="AV118">SUM(IF(Application!B718:F752="2 Bedrooms",Application!G718:J752))</f>
        <v>130</v>
      </c>
      <c r="AW118" s="1011">
        <f>AV118/AV122</f>
        <v>0.56768558951965065</v>
      </c>
    </row>
    <row r="119" spans="1:52" s="536" customFormat="1" ht="12.75" customHeight="1">
      <c r="A119" s="540"/>
      <c r="B119" s="539"/>
      <c r="C119" s="539"/>
      <c r="D119" s="539"/>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0"/>
      <c r="AL122" s="540"/>
      <c r="AM122" s="540"/>
      <c r="AN122" s="535"/>
      <c r="AO122" s="536">
        <f>Application!B728</f>
        <v>0</v>
      </c>
      <c r="AQ122" s="536">
        <f>Application!O728</f>
        <v>0</v>
      </c>
      <c r="AV122" s="536">
        <f>SUM(AV116:AV121)</f>
        <v>229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7" t="s">
        <v>1589</v>
      </c>
      <c r="F124" s="2608"/>
      <c r="G124" s="2608"/>
      <c r="H124" s="2608"/>
      <c r="I124" s="577"/>
      <c r="J124" s="2608" t="s">
        <v>1632</v>
      </c>
      <c r="K124" s="2608"/>
      <c r="L124" s="2608"/>
      <c r="M124" s="2608"/>
      <c r="N124" s="577"/>
      <c r="O124" s="2608" t="s">
        <v>1633</v>
      </c>
      <c r="P124" s="2608"/>
      <c r="Q124" s="2608"/>
      <c r="R124" s="2608"/>
      <c r="S124" s="577"/>
      <c r="T124" s="2608" t="s">
        <v>1335</v>
      </c>
      <c r="U124" s="2608"/>
      <c r="V124" s="2608"/>
      <c r="W124" s="2608"/>
      <c r="X124" s="577"/>
      <c r="Y124" s="2608" t="s">
        <v>1634</v>
      </c>
      <c r="Z124" s="2608"/>
      <c r="AA124" s="2608"/>
      <c r="AB124" s="2608"/>
      <c r="AC124" s="577"/>
      <c r="AD124" s="2608" t="s">
        <v>1635</v>
      </c>
      <c r="AE124" s="2608"/>
      <c r="AF124" s="2608"/>
      <c r="AG124" s="260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9">
        <v>2081</v>
      </c>
      <c r="F127" s="2610"/>
      <c r="G127" s="2610"/>
      <c r="H127" s="2610"/>
      <c r="I127" s="864"/>
      <c r="J127" s="2610">
        <v>2842</v>
      </c>
      <c r="K127" s="2610"/>
      <c r="L127" s="2610"/>
      <c r="M127" s="2610"/>
      <c r="N127" s="864"/>
      <c r="O127" s="2610">
        <v>3446</v>
      </c>
      <c r="P127" s="2610"/>
      <c r="Q127" s="2610"/>
      <c r="R127" s="2610"/>
      <c r="S127" s="864"/>
      <c r="T127" s="2610"/>
      <c r="U127" s="2610"/>
      <c r="V127" s="2610"/>
      <c r="W127" s="2610"/>
      <c r="X127" s="864"/>
      <c r="Y127" s="2610"/>
      <c r="Z127" s="2610"/>
      <c r="AA127" s="2610"/>
      <c r="AB127" s="2610"/>
      <c r="AC127" s="864"/>
      <c r="AD127" s="2610"/>
      <c r="AE127" s="2610"/>
      <c r="AF127" s="2610"/>
      <c r="AG127" s="261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7">
        <f>Application!DX670</f>
        <v>1245.7878787878788</v>
      </c>
      <c r="F130" s="2618"/>
      <c r="G130" s="2618"/>
      <c r="H130" s="2618"/>
      <c r="I130" s="864"/>
      <c r="J130" s="2618">
        <f>Application!EC670</f>
        <v>1347.5</v>
      </c>
      <c r="K130" s="2618"/>
      <c r="L130" s="2618"/>
      <c r="M130" s="2618"/>
      <c r="N130" s="864"/>
      <c r="O130" s="2618">
        <f>Application!EH670</f>
        <v>1617.5</v>
      </c>
      <c r="P130" s="2618"/>
      <c r="Q130" s="2618"/>
      <c r="R130" s="2618"/>
      <c r="S130" s="868"/>
      <c r="T130" s="2618">
        <f>Application!EM670</f>
        <v>0</v>
      </c>
      <c r="U130" s="2618"/>
      <c r="V130" s="2618"/>
      <c r="W130" s="2618"/>
      <c r="X130" s="868"/>
      <c r="Y130" s="2618">
        <f>Application!ER670</f>
        <v>0</v>
      </c>
      <c r="Z130" s="2618"/>
      <c r="AA130" s="2618"/>
      <c r="AB130" s="2618"/>
      <c r="AC130" s="868"/>
      <c r="AD130" s="2618">
        <f>Application!EW670</f>
        <v>0</v>
      </c>
      <c r="AE130" s="2618"/>
      <c r="AF130" s="2618"/>
      <c r="AG130" s="261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2">
        <f>(E127-E130)/E127</f>
        <v>0.40135133167329229</v>
      </c>
      <c r="F133" s="2413"/>
      <c r="G133" s="2413"/>
      <c r="H133" s="2414"/>
      <c r="I133" s="577"/>
      <c r="J133" s="2412">
        <f>(J127-J130)/J127</f>
        <v>0.52586206896551724</v>
      </c>
      <c r="K133" s="2413"/>
      <c r="L133" s="2413"/>
      <c r="M133" s="2414"/>
      <c r="N133" s="577"/>
      <c r="O133" s="2412">
        <f>(O127-O130)/O127</f>
        <v>0.53061520603598378</v>
      </c>
      <c r="P133" s="2413"/>
      <c r="Q133" s="2413"/>
      <c r="R133" s="2414"/>
      <c r="S133" s="577"/>
      <c r="T133" s="2412" t="e">
        <f>(T127-T130)/T127</f>
        <v>#DIV/0!</v>
      </c>
      <c r="U133" s="2413"/>
      <c r="V133" s="2413"/>
      <c r="W133" s="2414"/>
      <c r="X133" s="577"/>
      <c r="Y133" s="2412" t="e">
        <f>(Y127-Y130)/Y127</f>
        <v>#DIV/0!</v>
      </c>
      <c r="Z133" s="2413"/>
      <c r="AA133" s="2413"/>
      <c r="AB133" s="2414"/>
      <c r="AC133" s="577"/>
      <c r="AD133" s="2412" t="e">
        <f>(AD127-AD130)/AD127</f>
        <v>#DIV/0!</v>
      </c>
      <c r="AE133" s="2413"/>
      <c r="AF133" s="2413"/>
      <c r="AG133" s="241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0">
        <f>IF(((E133-0.1)*AW116)&gt;0,((E133-0.1)*AW116),0)</f>
        <v>4.3426174433269196E-2</v>
      </c>
      <c r="F136" s="2621"/>
      <c r="G136" s="2621"/>
      <c r="H136" s="2622"/>
      <c r="I136" s="577"/>
      <c r="J136" s="2620">
        <f>IF(((J133-0.1)*AW117)&gt;0,((J133-0.1)*AW117),0)</f>
        <v>0.12273753952717965</v>
      </c>
      <c r="K136" s="2621"/>
      <c r="L136" s="2621"/>
      <c r="M136" s="2622"/>
      <c r="N136" s="577"/>
      <c r="O136" s="2620">
        <f>IF(((O133-0.1)*AW118)&gt;0,((O133-0.1)*AW118),0)</f>
        <v>0.24445404709466328</v>
      </c>
      <c r="P136" s="2621"/>
      <c r="Q136" s="2621"/>
      <c r="R136" s="2622"/>
      <c r="S136" s="577"/>
      <c r="T136" s="2620" t="e">
        <f>IF(((T133-0.1)*AW119)&gt;0,((T133-0.1)*AW119),0)</f>
        <v>#DIV/0!</v>
      </c>
      <c r="U136" s="2621"/>
      <c r="V136" s="2621"/>
      <c r="W136" s="2622"/>
      <c r="X136" s="577"/>
      <c r="Y136" s="2620" t="e">
        <f>IF(((Y133-0.1)*AW120)&gt;0,((Y133-0.1)*AW120),0)</f>
        <v>#DIV/0!</v>
      </c>
      <c r="Z136" s="2621"/>
      <c r="AA136" s="2621"/>
      <c r="AB136" s="2622"/>
      <c r="AC136" s="577"/>
      <c r="AD136" s="2620" t="e">
        <f>IF(((AD133-0.1)*AW121)&gt;0,((AD133-0.1)*AW121),0)</f>
        <v>#DIV/0!</v>
      </c>
      <c r="AE136" s="2621"/>
      <c r="AF136" s="2621"/>
      <c r="AG136" s="262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2">
        <f>ROUNDDOWN(SUMIF(E136:AG136,"&gt;0"),2)</f>
        <v>0.41</v>
      </c>
      <c r="F138" s="2413"/>
      <c r="G138" s="2413"/>
      <c r="H138" s="2414"/>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2">
        <f>IF((E138*100)&gt;10,10,E138*100)</f>
        <v>10</v>
      </c>
      <c r="F139" s="2593"/>
      <c r="G139" s="2593"/>
      <c r="H139" s="259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92">
        <f>E139</f>
        <v>10</v>
      </c>
      <c r="AL143" s="2593"/>
      <c r="AM143" s="259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6" t="s">
        <v>1315</v>
      </c>
      <c r="AF146" s="2466"/>
      <c r="AG146" s="2466"/>
      <c r="AH146" s="2466"/>
      <c r="AI146" s="2466"/>
      <c r="AJ146" s="2466"/>
      <c r="AK146" s="246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6" t="s">
        <v>1339</v>
      </c>
      <c r="AG148" s="2526"/>
      <c r="AH148" s="2526"/>
      <c r="AI148" s="2526"/>
      <c r="AJ148" s="2526"/>
      <c r="AK148" s="2526"/>
      <c r="AL148" s="252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6" t="s">
        <v>2692</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7" t="s">
        <v>1342</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8" t="s">
        <v>592</v>
      </c>
      <c r="AC155" s="239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7" t="s">
        <v>1344</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5" t="s">
        <v>2476</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80"/>
      <c r="AM161" s="539"/>
      <c r="AN161" s="535"/>
      <c r="AO161" s="476"/>
      <c r="AP161" s="489"/>
    </row>
    <row r="162" spans="1:42" s="536"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80"/>
      <c r="AM162" s="539"/>
      <c r="AN162" s="535"/>
      <c r="AO162" s="476"/>
      <c r="AP162" s="489"/>
    </row>
    <row r="163" spans="1:42" s="536" customFormat="1" ht="12.75" customHeight="1">
      <c r="C163" s="2396" t="s">
        <v>2477</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80"/>
      <c r="AM163" s="539"/>
      <c r="AN163" s="535"/>
      <c r="AO163" s="476"/>
      <c r="AP163" s="489"/>
    </row>
    <row r="164" spans="1:42" s="536" customFormat="1" ht="12.75" customHeight="1">
      <c r="B164" s="1180"/>
      <c r="C164" s="2397" t="s">
        <v>2475</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70"/>
      <c r="AB164" s="1170"/>
      <c r="AC164" s="1170"/>
      <c r="AD164" s="1170"/>
      <c r="AE164" s="1170"/>
      <c r="AF164" s="1170"/>
      <c r="AG164" s="1170"/>
      <c r="AH164" s="1170"/>
      <c r="AJ164" s="2398" t="s">
        <v>592</v>
      </c>
      <c r="AK164" s="239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6" t="s">
        <v>1353</v>
      </c>
      <c r="AG168" s="2526"/>
      <c r="AH168" s="2526"/>
      <c r="AI168" s="2526"/>
      <c r="AJ168" s="2526"/>
      <c r="AK168" s="2526"/>
      <c r="AL168" s="252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7" t="s">
        <v>1351</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8" t="s">
        <v>592</v>
      </c>
      <c r="AG172" s="239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7" t="s">
        <v>1344</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8" t="str">
        <f>Application!AA335</f>
        <v>RA Management, LLC</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92">
        <f>$AJ$166+$AJ$180</f>
        <v>10</v>
      </c>
      <c r="AL183" s="2593"/>
      <c r="AM183" s="259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6" t="s">
        <v>1315</v>
      </c>
      <c r="AF186" s="2466"/>
      <c r="AG186" s="2466"/>
      <c r="AH186" s="2466"/>
      <c r="AI186" s="2466"/>
      <c r="AJ186" s="2466"/>
      <c r="AK186" s="246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5" t="s">
        <v>1361</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6"/>
      <c r="AE188" s="536"/>
      <c r="AF188" s="2526" t="s">
        <v>1364</v>
      </c>
      <c r="AG188" s="2526"/>
      <c r="AH188" s="2526"/>
      <c r="AI188" s="2526"/>
      <c r="AJ188" s="2526"/>
      <c r="AK188" s="2526"/>
      <c r="AL188" s="2526"/>
      <c r="AN188" s="597"/>
      <c r="AP188" s="550" t="s">
        <v>1044</v>
      </c>
      <c r="AQ188" s="550">
        <v>10</v>
      </c>
    </row>
    <row r="189" spans="1:73" s="550" customFormat="1" ht="12.75" customHeight="1">
      <c r="A189" s="536"/>
      <c r="B189" s="2397" t="s">
        <v>1727</v>
      </c>
      <c r="C189" s="2397"/>
      <c r="D189" s="2397"/>
      <c r="E189" s="2397"/>
      <c r="F189" s="2397"/>
      <c r="G189" s="2397"/>
      <c r="H189" s="2397"/>
      <c r="I189" s="2397"/>
      <c r="J189" s="2397"/>
      <c r="K189" s="2397"/>
      <c r="L189" s="2397"/>
      <c r="M189" s="2397"/>
      <c r="N189" s="2397"/>
      <c r="O189" s="2397"/>
      <c r="P189" s="2397"/>
      <c r="Q189" s="2397"/>
      <c r="R189" s="2397"/>
      <c r="S189" s="2397"/>
      <c r="T189" s="2596" t="s">
        <v>592</v>
      </c>
      <c r="U189" s="2596"/>
      <c r="V189" s="2596"/>
      <c r="W189" s="2596"/>
      <c r="X189" s="2596"/>
      <c r="Y189" s="2596"/>
      <c r="Z189" s="2596"/>
      <c r="AA189" s="2596"/>
      <c r="AB189" s="2596"/>
      <c r="AC189" s="259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3">
        <f>IF(AK84&gt;0,VLOOKUP($B$188,AP185:AQ191,2,FALSE),0)</f>
        <v>0</v>
      </c>
      <c r="AL191" s="2434"/>
      <c r="AM191" s="243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6" t="s">
        <v>1373</v>
      </c>
      <c r="AF194" s="2466"/>
      <c r="AG194" s="2466"/>
      <c r="AH194" s="2466"/>
      <c r="AI194" s="2466"/>
      <c r="AJ194" s="2466"/>
      <c r="AK194" s="246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9"/>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6"/>
      <c r="AD199" s="2579"/>
      <c r="AE199" s="2579"/>
      <c r="AF199" s="2579"/>
      <c r="AG199" s="2579"/>
      <c r="AH199" s="2579"/>
      <c r="AI199" s="2579"/>
      <c r="AJ199" s="2579"/>
      <c r="AK199" s="610"/>
    </row>
    <row r="200" spans="1:40">
      <c r="A200" s="605"/>
      <c r="B200" s="2589"/>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6"/>
      <c r="AD200" s="2579"/>
      <c r="AE200" s="2579"/>
      <c r="AF200" s="2579"/>
      <c r="AG200" s="2579"/>
      <c r="AH200" s="2579"/>
      <c r="AI200" s="2579"/>
      <c r="AJ200" s="2579"/>
      <c r="AK200" s="610"/>
    </row>
    <row r="201" spans="1:40">
      <c r="A201" s="605"/>
      <c r="B201" s="2589"/>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6"/>
      <c r="AD201" s="2579"/>
      <c r="AE201" s="2579"/>
      <c r="AF201" s="2579"/>
      <c r="AG201" s="2579"/>
      <c r="AH201" s="2579"/>
      <c r="AI201" s="2579"/>
      <c r="AJ201" s="2579"/>
      <c r="AK201" s="610"/>
    </row>
    <row r="202" spans="1:40">
      <c r="A202" s="605"/>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6"/>
      <c r="AD202" s="2579"/>
      <c r="AE202" s="2579"/>
      <c r="AF202" s="2579"/>
      <c r="AG202" s="2579"/>
      <c r="AH202" s="2579"/>
      <c r="AI202" s="2579"/>
      <c r="AJ202" s="2579"/>
      <c r="AK202" s="610"/>
    </row>
    <row r="203" spans="1:40">
      <c r="A203" s="605"/>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6"/>
      <c r="AD203" s="2579"/>
      <c r="AE203" s="2579"/>
      <c r="AF203" s="2579"/>
      <c r="AG203" s="2579"/>
      <c r="AH203" s="2579"/>
      <c r="AI203" s="2579"/>
      <c r="AJ203" s="2579"/>
      <c r="AK203" s="610"/>
    </row>
    <row r="204" spans="1:40">
      <c r="A204" s="605"/>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6"/>
      <c r="AD204" s="2579"/>
      <c r="AE204" s="2579"/>
      <c r="AF204" s="2579"/>
      <c r="AG204" s="2579"/>
      <c r="AH204" s="2579"/>
      <c r="AI204" s="2579"/>
      <c r="AJ204" s="2579"/>
      <c r="AK204" s="610"/>
    </row>
    <row r="205" spans="1:40">
      <c r="A205" s="605"/>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6"/>
      <c r="AD205" s="2579"/>
      <c r="AE205" s="2579"/>
      <c r="AF205" s="2579"/>
      <c r="AG205" s="2579"/>
      <c r="AH205" s="2579"/>
      <c r="AI205" s="2579"/>
      <c r="AJ205" s="2579"/>
      <c r="AK205" s="610"/>
    </row>
    <row r="206" spans="1:40">
      <c r="A206" s="605"/>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6"/>
      <c r="AD206" s="2579"/>
      <c r="AE206" s="2579"/>
      <c r="AF206" s="2579"/>
      <c r="AG206" s="2579"/>
      <c r="AH206" s="2579"/>
      <c r="AI206" s="2579"/>
      <c r="AJ206" s="2579"/>
      <c r="AK206" s="610"/>
    </row>
    <row r="207" spans="1:40">
      <c r="A207" s="605"/>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6"/>
      <c r="AD207" s="2579"/>
      <c r="AE207" s="2579"/>
      <c r="AF207" s="2579"/>
      <c r="AG207" s="2579"/>
      <c r="AH207" s="2579"/>
      <c r="AI207" s="2579"/>
      <c r="AJ207" s="2579"/>
      <c r="AK207" s="610"/>
    </row>
    <row r="208" spans="1:40">
      <c r="A208" s="605"/>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6"/>
      <c r="AD208" s="2579"/>
      <c r="AE208" s="2579"/>
      <c r="AF208" s="2579"/>
      <c r="AG208" s="2579"/>
      <c r="AH208" s="2579"/>
      <c r="AI208" s="2579"/>
      <c r="AJ208" s="2579"/>
      <c r="AK208" s="610"/>
    </row>
    <row r="209" spans="1:37">
      <c r="A209" s="605"/>
      <c r="B209" s="2604" t="s">
        <v>1628</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6"/>
      <c r="AD209" s="2577">
        <f>AB260</f>
        <v>49957913.246933378</v>
      </c>
      <c r="AE209" s="2577"/>
      <c r="AF209" s="2577"/>
      <c r="AG209" s="2577"/>
      <c r="AH209" s="2577"/>
      <c r="AI209" s="2577"/>
      <c r="AJ209" s="2577"/>
      <c r="AK209" s="610"/>
    </row>
    <row r="210" spans="1:37">
      <c r="A210" s="605"/>
      <c r="B210" s="2451" t="s">
        <v>1591</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6"/>
      <c r="AD210" s="2578">
        <f>'Sources and Uses Budget'!B15</f>
        <v>0</v>
      </c>
      <c r="AE210" s="2578"/>
      <c r="AF210" s="2578"/>
      <c r="AG210" s="2578"/>
      <c r="AH210" s="2578"/>
      <c r="AI210" s="2578"/>
      <c r="AJ210" s="257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3">
        <f>SUM(AD199:AJ209)-AD210</f>
        <v>49957913.246933378</v>
      </c>
      <c r="AE211" s="2583"/>
      <c r="AF211" s="2583"/>
      <c r="AG211" s="2583"/>
      <c r="AH211" s="2583"/>
      <c r="AI211" s="2583"/>
      <c r="AJ211" s="25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2" t="s">
        <v>1608</v>
      </c>
      <c r="J222" s="2602"/>
      <c r="K222" s="2602"/>
      <c r="L222" s="536"/>
      <c r="M222" s="536"/>
      <c r="N222" s="536"/>
      <c r="O222" s="536"/>
      <c r="P222" s="536"/>
      <c r="Q222" s="536"/>
      <c r="R222" s="536"/>
      <c r="S222" s="536"/>
      <c r="T222" s="2417" t="s">
        <v>1602</v>
      </c>
      <c r="U222" s="2417"/>
      <c r="V222" s="2417"/>
      <c r="W222" s="2417"/>
      <c r="X222" s="2417"/>
      <c r="Y222" s="2417"/>
      <c r="Z222" s="849"/>
      <c r="AA222" s="489"/>
      <c r="AB222" s="2599" t="s">
        <v>1603</v>
      </c>
      <c r="AC222" s="2599"/>
      <c r="AD222" s="2599"/>
      <c r="AE222" s="2599"/>
      <c r="AF222" s="2599"/>
      <c r="AG222" s="2599"/>
      <c r="AH222" s="827"/>
      <c r="AI222" s="827"/>
      <c r="AJ222" s="827"/>
      <c r="AK222" s="610"/>
    </row>
    <row r="223" spans="1:37">
      <c r="A223" s="605"/>
      <c r="B223" s="2600" t="s">
        <v>1588</v>
      </c>
      <c r="C223" s="2600"/>
      <c r="D223" s="2600"/>
      <c r="E223" s="2600"/>
      <c r="F223" s="2600"/>
      <c r="G223" s="2600"/>
      <c r="I223" s="2601" t="s">
        <v>1609</v>
      </c>
      <c r="J223" s="2601"/>
      <c r="K223" s="2601"/>
      <c r="L223" s="1008"/>
      <c r="N223" s="2452" t="s">
        <v>1604</v>
      </c>
      <c r="O223" s="2452"/>
      <c r="P223" s="2452"/>
      <c r="Q223" s="2452"/>
      <c r="R223" s="2452"/>
      <c r="T223" s="2452" t="s">
        <v>1605</v>
      </c>
      <c r="U223" s="2452"/>
      <c r="V223" s="2452"/>
      <c r="W223" s="2452"/>
      <c r="X223" s="2452"/>
      <c r="Y223" s="2452"/>
      <c r="Z223" s="850"/>
      <c r="AA223" s="489"/>
      <c r="AB223" s="2467" t="s">
        <v>1606</v>
      </c>
      <c r="AC223" s="2467"/>
      <c r="AD223" s="2467"/>
      <c r="AE223" s="2467"/>
      <c r="AF223" s="2467"/>
      <c r="AG223" s="2467"/>
      <c r="AH223" s="827"/>
      <c r="AI223" s="827"/>
      <c r="AJ223" s="827"/>
      <c r="AK223" s="610"/>
    </row>
    <row r="224" spans="1:37">
      <c r="A224" s="605"/>
      <c r="B224" s="2468" t="s">
        <v>324</v>
      </c>
      <c r="C224" s="2468"/>
      <c r="D224" s="2468"/>
      <c r="E224" s="2468"/>
      <c r="F224" s="2468"/>
      <c r="G224" s="2468"/>
      <c r="H224" s="852"/>
      <c r="I224" s="2421">
        <f>Application!G718</f>
        <v>17</v>
      </c>
      <c r="J224" s="2421"/>
      <c r="K224" s="2421"/>
      <c r="L224" s="1008"/>
      <c r="N224" s="2419">
        <f>Application!O718</f>
        <v>839</v>
      </c>
      <c r="O224" s="2419"/>
      <c r="P224" s="2419"/>
      <c r="Q224" s="2419"/>
      <c r="R224" s="2419"/>
      <c r="T224" s="2418">
        <f>'Subsidy Contract Calculation'!F4</f>
        <v>2550</v>
      </c>
      <c r="U224" s="2418"/>
      <c r="V224" s="2418"/>
      <c r="W224" s="2418"/>
      <c r="X224" s="2418"/>
      <c r="Y224" s="2418"/>
      <c r="Z224" s="851"/>
      <c r="AA224" s="851"/>
      <c r="AB224" s="2416">
        <f t="shared" ref="AB224:AB233" si="0">MAX(($T224-$N224)*$I224*12,0)</f>
        <v>349044</v>
      </c>
      <c r="AC224" s="2416"/>
      <c r="AD224" s="2416"/>
      <c r="AE224" s="2416"/>
      <c r="AF224" s="2416"/>
      <c r="AG224" s="2416"/>
      <c r="AH224" s="827"/>
      <c r="AI224" s="827"/>
      <c r="AJ224" s="827"/>
      <c r="AK224" s="610"/>
    </row>
    <row r="225" spans="1:37">
      <c r="A225" s="605"/>
      <c r="B225" s="2468" t="s">
        <v>324</v>
      </c>
      <c r="C225" s="2468"/>
      <c r="D225" s="2468"/>
      <c r="E225" s="2468"/>
      <c r="F225" s="2468"/>
      <c r="G225" s="2468"/>
      <c r="I225" s="2421">
        <f>Application!G719</f>
        <v>16</v>
      </c>
      <c r="J225" s="2421"/>
      <c r="K225" s="2421"/>
      <c r="L225" s="1008"/>
      <c r="N225" s="2419">
        <f>Application!O719</f>
        <v>1678</v>
      </c>
      <c r="O225" s="2419"/>
      <c r="P225" s="2419"/>
      <c r="Q225" s="2419"/>
      <c r="R225" s="2419"/>
      <c r="T225" s="2418">
        <f>'Subsidy Contract Calculation'!F5</f>
        <v>2550</v>
      </c>
      <c r="U225" s="2418"/>
      <c r="V225" s="2418"/>
      <c r="W225" s="2418"/>
      <c r="X225" s="2418"/>
      <c r="Y225" s="2418"/>
      <c r="Z225" s="851"/>
      <c r="AA225" s="851"/>
      <c r="AB225" s="2416">
        <f t="shared" si="0"/>
        <v>167424</v>
      </c>
      <c r="AC225" s="2416"/>
      <c r="AD225" s="2416"/>
      <c r="AE225" s="2416"/>
      <c r="AF225" s="2416"/>
      <c r="AG225" s="2416"/>
      <c r="AH225" s="827"/>
      <c r="AI225" s="827"/>
      <c r="AJ225" s="827"/>
      <c r="AK225" s="610"/>
    </row>
    <row r="226" spans="1:37">
      <c r="A226" s="605"/>
      <c r="B226" s="2468" t="s">
        <v>2693</v>
      </c>
      <c r="C226" s="2468"/>
      <c r="D226" s="2468"/>
      <c r="E226" s="2468"/>
      <c r="F226" s="2468"/>
      <c r="G226" s="2468"/>
      <c r="I226" s="2421">
        <f>Application!G720</f>
        <v>33</v>
      </c>
      <c r="J226" s="2421"/>
      <c r="K226" s="2421"/>
      <c r="L226" s="1008"/>
      <c r="N226" s="2419">
        <f>Application!O720</f>
        <v>898</v>
      </c>
      <c r="O226" s="2419"/>
      <c r="P226" s="2419"/>
      <c r="Q226" s="2419"/>
      <c r="R226" s="2419"/>
      <c r="T226" s="2418">
        <f>'Subsidy Contract Calculation'!F6</f>
        <v>3125</v>
      </c>
      <c r="U226" s="2418"/>
      <c r="V226" s="2418"/>
      <c r="W226" s="2418"/>
      <c r="X226" s="2418"/>
      <c r="Y226" s="2418"/>
      <c r="Z226" s="851"/>
      <c r="AA226" s="851"/>
      <c r="AB226" s="2416">
        <f t="shared" si="0"/>
        <v>881892</v>
      </c>
      <c r="AC226" s="2416"/>
      <c r="AD226" s="2416"/>
      <c r="AE226" s="2416"/>
      <c r="AF226" s="2416"/>
      <c r="AG226" s="2416"/>
      <c r="AH226" s="827"/>
      <c r="AI226" s="827"/>
      <c r="AJ226" s="827"/>
      <c r="AK226" s="610"/>
    </row>
    <row r="227" spans="1:37">
      <c r="A227" s="605"/>
      <c r="B227" s="2468" t="s">
        <v>2693</v>
      </c>
      <c r="C227" s="2468"/>
      <c r="D227" s="2468"/>
      <c r="E227" s="2468"/>
      <c r="F227" s="2468"/>
      <c r="G227" s="2468"/>
      <c r="I227" s="2421">
        <f>Application!G721</f>
        <v>33</v>
      </c>
      <c r="J227" s="2421"/>
      <c r="K227" s="2421"/>
      <c r="L227" s="1008"/>
      <c r="N227" s="2419">
        <f>Application!O721</f>
        <v>1797</v>
      </c>
      <c r="O227" s="2419"/>
      <c r="P227" s="2419"/>
      <c r="Q227" s="2419"/>
      <c r="R227" s="2419"/>
      <c r="T227" s="2418">
        <f>'Subsidy Contract Calculation'!F7</f>
        <v>3125</v>
      </c>
      <c r="U227" s="2418"/>
      <c r="V227" s="2418"/>
      <c r="W227" s="2418"/>
      <c r="X227" s="2418"/>
      <c r="Y227" s="2418"/>
      <c r="Z227" s="851"/>
      <c r="AA227" s="851"/>
      <c r="AB227" s="2416">
        <f t="shared" si="0"/>
        <v>525888</v>
      </c>
      <c r="AC227" s="2416"/>
      <c r="AD227" s="2416"/>
      <c r="AE227" s="2416"/>
      <c r="AF227" s="2416"/>
      <c r="AG227" s="2416"/>
      <c r="AH227" s="827"/>
      <c r="AI227" s="827"/>
      <c r="AJ227" s="827"/>
      <c r="AK227" s="610"/>
    </row>
    <row r="228" spans="1:37">
      <c r="A228" s="605"/>
      <c r="B228" s="2468" t="s">
        <v>2694</v>
      </c>
      <c r="C228" s="2468"/>
      <c r="D228" s="2468"/>
      <c r="E228" s="2468"/>
      <c r="F228" s="2468"/>
      <c r="G228" s="2468"/>
      <c r="I228" s="2421">
        <f>Application!G722</f>
        <v>65</v>
      </c>
      <c r="J228" s="2421"/>
      <c r="K228" s="2421"/>
      <c r="L228" s="1015"/>
      <c r="N228" s="2419">
        <f>Application!O722</f>
        <v>1078</v>
      </c>
      <c r="O228" s="2419"/>
      <c r="P228" s="2419"/>
      <c r="Q228" s="2419"/>
      <c r="R228" s="2419"/>
      <c r="T228" s="2418">
        <f>'Subsidy Contract Calculation'!F8</f>
        <v>3825</v>
      </c>
      <c r="U228" s="2418"/>
      <c r="V228" s="2418"/>
      <c r="W228" s="2418"/>
      <c r="X228" s="2418"/>
      <c r="Y228" s="2418"/>
      <c r="Z228" s="851"/>
      <c r="AA228" s="851"/>
      <c r="AB228" s="2416">
        <f t="shared" si="0"/>
        <v>2142660</v>
      </c>
      <c r="AC228" s="2416"/>
      <c r="AD228" s="2416"/>
      <c r="AE228" s="2416"/>
      <c r="AF228" s="2416"/>
      <c r="AG228" s="2416"/>
      <c r="AH228" s="827"/>
      <c r="AI228" s="827"/>
      <c r="AJ228" s="827"/>
      <c r="AK228" s="610"/>
    </row>
    <row r="229" spans="1:37">
      <c r="A229" s="605"/>
      <c r="B229" s="2468" t="s">
        <v>2694</v>
      </c>
      <c r="C229" s="2468"/>
      <c r="D229" s="2468"/>
      <c r="E229" s="2468"/>
      <c r="F229" s="2468"/>
      <c r="G229" s="2468"/>
      <c r="I229" s="2421">
        <f>Application!G723</f>
        <v>65</v>
      </c>
      <c r="J229" s="2421"/>
      <c r="K229" s="2421"/>
      <c r="L229" s="1015"/>
      <c r="N229" s="2419">
        <f>Application!O723</f>
        <v>2157</v>
      </c>
      <c r="O229" s="2419"/>
      <c r="P229" s="2419"/>
      <c r="Q229" s="2419"/>
      <c r="R229" s="2419"/>
      <c r="T229" s="2418">
        <f>'Subsidy Contract Calculation'!F9</f>
        <v>3825</v>
      </c>
      <c r="U229" s="2418"/>
      <c r="V229" s="2418"/>
      <c r="W229" s="2418"/>
      <c r="X229" s="2418"/>
      <c r="Y229" s="2418"/>
      <c r="Z229" s="851"/>
      <c r="AA229" s="851"/>
      <c r="AB229" s="2416">
        <f t="shared" si="0"/>
        <v>1301040</v>
      </c>
      <c r="AC229" s="2416"/>
      <c r="AD229" s="2416"/>
      <c r="AE229" s="2416"/>
      <c r="AF229" s="2416"/>
      <c r="AG229" s="2416"/>
      <c r="AH229" s="827"/>
      <c r="AI229" s="827"/>
      <c r="AJ229" s="827"/>
      <c r="AK229" s="610"/>
    </row>
    <row r="230" spans="1:37">
      <c r="A230" s="605"/>
      <c r="B230" s="2468"/>
      <c r="C230" s="2468"/>
      <c r="D230" s="2468"/>
      <c r="E230" s="2468"/>
      <c r="F230" s="2468"/>
      <c r="G230" s="2468"/>
      <c r="I230" s="2421"/>
      <c r="J230" s="2421"/>
      <c r="K230" s="2421"/>
      <c r="L230" s="1015"/>
      <c r="N230" s="2419"/>
      <c r="O230" s="2419"/>
      <c r="P230" s="2419"/>
      <c r="Q230" s="2419"/>
      <c r="R230" s="2419"/>
      <c r="T230" s="2418"/>
      <c r="U230" s="2418"/>
      <c r="V230" s="2418"/>
      <c r="W230" s="2418"/>
      <c r="X230" s="2418"/>
      <c r="Y230" s="2418"/>
      <c r="Z230" s="851"/>
      <c r="AA230" s="851"/>
      <c r="AB230" s="2416">
        <f t="shared" si="0"/>
        <v>0</v>
      </c>
      <c r="AC230" s="2416"/>
      <c r="AD230" s="2416"/>
      <c r="AE230" s="2416"/>
      <c r="AF230" s="2416"/>
      <c r="AG230" s="2416"/>
      <c r="AH230" s="827"/>
      <c r="AI230" s="827"/>
      <c r="AJ230" s="827"/>
      <c r="AK230" s="610"/>
    </row>
    <row r="231" spans="1:37">
      <c r="A231" s="605"/>
      <c r="B231" s="2468"/>
      <c r="C231" s="2468"/>
      <c r="D231" s="2468"/>
      <c r="E231" s="2468"/>
      <c r="F231" s="2468"/>
      <c r="G231" s="2468"/>
      <c r="I231" s="2421"/>
      <c r="J231" s="2421"/>
      <c r="K231" s="2421"/>
      <c r="L231" s="1015"/>
      <c r="N231" s="2419"/>
      <c r="O231" s="2419"/>
      <c r="P231" s="2419"/>
      <c r="Q231" s="2419"/>
      <c r="R231" s="2419"/>
      <c r="T231" s="2418"/>
      <c r="U231" s="2418"/>
      <c r="V231" s="2418"/>
      <c r="W231" s="2418"/>
      <c r="X231" s="2418"/>
      <c r="Y231" s="2418"/>
      <c r="Z231" s="851"/>
      <c r="AA231" s="851"/>
      <c r="AB231" s="2416">
        <f t="shared" si="0"/>
        <v>0</v>
      </c>
      <c r="AC231" s="2416"/>
      <c r="AD231" s="2416"/>
      <c r="AE231" s="2416"/>
      <c r="AF231" s="2416"/>
      <c r="AG231" s="2416"/>
      <c r="AH231" s="827"/>
      <c r="AI231" s="827"/>
      <c r="AJ231" s="827"/>
      <c r="AK231" s="610"/>
    </row>
    <row r="232" spans="1:37">
      <c r="A232" s="605"/>
      <c r="B232" s="2468" t="s">
        <v>1185</v>
      </c>
      <c r="C232" s="2468"/>
      <c r="D232" s="2468"/>
      <c r="E232" s="2468"/>
      <c r="F232" s="2468"/>
      <c r="G232" s="2468"/>
      <c r="I232" s="2421"/>
      <c r="J232" s="2421"/>
      <c r="K232" s="2421"/>
      <c r="L232" s="1015"/>
      <c r="N232" s="2419"/>
      <c r="O232" s="2419"/>
      <c r="P232" s="2419"/>
      <c r="Q232" s="2419"/>
      <c r="R232" s="2419"/>
      <c r="T232" s="2418"/>
      <c r="U232" s="2418"/>
      <c r="V232" s="2418"/>
      <c r="W232" s="2418"/>
      <c r="X232" s="2418"/>
      <c r="Y232" s="2418"/>
      <c r="Z232" s="851"/>
      <c r="AA232" s="851"/>
      <c r="AB232" s="2416">
        <f t="shared" si="0"/>
        <v>0</v>
      </c>
      <c r="AC232" s="2416"/>
      <c r="AD232" s="2416"/>
      <c r="AE232" s="2416"/>
      <c r="AF232" s="2416"/>
      <c r="AG232" s="2416"/>
      <c r="AH232" s="827"/>
      <c r="AI232" s="827"/>
      <c r="AJ232" s="827"/>
      <c r="AK232" s="610"/>
    </row>
    <row r="233" spans="1:37">
      <c r="A233" s="605"/>
      <c r="B233" s="2468" t="s">
        <v>1185</v>
      </c>
      <c r="C233" s="2468"/>
      <c r="D233" s="2468"/>
      <c r="E233" s="2468"/>
      <c r="F233" s="2468"/>
      <c r="G233" s="2468"/>
      <c r="I233" s="2603"/>
      <c r="J233" s="2603"/>
      <c r="K233" s="2603"/>
      <c r="L233" s="1015"/>
      <c r="N233" s="2419"/>
      <c r="O233" s="2419"/>
      <c r="P233" s="2419"/>
      <c r="Q233" s="2419"/>
      <c r="R233" s="2419"/>
      <c r="T233" s="2418"/>
      <c r="U233" s="2418"/>
      <c r="V233" s="2418"/>
      <c r="W233" s="2418"/>
      <c r="X233" s="2418"/>
      <c r="Y233" s="2418"/>
      <c r="Z233" s="851"/>
      <c r="AA233" s="851"/>
      <c r="AB233" s="2422">
        <f t="shared" si="0"/>
        <v>0</v>
      </c>
      <c r="AC233" s="2422"/>
      <c r="AD233" s="2422"/>
      <c r="AE233" s="2422"/>
      <c r="AF233" s="2422"/>
      <c r="AG233" s="24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6">
        <f>SUM(AB224:AB233)</f>
        <v>5367948</v>
      </c>
      <c r="AC234" s="2416"/>
      <c r="AD234" s="2416"/>
      <c r="AE234" s="2416"/>
      <c r="AF234" s="2416"/>
      <c r="AG234" s="241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3"/>
      <c r="AC240" s="2453"/>
      <c r="AD240" s="2453"/>
      <c r="AE240" s="2453"/>
      <c r="AF240" s="2453"/>
      <c r="AG240" s="2453"/>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3"/>
      <c r="AC243" s="2453"/>
      <c r="AD243" s="2453"/>
      <c r="AE243" s="2453"/>
      <c r="AF243" s="2453"/>
      <c r="AG243" s="2453"/>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5"/>
      <c r="AC244" s="2415"/>
      <c r="AD244" s="2415"/>
      <c r="AE244" s="2415"/>
      <c r="AF244" s="2415"/>
      <c r="AG244" s="2415"/>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3">
        <f>IFERROR(AB243/AB244,0)</f>
        <v>0</v>
      </c>
      <c r="AC245" s="2423"/>
      <c r="AD245" s="2423"/>
      <c r="AE245" s="2423"/>
      <c r="AF245" s="2423"/>
      <c r="AG245" s="24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2">
        <f>MAX(AB240,AB245)</f>
        <v>0</v>
      </c>
      <c r="AC247" s="2422"/>
      <c r="AD247" s="2422"/>
      <c r="AE247" s="2422"/>
      <c r="AF247" s="2422"/>
      <c r="AG247" s="24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6">
        <f>AB234+AB247</f>
        <v>5367948</v>
      </c>
      <c r="AC250" s="2416"/>
      <c r="AD250" s="2416"/>
      <c r="AE250" s="2416"/>
      <c r="AF250" s="2416"/>
      <c r="AG250" s="241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7">
        <v>0.05</v>
      </c>
      <c r="AC251" s="2587"/>
      <c r="AD251" s="2587"/>
      <c r="AE251" s="2587"/>
      <c r="AF251" s="2587"/>
      <c r="AG251" s="258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8">
        <f>AB250-(AB250*AB251)</f>
        <v>5099550.5999999996</v>
      </c>
      <c r="AC252" s="2588"/>
      <c r="AD252" s="2588"/>
      <c r="AE252" s="2588"/>
      <c r="AF252" s="2588"/>
      <c r="AG252" s="258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6">
        <f>AB252/AB258</f>
        <v>4434391.8260869561</v>
      </c>
      <c r="AC254" s="2416"/>
      <c r="AD254" s="2416"/>
      <c r="AE254" s="2416"/>
      <c r="AF254" s="2416"/>
      <c r="AG254" s="241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9">
        <v>15</v>
      </c>
      <c r="AC256" s="2599"/>
      <c r="AD256" s="2599"/>
      <c r="AE256" s="2599"/>
      <c r="AF256" s="2599"/>
      <c r="AG256" s="259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0">
        <v>0.04</v>
      </c>
      <c r="AC257" s="2590"/>
      <c r="AD257" s="2590"/>
      <c r="AE257" s="2590"/>
      <c r="AF257" s="2590"/>
      <c r="AG257" s="25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1">
        <v>1.1499999999999999</v>
      </c>
      <c r="AC258" s="2591"/>
      <c r="AD258" s="2591"/>
      <c r="AE258" s="2591"/>
      <c r="AF258" s="2591"/>
      <c r="AG258" s="25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0">
        <f>PV(AB257/12,AB256*12,-AB254/12, ,0)</f>
        <v>49957913.246933378</v>
      </c>
      <c r="AC260" s="2581"/>
      <c r="AD260" s="2581"/>
      <c r="AE260" s="2581"/>
      <c r="AF260" s="2581"/>
      <c r="AG260" s="258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4">
        <f>IFERROR(('Sources and Uses Budget'!D105/'Sources and Uses Budget'!B105),0)</f>
        <v>0</v>
      </c>
      <c r="AC266" s="2585"/>
      <c r="AD266" s="2585"/>
      <c r="AE266" s="2585"/>
      <c r="AF266" s="2585"/>
      <c r="AG266" s="25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0">
        <f>AD211*(1-AB266)</f>
        <v>49957913.246933378</v>
      </c>
      <c r="AH268" s="2430"/>
      <c r="AI268" s="2430"/>
      <c r="AJ268" s="2430"/>
      <c r="AK268" s="2430"/>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0">
        <f>'Sources and Uses Budget'!C105</f>
        <v>96878029</v>
      </c>
      <c r="AH269" s="2430"/>
      <c r="AI269" s="2430"/>
      <c r="AJ269" s="2430"/>
      <c r="AK269" s="243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6">
        <f>ROUNDDOWN(IF(AND(C292="Yes",AK84=10),((AG268*2)/AG269),AG268/AG269),2)</f>
        <v>0.51</v>
      </c>
      <c r="AH270" s="2576"/>
      <c r="AI270" s="2576"/>
      <c r="AJ270" s="2576"/>
      <c r="AK270" s="257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5">
        <f>IFERROR(IF(AG270=0,0,IF((AG270*100)&gt;8,8,(AG270*100))),0)</f>
        <v>8</v>
      </c>
      <c r="AL273" s="2565"/>
      <c r="AM273" s="256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7" t="s">
        <v>546</v>
      </c>
      <c r="D278" s="2447"/>
      <c r="E278" s="547"/>
      <c r="F278" s="2399" t="s">
        <v>2025</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0"/>
      <c r="AF278" s="635"/>
      <c r="AG278" s="2574" t="s">
        <v>1364</v>
      </c>
      <c r="AH278" s="2574"/>
      <c r="AI278" s="2574"/>
      <c r="AJ278" s="2574"/>
      <c r="AK278" s="550"/>
      <c r="AL278" s="550"/>
      <c r="AM278" s="550"/>
      <c r="AO278" s="550"/>
    </row>
    <row r="279" spans="1:52" ht="13.7" customHeight="1">
      <c r="A279" s="550"/>
      <c r="B279" s="596"/>
      <c r="C279" s="636"/>
      <c r="D279" s="550"/>
      <c r="E279" s="547"/>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0"/>
      <c r="AF279" s="635"/>
      <c r="AG279" s="635"/>
      <c r="AH279" s="635"/>
      <c r="AI279" s="635"/>
      <c r="AJ279" s="550"/>
      <c r="AK279" s="550"/>
      <c r="AL279" s="550"/>
      <c r="AM279" s="550"/>
      <c r="AO279" s="550"/>
    </row>
    <row r="280" spans="1:52">
      <c r="A280" s="550"/>
      <c r="B280" s="596"/>
      <c r="C280" s="636"/>
      <c r="D280" s="550"/>
      <c r="E280" s="547"/>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0"/>
      <c r="AF280" s="635"/>
      <c r="AG280" s="635"/>
      <c r="AH280" s="635"/>
      <c r="AI280" s="635"/>
      <c r="AJ280" s="550"/>
      <c r="AK280" s="550"/>
      <c r="AL280" s="550"/>
      <c r="AM280" s="550"/>
      <c r="AO280" s="550"/>
      <c r="AP280" s="637"/>
    </row>
    <row r="281" spans="1:52">
      <c r="A281" s="550"/>
      <c r="B281" s="596"/>
      <c r="C281" s="636"/>
      <c r="D281" s="550"/>
      <c r="E281" s="547"/>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0"/>
      <c r="AF281" s="635"/>
      <c r="AG281" s="635"/>
      <c r="AH281" s="635"/>
      <c r="AI281" s="635"/>
      <c r="AJ281" s="550"/>
      <c r="AK281" s="550"/>
      <c r="AL281" s="550"/>
      <c r="AM281" s="550"/>
      <c r="AO281" s="550"/>
      <c r="AP281" s="637"/>
    </row>
    <row r="282" spans="1:52" ht="13.7" customHeight="1">
      <c r="A282" s="550"/>
      <c r="B282" s="596"/>
      <c r="C282" s="2575"/>
      <c r="D282" s="2575"/>
      <c r="E282" s="547"/>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0"/>
      <c r="AF282" s="635"/>
      <c r="AG282" s="2574"/>
      <c r="AH282" s="2574"/>
      <c r="AI282" s="2574"/>
      <c r="AJ282" s="25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5">
        <f>IF($C$278="yes",10,0)</f>
        <v>10</v>
      </c>
      <c r="AL285" s="2565"/>
      <c r="AM285" s="256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2" t="s">
        <v>1383</v>
      </c>
      <c r="B292" s="1642"/>
      <c r="C292" s="2398" t="s">
        <v>592</v>
      </c>
      <c r="D292" s="2447"/>
      <c r="E292" s="547"/>
      <c r="F292" s="2567" t="s">
        <v>1384</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2"/>
      <c r="AF292" s="550"/>
      <c r="AG292" s="2570" t="s">
        <v>2018</v>
      </c>
      <c r="AH292" s="2570"/>
      <c r="AI292" s="2570"/>
      <c r="AJ292" s="2570"/>
      <c r="AK292" s="2570"/>
      <c r="AL292" s="550"/>
      <c r="AM292" s="550"/>
      <c r="AN292" s="73"/>
      <c r="AO292" s="14"/>
      <c r="AP292" s="30"/>
      <c r="AS292" s="570"/>
      <c r="AT292" s="570"/>
      <c r="AU292" s="570"/>
      <c r="AV292" s="32"/>
      <c r="AW292" s="32"/>
    </row>
    <row r="293" spans="1:49">
      <c r="A293" s="640"/>
      <c r="B293" s="5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5" t="s">
        <v>2026</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5" t="s">
        <v>1385</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5" t="s">
        <v>1386</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2" t="s">
        <v>1387</v>
      </c>
      <c r="B302" s="1642"/>
      <c r="C302" s="2447" t="s">
        <v>592</v>
      </c>
      <c r="D302" s="244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9" t="s">
        <v>2020</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1"/>
      <c r="AF303" s="551"/>
      <c r="AG303" s="551"/>
      <c r="AH303" s="551"/>
      <c r="AI303" s="551"/>
      <c r="AJ303" s="550"/>
      <c r="AK303" s="550"/>
      <c r="AL303" s="550"/>
      <c r="AM303" s="550"/>
      <c r="AR303" s="648"/>
    </row>
    <row r="304" spans="1:49" ht="15" customHeight="1">
      <c r="A304" s="550"/>
      <c r="B304" s="551"/>
      <c r="C304" s="550"/>
      <c r="D304" s="551"/>
      <c r="E304" s="550"/>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1"/>
      <c r="AF304" s="551"/>
      <c r="AG304" s="551"/>
      <c r="AH304" s="551"/>
      <c r="AI304" s="551"/>
      <c r="AJ304" s="550"/>
      <c r="AK304" s="550"/>
      <c r="AL304" s="550"/>
      <c r="AM304" s="550"/>
      <c r="AR304" s="648"/>
    </row>
    <row r="305" spans="1:44">
      <c r="A305" s="550"/>
      <c r="B305" s="551"/>
      <c r="C305" s="550"/>
      <c r="D305" s="551"/>
      <c r="E305" s="550"/>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2" t="s">
        <v>1390</v>
      </c>
      <c r="B310" s="1642"/>
      <c r="C310" s="2447" t="s">
        <v>592</v>
      </c>
      <c r="D310" s="244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5" t="s">
        <v>2027</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1"/>
      <c r="AF311" s="551"/>
      <c r="AG311" s="539"/>
      <c r="AH311" s="551"/>
      <c r="AI311" s="551"/>
      <c r="AJ311" s="550"/>
      <c r="AK311" s="550"/>
      <c r="AL311" s="550"/>
      <c r="AM311" s="550"/>
      <c r="AN311" s="73"/>
      <c r="AO311" s="14"/>
      <c r="AP311" s="557" t="s">
        <v>1185</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2" t="s">
        <v>1185</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2"/>
      <c r="AF316" s="642"/>
      <c r="AG316" s="642"/>
      <c r="AH316" s="642"/>
      <c r="AI316" s="642"/>
      <c r="AJ316" s="642"/>
      <c r="AK316" s="642"/>
      <c r="AL316" s="550"/>
      <c r="AM316" s="550"/>
      <c r="AN316" s="73"/>
      <c r="AO316" s="14"/>
      <c r="AP316" s="30"/>
    </row>
    <row r="317" spans="1:44" hidden="1">
      <c r="A317" s="550"/>
      <c r="B317" s="551"/>
      <c r="C317" s="730"/>
      <c r="D317" s="730"/>
      <c r="E317" s="547"/>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1"/>
      <c r="AF317" s="551"/>
      <c r="AG317" s="539"/>
      <c r="AH317" s="551"/>
      <c r="AI317" s="551"/>
      <c r="AJ317" s="550"/>
      <c r="AK317" s="550"/>
      <c r="AL317" s="550"/>
      <c r="AM317" s="550"/>
      <c r="AN317" s="73"/>
      <c r="AO317" s="14"/>
      <c r="AP317" s="30"/>
    </row>
    <row r="318" spans="1:44" hidden="1">
      <c r="A318" s="550"/>
      <c r="B318" s="551"/>
      <c r="C318" s="730"/>
      <c r="D318" s="730"/>
      <c r="E318" s="547"/>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1"/>
      <c r="AF318" s="551"/>
      <c r="AG318" s="539"/>
      <c r="AH318" s="551"/>
      <c r="AI318" s="551"/>
      <c r="AJ318" s="550"/>
      <c r="AK318" s="550"/>
      <c r="AL318" s="550"/>
      <c r="AM318" s="550"/>
      <c r="AN318" s="73"/>
      <c r="AO318" s="14"/>
      <c r="AP318" s="30"/>
    </row>
    <row r="319" spans="1:44" hidden="1">
      <c r="A319" s="550"/>
      <c r="B319" s="551"/>
      <c r="C319" s="730"/>
      <c r="D319" s="730"/>
      <c r="E319" s="547"/>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1"/>
      <c r="AF319" s="551"/>
      <c r="AG319" s="539"/>
      <c r="AH319" s="551"/>
      <c r="AI319" s="551"/>
      <c r="AJ319" s="550"/>
      <c r="AK319" s="550"/>
      <c r="AL319" s="550"/>
      <c r="AM319" s="550"/>
      <c r="AN319" s="73"/>
      <c r="AO319" s="14"/>
      <c r="AP319" s="30"/>
    </row>
    <row r="320" spans="1:44" hidden="1">
      <c r="A320" s="550"/>
      <c r="B320" s="551"/>
      <c r="C320" s="730"/>
      <c r="D320" s="730"/>
      <c r="E320" s="547"/>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8" t="s">
        <v>1185</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8" t="s">
        <v>1185</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2" t="s">
        <v>1393</v>
      </c>
      <c r="B333" s="1642"/>
      <c r="C333" s="2447" t="s">
        <v>592</v>
      </c>
      <c r="D333" s="2447"/>
      <c r="E333" s="547"/>
      <c r="F333" s="2546" t="s">
        <v>2028</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1"/>
      <c r="AF334" s="551"/>
      <c r="AG334" s="551"/>
      <c r="AH334" s="551"/>
      <c r="AI334" s="551"/>
      <c r="AJ334" s="550"/>
      <c r="AK334" s="550"/>
      <c r="AL334" s="550"/>
      <c r="AM334" s="550"/>
      <c r="AN334" s="73"/>
      <c r="AO334" s="14"/>
    </row>
    <row r="335" spans="1:42" ht="15" hidden="1" customHeight="1">
      <c r="A335" s="550"/>
      <c r="B335" s="551"/>
      <c r="C335" s="551"/>
      <c r="D335" s="551"/>
      <c r="E335" s="551"/>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3">
        <f>IF(NOT(OR(Application!M355="Yes",Application!M356="Yes")),0,AP295)</f>
        <v>0</v>
      </c>
      <c r="AL338" s="2434"/>
      <c r="AM338" s="243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6" t="s">
        <v>1315</v>
      </c>
      <c r="AF341" s="2466"/>
      <c r="AG341" s="2466"/>
      <c r="AH341" s="2466"/>
      <c r="AI341" s="2466"/>
      <c r="AJ341" s="2466"/>
      <c r="AK341" s="246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2" t="s">
        <v>1455</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3"/>
      <c r="AL343" s="603"/>
      <c r="AM343" s="603"/>
      <c r="AN343" s="597"/>
    </row>
    <row r="344" spans="1:44" s="550" customFormat="1" ht="12.75" customHeight="1">
      <c r="A344" s="603"/>
      <c r="B344" s="611"/>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3"/>
      <c r="AL344" s="603"/>
      <c r="AM344" s="603"/>
      <c r="AN344" s="597"/>
    </row>
    <row r="345" spans="1:44" s="550" customFormat="1" ht="12.75" customHeight="1">
      <c r="A345" s="603"/>
      <c r="B345" s="611"/>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3"/>
      <c r="AL345" s="603"/>
      <c r="AM345" s="603"/>
      <c r="AN345" s="597"/>
      <c r="AQ345" s="570"/>
    </row>
    <row r="346" spans="1:44" s="550" customFormat="1" ht="12.75" customHeight="1">
      <c r="A346" s="603"/>
      <c r="B346" s="611"/>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3"/>
      <c r="AL346" s="603"/>
      <c r="AM346" s="603"/>
      <c r="AN346" s="597"/>
      <c r="AQ346" s="570"/>
    </row>
    <row r="347" spans="1:44" s="550" customFormat="1" ht="12.4" customHeight="1">
      <c r="A347" s="603"/>
      <c r="B347" s="611"/>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3"/>
      <c r="AL347" s="603"/>
      <c r="AM347" s="603"/>
      <c r="AN347" s="597"/>
      <c r="AQ347" s="570"/>
      <c r="AR347" s="570"/>
    </row>
    <row r="348" spans="1:44" s="550" customFormat="1" ht="45.75" customHeight="1">
      <c r="A348" s="603"/>
      <c r="B348" s="611"/>
      <c r="C348" s="2442" t="s">
        <v>2093</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2" t="s">
        <v>2208</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3"/>
      <c r="AL350" s="603"/>
      <c r="AM350" s="603"/>
      <c r="AN350" s="597"/>
      <c r="AQ350" s="570"/>
      <c r="AR350" s="570"/>
    </row>
    <row r="351" spans="1:44" s="550" customFormat="1" ht="30" customHeight="1">
      <c r="A351" s="603"/>
      <c r="B351" s="611"/>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3"/>
      <c r="AL351" s="603"/>
      <c r="AM351" s="603"/>
      <c r="AN351" s="597"/>
      <c r="AR351" s="570"/>
    </row>
    <row r="352" spans="1:44" s="550" customFormat="1" ht="12.75" customHeight="1">
      <c r="A352" s="603"/>
      <c r="B352" s="611"/>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3"/>
      <c r="AL352" s="603"/>
      <c r="AM352" s="603"/>
      <c r="AN352" s="597"/>
      <c r="AR352" s="570"/>
    </row>
    <row r="353" spans="1:46" s="550" customFormat="1" ht="12.75" customHeight="1">
      <c r="A353" s="603"/>
      <c r="B353" s="611"/>
      <c r="C353" s="2442" t="s">
        <v>1456</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3"/>
      <c r="AL353" s="603"/>
      <c r="AM353" s="603"/>
      <c r="AN353" s="597"/>
      <c r="AQ353" s="570"/>
      <c r="AR353" s="570"/>
    </row>
    <row r="354" spans="1:46" s="550" customFormat="1" ht="12.75" customHeight="1">
      <c r="A354" s="603"/>
      <c r="B354" s="611"/>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3"/>
      <c r="AL354" s="603"/>
      <c r="AM354" s="603"/>
      <c r="AN354" s="597"/>
      <c r="AQ354" s="570"/>
      <c r="AR354" s="570"/>
    </row>
    <row r="355" spans="1:46" s="550" customFormat="1" ht="13.15" customHeight="1">
      <c r="A355" s="603"/>
      <c r="B355" s="611"/>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3"/>
      <c r="AL355" s="603"/>
      <c r="AM355" s="603"/>
      <c r="AN355" s="597"/>
      <c r="AQ355" s="570"/>
      <c r="AR355" s="570"/>
    </row>
    <row r="356" spans="1:46" s="550" customFormat="1" ht="12.75" customHeight="1">
      <c r="A356" s="603"/>
      <c r="B356" s="611"/>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3"/>
      <c r="AL356" s="603"/>
      <c r="AM356" s="603"/>
      <c r="AN356" s="597"/>
      <c r="AO356" s="694"/>
      <c r="AP356" s="694"/>
      <c r="AQ356" s="570"/>
    </row>
    <row r="357" spans="1:46" s="550" customFormat="1" ht="11.85" customHeight="1">
      <c r="A357" s="603"/>
      <c r="B357" s="611"/>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3"/>
      <c r="AL357" s="603"/>
      <c r="AM357" s="603"/>
      <c r="AN357" s="597"/>
      <c r="AO357" s="695" t="s">
        <v>112</v>
      </c>
      <c r="AP357" s="696">
        <f>IF(C381="Yes",5,0)</f>
        <v>5</v>
      </c>
      <c r="AS357" s="539" t="s">
        <v>1457</v>
      </c>
    </row>
    <row r="358" spans="1:46" s="550" customFormat="1" ht="12.75" customHeight="1">
      <c r="A358" s="603"/>
      <c r="B358" s="611"/>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3"/>
      <c r="AL358" s="603"/>
      <c r="AM358" s="603"/>
      <c r="AN358" s="597"/>
      <c r="AO358" s="695" t="s">
        <v>113</v>
      </c>
      <c r="AP358" s="696">
        <f>IF(C389="Yes",5,0)</f>
        <v>0</v>
      </c>
      <c r="AS358" s="2408">
        <f>IF(Application!D211="Non-Targeted",(SUM(AQ366+AQ375)),AS362)</f>
        <v>10</v>
      </c>
      <c r="AT358" s="2408"/>
    </row>
    <row r="359" spans="1:46" s="550" customFormat="1" ht="12.75" customHeight="1">
      <c r="A359" s="603"/>
      <c r="B359" s="611"/>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3"/>
      <c r="AL359" s="603"/>
      <c r="AM359" s="603"/>
      <c r="AN359" s="597"/>
      <c r="AO359" s="695" t="s">
        <v>119</v>
      </c>
      <c r="AP359" s="696">
        <f>IF(C397="Yes",7,0)</f>
        <v>0</v>
      </c>
      <c r="AS359" s="539" t="s">
        <v>1458</v>
      </c>
    </row>
    <row r="360" spans="1:46" s="550" customFormat="1" ht="12.75" customHeight="1">
      <c r="A360" s="603"/>
      <c r="B360" s="611"/>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3"/>
      <c r="AL360" s="603"/>
      <c r="AM360" s="603"/>
      <c r="AN360" s="597"/>
      <c r="AO360" s="597"/>
      <c r="AP360" s="696">
        <f>IF(C399="Yes",5,0)</f>
        <v>5</v>
      </c>
      <c r="AS360" s="2408">
        <f>IF(AND(AQ366&gt;0,AQ375&gt;0),(AQ366+AQ375)/2,0)</f>
        <v>0</v>
      </c>
      <c r="AT360" s="2408"/>
    </row>
    <row r="361" spans="1:46" s="550" customFormat="1" ht="12.75" customHeight="1">
      <c r="A361" s="603"/>
      <c r="B361" s="611"/>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3"/>
      <c r="AL361" s="603"/>
      <c r="AM361" s="603"/>
      <c r="AN361" s="597"/>
      <c r="AO361" s="695" t="s">
        <v>582</v>
      </c>
      <c r="AP361" s="696">
        <f>IF(C407="Yes",5,0)</f>
        <v>0</v>
      </c>
      <c r="AS361" s="539" t="s">
        <v>1879</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408">
        <f>IF(AQ366=0,AQ375,AQ366)</f>
        <v>10</v>
      </c>
      <c r="AT362" s="2408"/>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445">
        <f>IF(AP366&gt;0,AP366,0)</f>
        <v>10</v>
      </c>
      <c r="AR366" s="2445"/>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2" t="s">
        <v>1459</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3"/>
      <c r="AL369" s="603"/>
      <c r="AM369" s="603"/>
      <c r="AN369" s="597"/>
      <c r="AO369" s="695" t="s">
        <v>457</v>
      </c>
      <c r="AP369" s="696">
        <f>IF(C442="Yes",5,0)</f>
        <v>0</v>
      </c>
    </row>
    <row r="370" spans="1:81" s="550" customFormat="1" ht="12.75" customHeight="1">
      <c r="A370" s="603"/>
      <c r="B370" s="611"/>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3"/>
      <c r="AL370" s="603"/>
      <c r="AM370" s="603"/>
      <c r="AN370" s="597"/>
      <c r="AO370" s="695" t="s">
        <v>462</v>
      </c>
      <c r="AP370" s="696">
        <f>IF(C449="Yes",5,0)</f>
        <v>0</v>
      </c>
    </row>
    <row r="371" spans="1:81" s="550" customFormat="1" ht="68.099999999999994" customHeight="1">
      <c r="A371" s="603"/>
      <c r="B371" s="611"/>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3">
        <f>Application!DU802-U374</f>
        <v>359</v>
      </c>
      <c r="V373" s="2443"/>
      <c r="W373" s="244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4">
        <f>IF(Application!D211="SRO",Application!DU755,Application!AG756)</f>
        <v>0</v>
      </c>
      <c r="V374" s="2444"/>
      <c r="W374" s="244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5">
        <f>IF(AP375&gt;0,AP375,0)</f>
        <v>0</v>
      </c>
      <c r="AR375" s="244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6" t="s">
        <v>1461</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6" t="s">
        <v>546</v>
      </c>
      <c r="D381" s="244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8" t="s">
        <v>1463</v>
      </c>
      <c r="AG381" s="2448"/>
      <c r="AH381" s="2448"/>
      <c r="AI381" s="2448"/>
      <c r="AJ381" s="2448"/>
      <c r="AK381" s="2448"/>
      <c r="AL381" s="244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6" t="s">
        <v>1464</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2"/>
      <c r="AN388" s="597"/>
      <c r="BS388" s="30"/>
      <c r="BT388" s="30"/>
      <c r="BU388" s="14"/>
      <c r="BV388" s="14"/>
      <c r="BW388" s="14"/>
      <c r="BX388" s="14"/>
      <c r="BY388" s="14"/>
      <c r="BZ388" s="14"/>
      <c r="CA388" s="14"/>
      <c r="CB388" s="14"/>
      <c r="CC388" s="14"/>
    </row>
    <row r="389" spans="1:81" s="550" customFormat="1" ht="12.75" customHeight="1">
      <c r="A389" s="536"/>
      <c r="B389" s="14"/>
      <c r="C389" s="2446" t="s">
        <v>592</v>
      </c>
      <c r="D389" s="244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8" t="s">
        <v>1463</v>
      </c>
      <c r="AG389" s="2448"/>
      <c r="AH389" s="2448"/>
      <c r="AI389" s="2448"/>
      <c r="AJ389" s="2448"/>
      <c r="AK389" s="2448"/>
      <c r="AL389" s="244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6" t="s">
        <v>1466</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6" t="s">
        <v>592</v>
      </c>
      <c r="D397" s="244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8" t="s">
        <v>1468</v>
      </c>
      <c r="AG397" s="2448"/>
      <c r="AH397" s="2448"/>
      <c r="AI397" s="2448"/>
      <c r="AJ397" s="2448"/>
      <c r="AK397" s="2448"/>
      <c r="AL397" s="244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6" t="s">
        <v>546</v>
      </c>
      <c r="D399" s="244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8" t="s">
        <v>1463</v>
      </c>
      <c r="AG399" s="2448"/>
      <c r="AH399" s="2448"/>
      <c r="AI399" s="2448"/>
      <c r="AJ399" s="2448"/>
      <c r="AK399" s="2448"/>
      <c r="AL399" s="244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6" t="s">
        <v>1472</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6" t="s">
        <v>592</v>
      </c>
      <c r="D407" s="244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8" t="s">
        <v>1463</v>
      </c>
      <c r="AG407" s="2448"/>
      <c r="AH407" s="2448"/>
      <c r="AI407" s="2448"/>
      <c r="AJ407" s="2448"/>
      <c r="AK407" s="2448"/>
      <c r="AL407" s="244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6" t="s">
        <v>592</v>
      </c>
      <c r="D409" s="244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8" t="s">
        <v>1475</v>
      </c>
      <c r="AG409" s="2448"/>
      <c r="AH409" s="2448"/>
      <c r="AI409" s="2448"/>
      <c r="AJ409" s="2448"/>
      <c r="AK409" s="2448"/>
      <c r="AL409" s="244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6" t="s">
        <v>592</v>
      </c>
      <c r="D412" s="2447"/>
      <c r="E412" s="715" t="s">
        <v>1476</v>
      </c>
      <c r="F412" s="2436" t="s">
        <v>1477</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1463</v>
      </c>
      <c r="AG413" s="2526"/>
      <c r="AH413" s="2526"/>
      <c r="AI413" s="2526"/>
      <c r="AJ413" s="2526"/>
      <c r="AK413" s="2526"/>
      <c r="AL413" s="2535"/>
      <c r="AM413" s="570"/>
      <c r="AN413" s="597"/>
      <c r="BS413" s="570"/>
      <c r="BT413" s="570"/>
      <c r="BY413" s="570"/>
      <c r="BZ413" s="570"/>
      <c r="CA413" s="570"/>
      <c r="CB413" s="570"/>
      <c r="CC413" s="570"/>
    </row>
    <row r="414" spans="1:81" s="550" customFormat="1" ht="12.75" customHeight="1">
      <c r="A414" s="536"/>
      <c r="B414" s="14"/>
      <c r="C414" s="731"/>
      <c r="D414" s="14"/>
      <c r="E414" s="691"/>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6" t="s">
        <v>1479</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7"/>
      <c r="AG417" s="747"/>
      <c r="AH417" s="747"/>
      <c r="AI417" s="747"/>
      <c r="AJ417" s="747"/>
      <c r="AK417" s="747"/>
      <c r="AL417" s="748"/>
      <c r="AM417" s="570"/>
    </row>
    <row r="418" spans="1:55">
      <c r="A418" s="536"/>
      <c r="C418" s="731"/>
      <c r="E418" s="691"/>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39"/>
      <c r="AG418" s="536"/>
      <c r="AH418" s="550"/>
      <c r="AI418" s="550"/>
      <c r="AJ418" s="550"/>
      <c r="AK418" s="550"/>
      <c r="AL418" s="732"/>
      <c r="AM418" s="570"/>
    </row>
    <row r="419" spans="1:55" s="550" customFormat="1" ht="12.75" customHeight="1">
      <c r="A419" s="536"/>
      <c r="B419" s="14"/>
      <c r="C419" s="731"/>
      <c r="D419" s="14"/>
      <c r="E419" s="691"/>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2"/>
      <c r="AM419" s="570"/>
      <c r="AN419" s="597"/>
    </row>
    <row r="420" spans="1:55" s="550" customFormat="1" ht="12.75" customHeight="1">
      <c r="A420" s="536"/>
      <c r="B420" s="14"/>
      <c r="C420" s="739"/>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2"/>
      <c r="AM420" s="570"/>
      <c r="AN420" s="597"/>
    </row>
    <row r="421" spans="1:55" s="550" customFormat="1" ht="12.75" customHeight="1">
      <c r="A421" s="536"/>
      <c r="B421" s="14"/>
      <c r="C421" s="2446" t="s">
        <v>592</v>
      </c>
      <c r="D421" s="244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6" t="s">
        <v>1463</v>
      </c>
      <c r="AG421" s="2526"/>
      <c r="AH421" s="2526"/>
      <c r="AI421" s="2526"/>
      <c r="AJ421" s="2526"/>
      <c r="AK421" s="2526"/>
      <c r="AL421" s="2535"/>
      <c r="AM421" s="570"/>
      <c r="AN421" s="597"/>
    </row>
    <row r="422" spans="1:55" s="550" customFormat="1" ht="12.75" customHeight="1">
      <c r="A422" s="536"/>
      <c r="B422" s="14"/>
      <c r="C422" s="739"/>
      <c r="AL422" s="732"/>
      <c r="AM422" s="570"/>
      <c r="AN422" s="597"/>
    </row>
    <row r="423" spans="1:55" s="550" customFormat="1" ht="12.75" customHeight="1">
      <c r="A423" s="536"/>
      <c r="B423" s="14"/>
      <c r="C423" s="2446" t="s">
        <v>592</v>
      </c>
      <c r="D423" s="244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6" t="s">
        <v>1475</v>
      </c>
      <c r="AG423" s="2526"/>
      <c r="AH423" s="2526"/>
      <c r="AI423" s="2526"/>
      <c r="AJ423" s="2526"/>
      <c r="AK423" s="2526"/>
      <c r="AL423" s="253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6" t="s">
        <v>1483</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4"/>
      <c r="AG427" s="714"/>
      <c r="AH427" s="714"/>
      <c r="AI427" s="714"/>
      <c r="AJ427" s="714"/>
      <c r="AK427" s="714"/>
      <c r="AL427" s="745"/>
      <c r="AM427" s="570"/>
      <c r="AN427" s="597"/>
    </row>
    <row r="428" spans="1:55" s="550" customFormat="1" ht="12.75" customHeight="1">
      <c r="A428" s="536"/>
      <c r="B428" s="14"/>
      <c r="C428" s="731"/>
      <c r="D428" s="14"/>
      <c r="E428" s="691"/>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39"/>
      <c r="AG428" s="536"/>
      <c r="AL428" s="732"/>
      <c r="AM428" s="570"/>
      <c r="AN428" s="597"/>
    </row>
    <row r="429" spans="1:55" s="550" customFormat="1" ht="12.4" customHeight="1">
      <c r="A429" s="536"/>
      <c r="B429" s="14"/>
      <c r="C429" s="731"/>
      <c r="D429" s="14"/>
      <c r="E429" s="691"/>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2"/>
      <c r="AM429" s="570"/>
      <c r="AN429" s="597"/>
    </row>
    <row r="430" spans="1:55" s="550" customFormat="1" ht="12.75" customHeight="1">
      <c r="A430" s="536"/>
      <c r="B430" s="14"/>
      <c r="C430" s="2446" t="s">
        <v>592</v>
      </c>
      <c r="D430" s="244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6" t="s">
        <v>1463</v>
      </c>
      <c r="AG430" s="2526"/>
      <c r="AH430" s="2526"/>
      <c r="AI430" s="2526"/>
      <c r="AJ430" s="2526"/>
      <c r="AK430" s="2526"/>
      <c r="AL430" s="253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6" t="s">
        <v>1486</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7"/>
      <c r="AG433" s="747"/>
      <c r="AH433" s="747"/>
      <c r="AI433" s="747"/>
      <c r="AJ433" s="747"/>
      <c r="AK433" s="747"/>
      <c r="AL433" s="748"/>
      <c r="AM433" s="570"/>
      <c r="AO433" s="550"/>
      <c r="AP433" s="550"/>
      <c r="BD433" s="14"/>
      <c r="BE433" s="14"/>
      <c r="BF433" s="14"/>
      <c r="BG433" s="14"/>
      <c r="BH433" s="14"/>
    </row>
    <row r="434" spans="1:60">
      <c r="A434" s="536"/>
      <c r="C434" s="731"/>
      <c r="E434" s="691"/>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4"/>
      <c r="AG434" s="594"/>
      <c r="AH434" s="594"/>
      <c r="AI434" s="594"/>
      <c r="AJ434" s="594"/>
      <c r="AK434" s="594"/>
      <c r="AL434" s="750"/>
      <c r="AM434" s="570"/>
      <c r="AO434" s="550"/>
      <c r="AP434" s="550"/>
    </row>
    <row r="435" spans="1:60" s="550" customFormat="1" ht="12.75" customHeight="1">
      <c r="A435" s="536"/>
      <c r="B435" s="14"/>
      <c r="C435" s="731"/>
      <c r="D435" s="14"/>
      <c r="E435" s="691"/>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4"/>
      <c r="AG435" s="594"/>
      <c r="AH435" s="594"/>
      <c r="AI435" s="594"/>
      <c r="AJ435" s="594"/>
      <c r="AK435" s="594"/>
      <c r="AL435" s="750"/>
      <c r="AM435" s="570"/>
      <c r="AN435" s="597"/>
    </row>
    <row r="436" spans="1:60" s="550" customFormat="1" ht="12.75" customHeight="1">
      <c r="A436" s="536"/>
      <c r="B436" s="14"/>
      <c r="C436" s="751"/>
      <c r="D436" s="730"/>
      <c r="E436" s="719"/>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4"/>
      <c r="AG437" s="594"/>
      <c r="AH437" s="594"/>
      <c r="AI437" s="594"/>
      <c r="AJ437" s="594"/>
      <c r="AK437" s="594"/>
      <c r="AL437" s="750"/>
      <c r="AM437" s="570"/>
      <c r="AN437" s="597"/>
    </row>
    <row r="438" spans="1:60" s="550" customFormat="1" ht="12.75" customHeight="1">
      <c r="A438" s="536"/>
      <c r="B438" s="14"/>
      <c r="C438" s="751"/>
      <c r="D438" s="730"/>
      <c r="E438" s="719"/>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4"/>
      <c r="AG438" s="594"/>
      <c r="AH438" s="594"/>
      <c r="AI438" s="594"/>
      <c r="AJ438" s="594"/>
      <c r="AK438" s="594"/>
      <c r="AL438" s="750"/>
      <c r="AM438" s="570"/>
      <c r="AN438" s="597"/>
    </row>
    <row r="439" spans="1:60" s="550" customFormat="1" ht="12.75" customHeight="1">
      <c r="A439" s="536"/>
      <c r="B439" s="14"/>
      <c r="C439" s="751"/>
      <c r="D439" s="730"/>
      <c r="E439" s="719"/>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4"/>
      <c r="AG439" s="594"/>
      <c r="AH439" s="594"/>
      <c r="AI439" s="594"/>
      <c r="AJ439" s="594"/>
      <c r="AK439" s="594"/>
      <c r="AL439" s="750"/>
      <c r="AM439" s="570"/>
      <c r="AN439" s="597"/>
    </row>
    <row r="440" spans="1:60" s="550" customFormat="1" ht="12.75" customHeight="1">
      <c r="A440" s="536"/>
      <c r="B440" s="14"/>
      <c r="C440" s="751"/>
      <c r="D440" s="730"/>
      <c r="E440" s="719"/>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4"/>
      <c r="AG440" s="594"/>
      <c r="AH440" s="594"/>
      <c r="AI440" s="594"/>
      <c r="AJ440" s="594"/>
      <c r="AK440" s="594"/>
      <c r="AL440" s="750"/>
      <c r="AM440" s="570"/>
      <c r="AN440" s="597"/>
    </row>
    <row r="441" spans="1:60" s="550" customFormat="1" ht="17.25" customHeight="1">
      <c r="A441" s="536"/>
      <c r="B441" s="14"/>
      <c r="C441" s="751"/>
      <c r="D441" s="730"/>
      <c r="E441" s="719"/>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2"/>
      <c r="AM441" s="570"/>
      <c r="AN441" s="597"/>
    </row>
    <row r="442" spans="1:60" s="550" customFormat="1" ht="12.75" customHeight="1">
      <c r="A442" s="536"/>
      <c r="B442" s="14"/>
      <c r="C442" s="2446" t="s">
        <v>592</v>
      </c>
      <c r="D442" s="244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6" t="s">
        <v>1463</v>
      </c>
      <c r="AG442" s="2526"/>
      <c r="AH442" s="2526"/>
      <c r="AI442" s="2526"/>
      <c r="AJ442" s="2526"/>
      <c r="AK442" s="2526"/>
      <c r="AL442" s="253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6" t="s">
        <v>1489</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4"/>
      <c r="AG445" s="714"/>
      <c r="AH445" s="714"/>
      <c r="AI445" s="714"/>
      <c r="AJ445" s="714"/>
      <c r="AK445" s="714"/>
      <c r="AL445" s="745"/>
      <c r="AM445" s="570"/>
      <c r="AN445" s="597"/>
    </row>
    <row r="446" spans="1:60" s="550" customFormat="1" ht="12.75" customHeight="1">
      <c r="A446" s="536"/>
      <c r="B446" s="14"/>
      <c r="C446" s="751"/>
      <c r="D446" s="730"/>
      <c r="E446" s="719"/>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1"/>
      <c r="AG446" s="591"/>
      <c r="AH446" s="591"/>
      <c r="AI446" s="591"/>
      <c r="AJ446" s="591"/>
      <c r="AK446" s="591"/>
      <c r="AL446" s="720"/>
      <c r="AM446" s="570"/>
      <c r="AN446" s="597"/>
    </row>
    <row r="447" spans="1:60" s="550" customFormat="1" ht="12.75" customHeight="1">
      <c r="A447" s="536"/>
      <c r="B447" s="14"/>
      <c r="C447" s="751"/>
      <c r="D447" s="730"/>
      <c r="E447" s="719"/>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1"/>
      <c r="AG447" s="591"/>
      <c r="AH447" s="591"/>
      <c r="AI447" s="591"/>
      <c r="AJ447" s="591"/>
      <c r="AK447" s="591"/>
      <c r="AL447" s="720"/>
      <c r="AM447" s="570"/>
      <c r="AN447" s="597"/>
    </row>
    <row r="448" spans="1:60" s="550" customFormat="1" ht="12.75" customHeight="1">
      <c r="A448" s="536"/>
      <c r="B448" s="14"/>
      <c r="C448" s="751"/>
      <c r="D448" s="730"/>
      <c r="E448" s="719"/>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2"/>
      <c r="AM448" s="570"/>
      <c r="AN448" s="597"/>
    </row>
    <row r="449" spans="1:40" s="550" customFormat="1" ht="12.75" customHeight="1">
      <c r="A449" s="536"/>
      <c r="B449" s="14"/>
      <c r="C449" s="2446" t="s">
        <v>592</v>
      </c>
      <c r="D449" s="244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6" t="s">
        <v>1463</v>
      </c>
      <c r="AG449" s="2526"/>
      <c r="AH449" s="2526"/>
      <c r="AI449" s="2526"/>
      <c r="AJ449" s="2526"/>
      <c r="AK449" s="2526"/>
      <c r="AL449" s="253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2" t="s">
        <v>592</v>
      </c>
      <c r="D453" s="2563"/>
      <c r="E453" s="715" t="s">
        <v>1498</v>
      </c>
      <c r="F453" s="2436" t="s">
        <v>1499</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1463</v>
      </c>
      <c r="AG453" s="2464"/>
      <c r="AH453" s="2464"/>
      <c r="AI453" s="2464"/>
      <c r="AJ453" s="2464"/>
      <c r="AK453" s="2464"/>
      <c r="AL453" s="2465"/>
      <c r="AM453" s="570"/>
      <c r="AN453" s="753"/>
    </row>
    <row r="454" spans="1:40" s="550" customFormat="1" ht="12.75" customHeight="1">
      <c r="A454" s="536"/>
      <c r="B454" s="14"/>
      <c r="C454" s="751"/>
      <c r="D454" s="730"/>
      <c r="E454" s="719"/>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1"/>
      <c r="AG454" s="591"/>
      <c r="AH454" s="591"/>
      <c r="AI454" s="591"/>
      <c r="AJ454" s="591"/>
      <c r="AK454" s="591"/>
      <c r="AL454" s="720"/>
      <c r="AM454" s="570"/>
      <c r="AN454" s="754"/>
    </row>
    <row r="455" spans="1:40" s="550" customFormat="1" ht="17.649999999999999" customHeight="1">
      <c r="A455" s="536"/>
      <c r="B455" s="14"/>
      <c r="C455" s="756"/>
      <c r="D455" s="723"/>
      <c r="E455" s="724"/>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6" t="s">
        <v>592</v>
      </c>
      <c r="D457" s="2447"/>
      <c r="E457" s="715" t="s">
        <v>1504</v>
      </c>
      <c r="F457" s="2436" t="s">
        <v>1505</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1463</v>
      </c>
      <c r="AG457" s="2464"/>
      <c r="AH457" s="2464"/>
      <c r="AI457" s="2464"/>
      <c r="AJ457" s="2464"/>
      <c r="AK457" s="2464"/>
      <c r="AL457" s="2465"/>
      <c r="AM457" s="570"/>
      <c r="AN457" s="535"/>
    </row>
    <row r="458" spans="1:40" s="550" customFormat="1" ht="12.75" customHeight="1">
      <c r="A458" s="536"/>
      <c r="B458" s="14"/>
      <c r="C458" s="731"/>
      <c r="D458" s="14"/>
      <c r="E458" s="691"/>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39"/>
      <c r="AG458" s="536"/>
      <c r="AL458" s="732"/>
      <c r="AM458" s="570"/>
      <c r="AN458" s="535"/>
    </row>
    <row r="459" spans="1:40" s="550" customFormat="1" ht="12.75" customHeight="1">
      <c r="A459" s="536"/>
      <c r="B459" s="14"/>
      <c r="C459" s="731"/>
      <c r="D459" s="14"/>
      <c r="E459" s="691"/>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39"/>
      <c r="AG459" s="536"/>
      <c r="AL459" s="732"/>
      <c r="AM459" s="570"/>
      <c r="AN459" s="535"/>
    </row>
    <row r="460" spans="1:40" s="550" customFormat="1" ht="12.75" customHeight="1">
      <c r="A460" s="536"/>
      <c r="B460" s="14"/>
      <c r="C460" s="756"/>
      <c r="D460" s="723"/>
      <c r="E460" s="724"/>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6" t="s">
        <v>1508</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4"/>
      <c r="AH462" s="714"/>
      <c r="AI462" s="714"/>
      <c r="AJ462" s="714"/>
      <c r="AK462" s="714"/>
      <c r="AL462" s="745"/>
      <c r="AM462" s="570"/>
      <c r="AN462" s="597"/>
    </row>
    <row r="463" spans="1:40" s="550" customFormat="1" ht="12.75" customHeight="1">
      <c r="A463" s="536"/>
      <c r="B463" s="14"/>
      <c r="C463" s="731"/>
      <c r="D463" s="14"/>
      <c r="E463" s="691"/>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2"/>
      <c r="AM463" s="570"/>
      <c r="AN463" s="597"/>
    </row>
    <row r="464" spans="1:40" s="550" customFormat="1" ht="12.75" customHeight="1">
      <c r="A464" s="536"/>
      <c r="B464" s="14"/>
      <c r="C464" s="739"/>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2"/>
      <c r="AM464" s="570"/>
      <c r="AN464" s="597"/>
    </row>
    <row r="465" spans="1:58" s="550" customFormat="1" ht="12.75" customHeight="1">
      <c r="A465" s="536"/>
      <c r="B465" s="14"/>
      <c r="C465" s="739"/>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2"/>
      <c r="AM465" s="570"/>
      <c r="AN465" s="597"/>
    </row>
    <row r="466" spans="1:58" s="550" customFormat="1" ht="12.75" customHeight="1">
      <c r="A466" s="536"/>
      <c r="B466" s="14"/>
      <c r="C466" s="2446" t="s">
        <v>592</v>
      </c>
      <c r="D466" s="244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8" t="s">
        <v>1463</v>
      </c>
      <c r="AG466" s="2448"/>
      <c r="AH466" s="2448"/>
      <c r="AI466" s="2448"/>
      <c r="AJ466" s="2448"/>
      <c r="AK466" s="2448"/>
      <c r="AL466" s="244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3">
        <f>IF(Application!D214="N/A",AS358,AS360)</f>
        <v>10</v>
      </c>
      <c r="AL469" s="2434"/>
      <c r="AM469" s="243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8" t="s">
        <v>1512</v>
      </c>
      <c r="AF472" s="2448"/>
      <c r="AG472" s="2448"/>
      <c r="AH472" s="2448"/>
      <c r="AI472" s="2448"/>
      <c r="AJ472" s="2448"/>
      <c r="AK472" s="2448"/>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5" t="s">
        <v>592</v>
      </c>
      <c r="D478" s="2456"/>
      <c r="E478" s="761" t="s">
        <v>508</v>
      </c>
      <c r="F478" s="2533" t="s">
        <v>1518</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61" t="s">
        <v>592</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2" t="s">
        <v>546</v>
      </c>
      <c r="D482" s="246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41" t="s">
        <v>592</v>
      </c>
      <c r="W485" s="2441"/>
      <c r="X485" s="244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41" t="s">
        <v>592</v>
      </c>
      <c r="W487" s="2441"/>
      <c r="X487" s="244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41" t="s">
        <v>592</v>
      </c>
      <c r="W492" s="2441"/>
      <c r="X492" s="244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0"/>
      <c r="E495" s="246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41" t="s">
        <v>592</v>
      </c>
      <c r="W496" s="2441"/>
      <c r="X496" s="244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41" t="s">
        <v>592</v>
      </c>
      <c r="W498" s="2441"/>
      <c r="X498" s="244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5" t="s">
        <v>592</v>
      </c>
      <c r="D501" s="2456"/>
      <c r="E501" s="761" t="s">
        <v>508</v>
      </c>
      <c r="F501" s="2533" t="s">
        <v>1518</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4" t="s">
        <v>592</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5" t="s">
        <v>592</v>
      </c>
      <c r="D505" s="2456"/>
      <c r="E505" s="761" t="s">
        <v>758</v>
      </c>
      <c r="F505" s="2457" t="s">
        <v>1540</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9" t="s">
        <v>592</v>
      </c>
      <c r="G508" s="2459"/>
      <c r="H508" s="245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5" t="s">
        <v>592</v>
      </c>
      <c r="D510" s="245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5"/>
      <c r="D512" s="246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6" t="s">
        <v>592</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7" t="s">
        <v>592</v>
      </c>
      <c r="D515" s="2528"/>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7" t="s">
        <v>592</v>
      </c>
      <c r="D519" s="2528"/>
      <c r="F519" s="795" t="s">
        <v>1548</v>
      </c>
      <c r="G519" s="2437" t="s">
        <v>1549</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9" t="s">
        <v>592</v>
      </c>
      <c r="D523" s="2530"/>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1" t="s">
        <v>592</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3">
        <f>SUM(AG479:AG524)</f>
        <v>0</v>
      </c>
      <c r="AL535" s="2434"/>
      <c r="AM535" s="243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6" t="s">
        <v>1561</v>
      </c>
      <c r="AF538" s="2466"/>
      <c r="AG538" s="2466"/>
      <c r="AH538" s="2466"/>
      <c r="AI538" s="2466"/>
      <c r="AJ538" s="2466"/>
      <c r="AK538" s="246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7" t="s">
        <v>546</v>
      </c>
      <c r="D541" s="2447"/>
      <c r="E541" s="551"/>
      <c r="F541" s="2469" t="s">
        <v>1562</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5"/>
      <c r="AN541" s="597"/>
    </row>
    <row r="542" spans="1:81" s="550" customFormat="1" ht="12.75" customHeight="1">
      <c r="A542" s="539"/>
      <c r="B542" s="539"/>
      <c r="C542" s="551"/>
      <c r="D542" s="551"/>
      <c r="E542" s="551"/>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7" t="s">
        <v>592</v>
      </c>
      <c r="D544" s="244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5" t="s">
        <v>1564</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5"/>
      <c r="AN545" s="597"/>
      <c r="AS545" s="870"/>
      <c r="AT545" s="870"/>
      <c r="AU545" s="870"/>
      <c r="AV545" s="870"/>
      <c r="AW545" s="870"/>
    </row>
    <row r="546" spans="1:49" s="550" customFormat="1" ht="12.75" customHeight="1">
      <c r="B546" s="806"/>
      <c r="C546" s="806"/>
      <c r="D546" s="806"/>
      <c r="E546" s="8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5" t="s">
        <v>1565</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3"/>
      <c r="AM548" s="595"/>
      <c r="AN548" s="597"/>
    </row>
    <row r="549" spans="1:49" s="550" customFormat="1" ht="12.75" customHeight="1">
      <c r="B549" s="806"/>
      <c r="C549" s="806"/>
      <c r="D549" s="806"/>
      <c r="E549" s="8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4">
        <f>Application!AJ992</f>
        <v>138554394</v>
      </c>
      <c r="AQ550" s="2424"/>
      <c r="AR550" s="2424"/>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0">
        <f>'Sources and Uses Budget'!S107+'Sources and Uses Budget'!T107</f>
        <v>91951412</v>
      </c>
      <c r="AG551" s="2430"/>
      <c r="AH551" s="2430"/>
      <c r="AI551" s="2430"/>
      <c r="AJ551" s="2430"/>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1">
        <f>IFERROR(AP559,0)</f>
        <v>263253348.19999999</v>
      </c>
      <c r="AG552" s="2431"/>
      <c r="AH552" s="2431"/>
      <c r="AI552" s="2431"/>
      <c r="AJ552" s="2431"/>
      <c r="AK552" s="595"/>
      <c r="AL552" s="595"/>
      <c r="AM552" s="595"/>
      <c r="AN552" s="597"/>
      <c r="AP552" s="2424">
        <f>Application!AJ1045</f>
        <v>0</v>
      </c>
      <c r="AQ552" s="2424"/>
      <c r="AR552" s="24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2">
        <f>IFERROR(ROUNDDOWN(IF(C544="YES",((1-(AF551/AF552))*2),(1-(AF551/AF552))),2),0)</f>
        <v>0.65</v>
      </c>
      <c r="AG553" s="2432"/>
      <c r="AH553" s="2432"/>
      <c r="AI553" s="2432"/>
      <c r="AJ553" s="2432"/>
      <c r="AK553" s="595"/>
      <c r="AL553" s="595"/>
      <c r="AM553" s="595"/>
      <c r="AN553" s="597"/>
      <c r="AP553" s="2420">
        <f>Application!AJ1049</f>
        <v>138554394</v>
      </c>
      <c r="AQ553" s="2420"/>
      <c r="AR553" s="2420"/>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9">
        <f>IF(((AP552+AP553)/AP550)&gt;0.8,0.8,((AP552+AP553)/AP550))</f>
        <v>0.8</v>
      </c>
      <c r="AQ554" s="2439"/>
      <c r="AR554" s="2439"/>
      <c r="AS554" s="550" t="s">
        <v>2172</v>
      </c>
    </row>
    <row r="555" spans="1:49" s="550" customFormat="1" ht="12.75" customHeight="1">
      <c r="A555" s="624"/>
      <c r="B555" s="2506" t="s">
        <v>2032</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5"/>
      <c r="AL555" s="595"/>
      <c r="AM555" s="595"/>
      <c r="AN555" s="597"/>
    </row>
    <row r="556" spans="1:49" s="550" customFormat="1" ht="12.75" customHeight="1">
      <c r="A556" s="624"/>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5"/>
      <c r="AL556" s="595"/>
      <c r="AM556" s="595"/>
      <c r="AN556" s="597"/>
      <c r="AP556" s="2424">
        <f>AP557-AP552-AP553</f>
        <v>152409833</v>
      </c>
      <c r="AQ556" s="2440"/>
      <c r="AR556" s="2440"/>
      <c r="AS556" s="550" t="s">
        <v>2174</v>
      </c>
    </row>
    <row r="557" spans="1:49" s="550" customFormat="1" ht="12.75" customHeight="1">
      <c r="A557" s="624"/>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5"/>
      <c r="AL557" s="595"/>
      <c r="AM557" s="595"/>
      <c r="AN557" s="597"/>
      <c r="AP557" s="2424">
        <f>Application!AJ1053</f>
        <v>290964227</v>
      </c>
      <c r="AQ557" s="2424"/>
      <c r="AR557" s="24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5">
        <f>IFERROR(IF(AND(C541="N/A",C544="N/A"),0,IF(AF553=0,0,IF((AF553*100)&gt;12,12,(AF553*100)))),0)</f>
        <v>12</v>
      </c>
      <c r="AL559" s="2515"/>
      <c r="AM559" s="2516"/>
      <c r="AN559" s="597"/>
      <c r="AP559" s="2409">
        <f>AP556+(AP550*AP554)</f>
        <v>263253348.19999999</v>
      </c>
      <c r="AQ559" s="2410"/>
      <c r="AR559" s="241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6" t="s">
        <v>1315</v>
      </c>
      <c r="AF562" s="2466"/>
      <c r="AG562" s="2466"/>
      <c r="AH562" s="2466"/>
      <c r="AI562" s="2466"/>
      <c r="AJ562" s="2466"/>
      <c r="AK562" s="246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6" t="s">
        <v>2023</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2"/>
      <c r="AL564" s="573"/>
      <c r="AM564" s="603"/>
      <c r="AN564" s="597"/>
    </row>
    <row r="565" spans="1:42" s="550" customFormat="1" ht="12.75" customHeight="1">
      <c r="A565" s="6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2"/>
      <c r="AL565" s="573"/>
      <c r="AM565" s="603"/>
      <c r="AN565" s="597"/>
    </row>
    <row r="566" spans="1:42" s="550" customFormat="1" ht="12.75" customHeight="1">
      <c r="A566" s="6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2"/>
      <c r="AL566" s="573"/>
      <c r="AM566" s="603"/>
      <c r="AN566" s="597"/>
    </row>
    <row r="567" spans="1:42" s="550" customFormat="1" ht="12.75" customHeight="1">
      <c r="A567" s="6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2"/>
      <c r="AL567" s="573"/>
      <c r="AM567" s="603"/>
      <c r="AN567" s="597"/>
    </row>
    <row r="568" spans="1:42" s="550" customFormat="1" ht="12.75" customHeight="1">
      <c r="A568" s="6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2"/>
      <c r="AL568" s="573"/>
      <c r="AM568" s="603"/>
      <c r="AN568" s="597"/>
    </row>
    <row r="569" spans="1:42" s="550" customFormat="1" ht="12.75" customHeight="1">
      <c r="A569" s="6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2"/>
      <c r="AL569" s="573"/>
      <c r="AM569" s="603"/>
      <c r="AN569" s="597"/>
    </row>
    <row r="570" spans="1:42" s="550" customFormat="1" ht="12.75" customHeight="1">
      <c r="A570" s="6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2"/>
      <c r="AL570" s="573"/>
      <c r="AM570" s="603"/>
      <c r="AN570" s="597"/>
    </row>
    <row r="571" spans="1:42" ht="12.75" customHeight="1">
      <c r="A571" s="6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2"/>
      <c r="AL571" s="573"/>
      <c r="AM571" s="603"/>
    </row>
    <row r="572" spans="1:42" s="5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6" t="s">
        <v>1339</v>
      </c>
      <c r="AG578" s="2526"/>
      <c r="AH578" s="2526"/>
      <c r="AI578" s="2526"/>
      <c r="AJ578" s="2526"/>
      <c r="AK578" s="2526"/>
      <c r="AL578" s="252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6" t="s">
        <v>1397</v>
      </c>
      <c r="AG585" s="2526"/>
      <c r="AH585" s="2526"/>
      <c r="AI585" s="2526"/>
      <c r="AJ585" s="2526"/>
      <c r="AK585" s="2526"/>
      <c r="AL585" s="252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6" t="s">
        <v>1379</v>
      </c>
      <c r="AG591" s="2526"/>
      <c r="AH591" s="2526"/>
      <c r="AI591" s="2526"/>
      <c r="AJ591" s="2526"/>
      <c r="AK591" s="2526"/>
      <c r="AL591" s="252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6" t="s">
        <v>1400</v>
      </c>
      <c r="AG597" s="2526"/>
      <c r="AH597" s="2526"/>
      <c r="AI597" s="2526"/>
      <c r="AJ597" s="2526"/>
      <c r="AK597" s="2526"/>
      <c r="AL597" s="2526"/>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2" t="s">
        <v>1185</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6" t="s">
        <v>1353</v>
      </c>
      <c r="AG603" s="2526"/>
      <c r="AH603" s="2526"/>
      <c r="AI603" s="2526"/>
      <c r="AJ603" s="2526"/>
      <c r="AK603" s="2526"/>
      <c r="AL603" s="252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50" t="s">
        <v>688</v>
      </c>
      <c r="I606" s="2450"/>
      <c r="J606" s="936"/>
      <c r="K606" s="936"/>
      <c r="L606" s="936"/>
      <c r="N606" s="22"/>
      <c r="O606" s="22"/>
      <c r="P606" s="22"/>
      <c r="Q606" s="1151" t="s">
        <v>2177</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41" t="s">
        <v>592</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8" t="s">
        <v>592</v>
      </c>
      <c r="C616" s="2398"/>
      <c r="D616" s="642"/>
      <c r="E616" s="2426" t="s">
        <v>1404</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2"/>
      <c r="AI616" s="642"/>
      <c r="AJ616" s="642"/>
      <c r="AK616" s="642"/>
      <c r="AL616" s="642"/>
      <c r="AN616" s="597"/>
    </row>
    <row r="617" spans="1:42" s="550" customFormat="1" ht="12.75" customHeight="1">
      <c r="B617" s="536"/>
      <c r="C617" s="933"/>
      <c r="D617" s="6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2"/>
      <c r="AI617" s="642"/>
      <c r="AJ617" s="642"/>
      <c r="AK617" s="642"/>
      <c r="AL617" s="642"/>
      <c r="AN617" s="597"/>
    </row>
    <row r="618" spans="1:42" s="550" customFormat="1" ht="12.75" customHeight="1">
      <c r="B618" s="536"/>
      <c r="C618" s="933"/>
      <c r="D618" s="6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2"/>
      <c r="AI618" s="642"/>
      <c r="AJ618" s="642"/>
      <c r="AK618" s="642"/>
      <c r="AL618" s="642"/>
      <c r="AN618" s="597"/>
    </row>
    <row r="619" spans="1:42" s="550" customFormat="1" ht="12.75" customHeight="1">
      <c r="B619" s="536"/>
      <c r="C619" s="933"/>
      <c r="D619" s="6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3">
        <f>VLOOKUP($H$606,$AO$586:$AP$591,2,FALSE)+IF(R606=AO594,0,VLOOKUP($I$614,$AO$613:$AP$615,2,FALSE))</f>
        <v>7</v>
      </c>
      <c r="AK621" s="243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0" t="s">
        <v>1695</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526" t="s">
        <v>1353</v>
      </c>
      <c r="AG625" s="2526"/>
      <c r="AH625" s="2526"/>
      <c r="AI625" s="2526"/>
      <c r="AJ625" s="2526"/>
      <c r="AK625" s="2526"/>
      <c r="AL625" s="2526"/>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8" t="s">
        <v>592</v>
      </c>
      <c r="Y634" s="239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6" t="s">
        <v>1409</v>
      </c>
      <c r="AG636" s="2526"/>
      <c r="AH636" s="2526"/>
      <c r="AI636" s="2526"/>
      <c r="AJ636" s="2526"/>
      <c r="AK636" s="2526"/>
      <c r="AL636" s="252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50" t="s">
        <v>688</v>
      </c>
      <c r="I638" s="245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3">
        <f>VLOOKUP($H$638,$AO$605:$AP$607,2,FALSE)</f>
        <v>3</v>
      </c>
      <c r="AK640" s="243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6" t="s">
        <v>2098</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6"/>
      <c r="AF644" s="2526" t="s">
        <v>1353</v>
      </c>
      <c r="AG644" s="2526"/>
      <c r="AH644" s="2526"/>
      <c r="AI644" s="2526"/>
      <c r="AJ644" s="2526"/>
      <c r="AK644" s="2526"/>
      <c r="AL644" s="2526"/>
      <c r="AN644" s="597"/>
    </row>
    <row r="645" spans="1:42" s="550" customFormat="1" ht="12.75" customHeight="1">
      <c r="B645" s="536"/>
      <c r="C645" s="536"/>
      <c r="D645" s="6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6" t="s">
        <v>1409</v>
      </c>
      <c r="AG647" s="2526"/>
      <c r="AH647" s="2526"/>
      <c r="AI647" s="2526"/>
      <c r="AJ647" s="2526"/>
      <c r="AK647" s="2526"/>
      <c r="AL647" s="252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50" t="s">
        <v>592</v>
      </c>
      <c r="I650" s="245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3">
        <f>VLOOKUP(H650,AT605:AU607,2,FALSE)</f>
        <v>0</v>
      </c>
      <c r="AK652" s="243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6" t="s">
        <v>1419</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6"/>
      <c r="AE657" s="536"/>
      <c r="AF657" s="2526" t="s">
        <v>1379</v>
      </c>
      <c r="AG657" s="2526"/>
      <c r="AH657" s="2526"/>
      <c r="AI657" s="2526"/>
      <c r="AJ657" s="2526"/>
      <c r="AK657" s="2526"/>
      <c r="AL657" s="2526"/>
      <c r="AN657" s="597"/>
    </row>
    <row r="658" spans="1:42" s="550" customFormat="1" ht="12.75" customHeight="1">
      <c r="B658" s="536"/>
      <c r="C658" s="539"/>
      <c r="D658" s="5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6"/>
      <c r="AE658" s="536"/>
      <c r="AF658" s="536"/>
      <c r="AG658" s="536"/>
      <c r="AH658" s="536"/>
      <c r="AI658" s="536"/>
      <c r="AJ658" s="536"/>
      <c r="AK658" s="536"/>
      <c r="AL658" s="536"/>
      <c r="AN658" s="597"/>
    </row>
    <row r="659" spans="1:42" s="550" customFormat="1" ht="12.75" customHeight="1">
      <c r="B659" s="536"/>
      <c r="C659" s="539"/>
      <c r="D659" s="6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6" t="s">
        <v>1420</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6"/>
      <c r="AE661" s="536"/>
      <c r="AF661" s="2526" t="s">
        <v>1400</v>
      </c>
      <c r="AG661" s="2526"/>
      <c r="AH661" s="2526"/>
      <c r="AI661" s="2526"/>
      <c r="AJ661" s="2526"/>
      <c r="AK661" s="2526"/>
      <c r="AL661" s="2526"/>
      <c r="AN661" s="597"/>
    </row>
    <row r="662" spans="1:42" s="550" customFormat="1" ht="12.75" customHeight="1">
      <c r="B662" s="536"/>
      <c r="C662" s="539"/>
      <c r="D662" s="5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6"/>
      <c r="AE662" s="536"/>
      <c r="AF662" s="536"/>
      <c r="AG662" s="536"/>
      <c r="AH662" s="536"/>
      <c r="AI662" s="536"/>
      <c r="AJ662" s="536"/>
      <c r="AK662" s="536"/>
      <c r="AL662" s="536"/>
      <c r="AN662" s="597"/>
    </row>
    <row r="663" spans="1:42" s="550" customFormat="1" ht="15" customHeight="1">
      <c r="B663" s="536"/>
      <c r="C663" s="539"/>
      <c r="D663" s="6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6" t="s">
        <v>1421</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6"/>
      <c r="AE665" s="536"/>
      <c r="AF665" s="2526" t="s">
        <v>1353</v>
      </c>
      <c r="AG665" s="2526"/>
      <c r="AH665" s="2526"/>
      <c r="AI665" s="2526"/>
      <c r="AJ665" s="2526"/>
      <c r="AK665" s="2526"/>
      <c r="AL665" s="2526"/>
      <c r="AN665" s="597"/>
    </row>
    <row r="666" spans="1:42" s="550" customFormat="1" ht="12.75" customHeight="1">
      <c r="B666" s="536"/>
      <c r="C666" s="931"/>
      <c r="D666" s="5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6"/>
      <c r="AE666" s="2526"/>
      <c r="AF666" s="2526"/>
      <c r="AG666" s="2526"/>
      <c r="AH666" s="2526"/>
      <c r="AI666" s="2526"/>
      <c r="AJ666" s="2526"/>
      <c r="AK666" s="2526"/>
      <c r="AL666" s="594"/>
      <c r="AN666" s="597"/>
      <c r="AO666" s="550" t="s">
        <v>592</v>
      </c>
      <c r="AP666" s="673">
        <v>0</v>
      </c>
    </row>
    <row r="667" spans="1:42" s="550" customFormat="1" ht="12.75" customHeight="1">
      <c r="A667" s="679"/>
      <c r="B667" s="536"/>
      <c r="C667" s="536"/>
      <c r="D667" s="6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6" t="s">
        <v>1422</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6"/>
      <c r="AE669" s="536"/>
      <c r="AF669" s="2526" t="s">
        <v>1400</v>
      </c>
      <c r="AG669" s="2526"/>
      <c r="AH669" s="2526"/>
      <c r="AI669" s="2526"/>
      <c r="AJ669" s="2526"/>
      <c r="AK669" s="2526"/>
      <c r="AL669" s="2526"/>
      <c r="AN669" s="597"/>
    </row>
    <row r="670" spans="1:42" s="550" customFormat="1" ht="12.75" customHeight="1">
      <c r="A670" s="670"/>
      <c r="B670" s="536"/>
      <c r="C670" s="947"/>
      <c r="D670" s="6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6" t="s">
        <v>1423</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6"/>
      <c r="AE673" s="536"/>
      <c r="AF673" s="2526" t="s">
        <v>1353</v>
      </c>
      <c r="AG673" s="2526"/>
      <c r="AH673" s="2526"/>
      <c r="AI673" s="2526"/>
      <c r="AJ673" s="2526"/>
      <c r="AK673" s="2526"/>
      <c r="AL673" s="2526"/>
      <c r="AM673" s="596"/>
      <c r="AN673" s="597"/>
    </row>
    <row r="674" spans="1:42" s="550" customFormat="1" ht="12.75" customHeight="1">
      <c r="B674" s="536"/>
      <c r="C674" s="931"/>
      <c r="D674" s="6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6"/>
      <c r="AE674" s="536"/>
      <c r="AF674" s="536"/>
      <c r="AG674" s="536"/>
      <c r="AH674" s="536"/>
      <c r="AI674" s="536"/>
      <c r="AJ674" s="536"/>
      <c r="AK674" s="536"/>
      <c r="AL674" s="536"/>
      <c r="AM674" s="596"/>
      <c r="AN674" s="597"/>
    </row>
    <row r="675" spans="1:42" s="550" customFormat="1" ht="12.75" customHeight="1">
      <c r="B675" s="536"/>
      <c r="C675" s="931"/>
      <c r="D675" s="6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6" t="s">
        <v>1424</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6"/>
      <c r="AE677" s="536"/>
      <c r="AF677" s="2526" t="s">
        <v>1409</v>
      </c>
      <c r="AG677" s="2526"/>
      <c r="AH677" s="2526"/>
      <c r="AI677" s="2526"/>
      <c r="AJ677" s="2526"/>
      <c r="AK677" s="2526"/>
      <c r="AL677" s="2526"/>
      <c r="AM677" s="596"/>
      <c r="AN677" s="597"/>
    </row>
    <row r="678" spans="1:42" s="550" customFormat="1" ht="12.75" customHeight="1">
      <c r="A678" s="679"/>
      <c r="B678" s="536"/>
      <c r="C678" s="931"/>
      <c r="D678" s="6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6" t="s">
        <v>1425</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6"/>
      <c r="AE681" s="536"/>
      <c r="AF681" s="2526" t="s">
        <v>1426</v>
      </c>
      <c r="AG681" s="2526"/>
      <c r="AH681" s="2526"/>
      <c r="AI681" s="2526"/>
      <c r="AJ681" s="2526"/>
      <c r="AK681" s="2526"/>
      <c r="AL681" s="2526"/>
      <c r="AM681" s="596"/>
      <c r="AN681" s="597"/>
      <c r="AO681" s="611" t="s">
        <v>688</v>
      </c>
      <c r="AP681" s="550">
        <v>3</v>
      </c>
    </row>
    <row r="682" spans="1:42" s="550" customFormat="1" ht="12.75" customHeight="1">
      <c r="A682" s="679"/>
      <c r="B682" s="536"/>
      <c r="C682" s="931"/>
      <c r="D682" s="6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50" t="s">
        <v>592</v>
      </c>
      <c r="I685" s="245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3">
        <f>VLOOKUP($H$685,$AO$633:$AP$640,2,FALSE)</f>
        <v>0</v>
      </c>
      <c r="AK687" s="243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229</v>
      </c>
    </row>
    <row r="691" spans="1:51" s="550" customFormat="1" ht="12.75" customHeight="1">
      <c r="A691" s="679"/>
      <c r="B691" s="536"/>
      <c r="C691" s="948"/>
      <c r="D691" s="663" t="s">
        <v>688</v>
      </c>
      <c r="E691" s="2396" t="s">
        <v>2190</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6"/>
      <c r="AD691" s="536"/>
      <c r="AE691" s="536"/>
      <c r="AF691" s="2526" t="s">
        <v>1353</v>
      </c>
      <c r="AG691" s="2526"/>
      <c r="AH691" s="2526"/>
      <c r="AI691" s="2526"/>
      <c r="AJ691" s="2526"/>
      <c r="AK691" s="2526"/>
      <c r="AL691" s="2526"/>
      <c r="AN691" s="597"/>
      <c r="AW691" s="22" t="s">
        <v>2185</v>
      </c>
      <c r="AX691" s="550">
        <f>Application!DE753</f>
        <v>0</v>
      </c>
    </row>
    <row r="692" spans="1:51" s="550" customFormat="1" ht="12.75" customHeight="1">
      <c r="A692" s="679"/>
      <c r="B692" s="536"/>
      <c r="C692" s="948"/>
      <c r="D692" s="663"/>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6" t="s">
        <v>2134</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6"/>
      <c r="AD694" s="536"/>
      <c r="AE694" s="536"/>
      <c r="AF694" s="2526" t="s">
        <v>1353</v>
      </c>
      <c r="AG694" s="2526"/>
      <c r="AH694" s="2526"/>
      <c r="AI694" s="2526"/>
      <c r="AJ694" s="2526"/>
      <c r="AK694" s="2526"/>
      <c r="AL694" s="2526"/>
      <c r="AN694" s="597"/>
      <c r="AW694" s="22" t="s">
        <v>2188</v>
      </c>
      <c r="AX694" s="550">
        <f>AX691+AX692+AX693</f>
        <v>0</v>
      </c>
    </row>
    <row r="695" spans="1:51" s="550" customFormat="1" ht="12.75" customHeight="1">
      <c r="B695" s="536"/>
      <c r="C695" s="940"/>
      <c r="D695" s="6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6"/>
      <c r="AD695" s="536"/>
      <c r="AE695" s="616"/>
      <c r="AF695" s="536"/>
      <c r="AG695" s="536"/>
      <c r="AH695" s="536"/>
      <c r="AI695" s="536"/>
      <c r="AJ695" s="536"/>
      <c r="AK695" s="536"/>
      <c r="AL695" s="536"/>
      <c r="AN695" s="597"/>
      <c r="AO695" s="2440" t="b">
        <f>IF(Application!D211="Special Needs",IF(AY695&gt;=0.25,TRUE,FALSE),IF(AX695&gt;=0.25,TRUE,FALSE))</f>
        <v>0</v>
      </c>
      <c r="AP695" s="2440"/>
      <c r="AW695" s="22" t="s">
        <v>2189</v>
      </c>
      <c r="AX695" s="550">
        <f>IFERROR(AX694/AX690,0)</f>
        <v>0</v>
      </c>
      <c r="AY695" s="550">
        <f>IFERROR(AX694/(AX690-AX689),0)</f>
        <v>0</v>
      </c>
    </row>
    <row r="696" spans="1:51" s="550" customFormat="1" ht="12.75" customHeight="1">
      <c r="B696" s="536"/>
      <c r="C696" s="940"/>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6" t="s">
        <v>2135</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6"/>
      <c r="AD699" s="536"/>
      <c r="AE699" s="536"/>
      <c r="AF699" s="2526" t="s">
        <v>1409</v>
      </c>
      <c r="AG699" s="2526"/>
      <c r="AH699" s="2526"/>
      <c r="AI699" s="2526"/>
      <c r="AJ699" s="2526"/>
      <c r="AK699" s="2526"/>
      <c r="AL699" s="2526"/>
      <c r="AN699" s="597"/>
      <c r="AO699" s="611" t="s">
        <v>510</v>
      </c>
      <c r="AP699" s="550">
        <v>1</v>
      </c>
    </row>
    <row r="700" spans="1:51" s="550" customFormat="1" ht="12" customHeight="1">
      <c r="B700" s="536"/>
      <c r="C700" s="931"/>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6"/>
      <c r="AD700" s="536"/>
      <c r="AE700" s="616"/>
      <c r="AF700" s="536"/>
      <c r="AG700" s="536"/>
      <c r="AH700" s="536"/>
      <c r="AI700" s="536"/>
      <c r="AJ700" s="536"/>
      <c r="AK700" s="536"/>
      <c r="AL700" s="536"/>
      <c r="AN700" s="597"/>
    </row>
    <row r="701" spans="1:51" s="550" customFormat="1" ht="12" customHeight="1">
      <c r="B701" s="536"/>
      <c r="C701" s="931"/>
      <c r="D701" s="5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6"/>
      <c r="AD701" s="536"/>
      <c r="AE701" s="616"/>
      <c r="AF701" s="536"/>
      <c r="AG701" s="536"/>
      <c r="AH701" s="536"/>
      <c r="AI701" s="536"/>
      <c r="AJ701" s="536"/>
      <c r="AK701" s="536"/>
      <c r="AL701" s="536"/>
      <c r="AN701" s="597"/>
    </row>
    <row r="702" spans="1:51" s="550" customFormat="1" ht="12" customHeight="1">
      <c r="B702" s="536"/>
      <c r="C702" s="931"/>
      <c r="D702" s="5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6" t="s">
        <v>1694</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50" t="s">
        <v>592</v>
      </c>
      <c r="I709" s="245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3">
        <f>VLOOKUP($H$709,$AO$703:$AP$706,2,FALSE)</f>
        <v>0</v>
      </c>
      <c r="AK711" s="243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8" t="s">
        <v>1696</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526" t="s">
        <v>1353</v>
      </c>
      <c r="AG715" s="2526"/>
      <c r="AH715" s="2526"/>
      <c r="AI715" s="2526"/>
      <c r="AJ715" s="2526"/>
      <c r="AK715" s="2526"/>
      <c r="AL715" s="2526"/>
      <c r="AM715" s="550"/>
      <c r="AN715" s="684"/>
      <c r="AP715" s="570" t="s">
        <v>1433</v>
      </c>
    </row>
    <row r="716" spans="1:43" s="570" customFormat="1" ht="11.85"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9" t="s">
        <v>1436</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526" t="s">
        <v>1409</v>
      </c>
      <c r="AG719" s="2526"/>
      <c r="AH719" s="2526"/>
      <c r="AI719" s="2526"/>
      <c r="AJ719" s="2526"/>
      <c r="AK719" s="2526"/>
      <c r="AL719" s="252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50" t="s">
        <v>592</v>
      </c>
      <c r="I723" s="245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3">
        <f>VLOOKUP($H$723,$AP$720:$AQ$722,2,FALSE)</f>
        <v>0</v>
      </c>
      <c r="AK725" s="2435"/>
      <c r="AL725" s="595"/>
      <c r="AM725" s="550"/>
      <c r="AN725" s="684"/>
      <c r="AP725" s="2433"/>
      <c r="AQ725" s="243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6" t="s">
        <v>1697</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6"/>
      <c r="AD729" s="536"/>
      <c r="AE729" s="536"/>
      <c r="AF729" s="2526" t="s">
        <v>1353</v>
      </c>
      <c r="AG729" s="2526"/>
      <c r="AH729" s="2526"/>
      <c r="AI729" s="2526"/>
      <c r="AJ729" s="2526"/>
      <c r="AK729" s="2526"/>
      <c r="AL729" s="2526"/>
      <c r="AM729" s="550"/>
      <c r="AN729" s="684"/>
      <c r="AT729" s="14"/>
      <c r="AU729" s="14"/>
      <c r="AV729" s="14"/>
      <c r="AW729" s="14"/>
      <c r="AX729" s="14"/>
      <c r="AY729" s="14"/>
      <c r="AZ729" s="14"/>
    </row>
    <row r="730" spans="1:81" s="570" customFormat="1">
      <c r="A730" s="550"/>
      <c r="B730" s="536"/>
      <c r="C730" s="933"/>
      <c r="D730" s="6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6" t="s">
        <v>1440</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6"/>
      <c r="AD732" s="536"/>
      <c r="AE732" s="536"/>
      <c r="AF732" s="2526" t="s">
        <v>1409</v>
      </c>
      <c r="AG732" s="2526"/>
      <c r="AH732" s="2526"/>
      <c r="AI732" s="2526"/>
      <c r="AJ732" s="2526"/>
      <c r="AK732" s="2526"/>
      <c r="AL732" s="2526"/>
      <c r="AM732" s="550"/>
      <c r="AN732" s="684"/>
      <c r="AT732" s="14"/>
      <c r="AU732" s="14"/>
      <c r="AV732" s="14"/>
      <c r="AW732" s="14"/>
      <c r="AX732" s="14"/>
      <c r="AY732" s="14"/>
      <c r="AZ732" s="14"/>
    </row>
    <row r="733" spans="1:81" s="570" customFormat="1">
      <c r="A733" s="550"/>
      <c r="B733" s="536"/>
      <c r="C733" s="933"/>
      <c r="D733" s="5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50" t="s">
        <v>592</v>
      </c>
      <c r="I735" s="245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3">
        <f>VLOOKUP($H$735,$AO$666:$AP$668,2,FALSE)</f>
        <v>0</v>
      </c>
      <c r="AK737" s="243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6" t="s">
        <v>1443</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6"/>
      <c r="AD741" s="536"/>
      <c r="AE741" s="536"/>
      <c r="AF741" s="2526" t="s">
        <v>1353</v>
      </c>
      <c r="AG741" s="2526"/>
      <c r="AH741" s="2526"/>
      <c r="AI741" s="2526"/>
      <c r="AJ741" s="2526"/>
      <c r="AK741" s="2526"/>
      <c r="AL741" s="2526"/>
      <c r="AM741" s="550"/>
      <c r="AN741" s="684"/>
      <c r="AT741" s="14"/>
      <c r="AU741" s="14"/>
      <c r="AV741" s="14"/>
      <c r="AW741" s="14"/>
      <c r="AX741" s="14"/>
      <c r="AY741" s="14"/>
      <c r="AZ741" s="14"/>
    </row>
    <row r="742" spans="1:81" s="570" customFormat="1">
      <c r="A742" s="550"/>
      <c r="B742" s="536"/>
      <c r="C742" s="931"/>
      <c r="D742" s="6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6" t="s">
        <v>1444</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5"/>
      <c r="AC746" s="536"/>
      <c r="AD746" s="536"/>
      <c r="AE746" s="536"/>
      <c r="AF746" s="2526" t="s">
        <v>1409</v>
      </c>
      <c r="AG746" s="2526"/>
      <c r="AH746" s="2526"/>
      <c r="AI746" s="2526"/>
      <c r="AJ746" s="2526"/>
      <c r="AK746" s="2526"/>
      <c r="AL746" s="2526"/>
      <c r="AM746" s="550"/>
      <c r="AN746" s="684"/>
      <c r="AO746" s="30"/>
      <c r="AP746" s="14"/>
    </row>
    <row r="747" spans="1:81" s="570" customFormat="1">
      <c r="A747" s="550"/>
      <c r="B747" s="536"/>
      <c r="C747" s="931"/>
      <c r="D747" s="6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50" t="s">
        <v>592</v>
      </c>
      <c r="I751" s="245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3">
        <f>VLOOKUP($H$751,$AO$680:$AP$682,2,FALSE)</f>
        <v>0</v>
      </c>
      <c r="AK753" s="243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6" t="s">
        <v>1446</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6"/>
      <c r="AD757" s="536"/>
      <c r="AE757" s="536"/>
      <c r="AF757" s="2526" t="s">
        <v>1409</v>
      </c>
      <c r="AG757" s="2526"/>
      <c r="AH757" s="2526"/>
      <c r="AI757" s="2526"/>
      <c r="AJ757" s="2526"/>
      <c r="AK757" s="2526"/>
      <c r="AL757" s="252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6" t="s">
        <v>1447</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6"/>
      <c r="AD760" s="536"/>
      <c r="AE760" s="536"/>
      <c r="AF760" s="2526" t="s">
        <v>1426</v>
      </c>
      <c r="AG760" s="2526"/>
      <c r="AH760" s="2526"/>
      <c r="AI760" s="2526"/>
      <c r="AJ760" s="2526"/>
      <c r="AK760" s="2526"/>
      <c r="AL760" s="252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50" t="s">
        <v>592</v>
      </c>
      <c r="I763" s="245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3">
        <f>VLOOKUP($H$763,$AO$697:$AP$699,2,FALSE)</f>
        <v>0</v>
      </c>
      <c r="AK765" s="243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6" t="s">
        <v>1693</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6"/>
      <c r="AF769" s="2526" t="s">
        <v>1409</v>
      </c>
      <c r="AG769" s="2526"/>
      <c r="AH769" s="2526"/>
      <c r="AI769" s="2526"/>
      <c r="AJ769" s="2526"/>
      <c r="AK769" s="2526"/>
      <c r="AL769" s="2526"/>
      <c r="AM769" s="613"/>
      <c r="AN769" s="684"/>
      <c r="AO769" s="550" t="s">
        <v>592</v>
      </c>
      <c r="AP769" s="673">
        <v>0</v>
      </c>
    </row>
    <row r="770" spans="1:81" s="570" customFormat="1" ht="13.7" customHeight="1">
      <c r="A770" s="550"/>
      <c r="B770" s="616"/>
      <c r="C770" s="940"/>
      <c r="D770" s="6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526" t="s">
        <v>1353</v>
      </c>
      <c r="AG774" s="2526"/>
      <c r="AH774" s="2526"/>
      <c r="AI774" s="2526"/>
      <c r="AJ774" s="2526"/>
      <c r="AK774" s="2526"/>
      <c r="AL774" s="2526"/>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50" t="s">
        <v>592</v>
      </c>
      <c r="I779" s="245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3">
        <f>VLOOKUP($H$779,$AO$769:$AP$771,2,FALSE)</f>
        <v>0</v>
      </c>
      <c r="AK781" s="243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6" t="s">
        <v>2033</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6"/>
      <c r="AF785" s="2526" t="s">
        <v>1353</v>
      </c>
      <c r="AG785" s="2526"/>
      <c r="AH785" s="2526"/>
      <c r="AI785" s="2526"/>
      <c r="AJ785" s="2526"/>
      <c r="AK785" s="2526"/>
      <c r="AL785" s="252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50" t="s">
        <v>592</v>
      </c>
      <c r="I790" s="245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3">
        <f>VLOOKUP($H$790,$AO$784:$AP$785,2,FALSE)</f>
        <v>0</v>
      </c>
      <c r="AK792" s="243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3">
        <f>IF(($AJ$621+$AJ$640+$AJ$652+$AJ$687+$AJ$711+$AJ$725+$AJ$737+$AJ$753+$AJ$765+$AJ$781+AJ792)&gt;10,10,($AJ$621+$AJ$640+$AJ$652+$AJ$687+$AJ$711+$AJ$725+$AJ$737+$AJ$753+$AJ$765+$AJ$781+AJ792))</f>
        <v>10</v>
      </c>
      <c r="AL794" s="2434"/>
      <c r="AM794" s="243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7" t="s">
        <v>1569</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6"/>
      <c r="AQ800" s="81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0" t="s">
        <v>1570</v>
      </c>
      <c r="U802" s="2521"/>
      <c r="V802" s="2521"/>
      <c r="W802" s="2521"/>
      <c r="X802" s="2521"/>
      <c r="Y802" s="2522"/>
      <c r="Z802" s="2520" t="s">
        <v>1571</v>
      </c>
      <c r="AA802" s="2521"/>
      <c r="AB802" s="2521"/>
      <c r="AC802" s="2521"/>
      <c r="AD802" s="2521"/>
      <c r="AE802" s="2522"/>
      <c r="AF802" s="2520" t="s">
        <v>1572</v>
      </c>
      <c r="AG802" s="2521"/>
      <c r="AH802" s="2521"/>
      <c r="AI802" s="2521"/>
      <c r="AJ802" s="2521"/>
      <c r="AK802" s="252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3"/>
      <c r="U803" s="2524"/>
      <c r="V803" s="2524"/>
      <c r="W803" s="2524"/>
      <c r="X803" s="2524"/>
      <c r="Y803" s="2525"/>
      <c r="Z803" s="2523"/>
      <c r="AA803" s="2524"/>
      <c r="AB803" s="2524"/>
      <c r="AC803" s="2524"/>
      <c r="AD803" s="2524"/>
      <c r="AE803" s="2525"/>
      <c r="AF803" s="2523"/>
      <c r="AG803" s="2524"/>
      <c r="AH803" s="2524"/>
      <c r="AI803" s="2524"/>
      <c r="AJ803" s="2524"/>
      <c r="AK803" s="2525"/>
      <c r="AL803" s="818"/>
      <c r="AM803" s="596"/>
      <c r="AO803" s="816"/>
      <c r="AP803" s="816"/>
      <c r="AQ803" s="816"/>
    </row>
    <row r="804" spans="1:81">
      <c r="A804" s="819" t="s">
        <v>758</v>
      </c>
      <c r="B804" s="2477" t="s">
        <v>1305</v>
      </c>
      <c r="C804" s="2477"/>
      <c r="D804" s="2477"/>
      <c r="E804" s="2477"/>
      <c r="F804" s="2477"/>
      <c r="G804" s="2477"/>
      <c r="H804" s="2477"/>
      <c r="I804" s="2477"/>
      <c r="J804" s="2477"/>
      <c r="K804" s="2477"/>
      <c r="L804" s="2477"/>
      <c r="M804" s="2477"/>
      <c r="N804" s="2477"/>
      <c r="O804" s="2477"/>
      <c r="P804" s="2477"/>
      <c r="Q804" s="2477"/>
      <c r="R804" s="2477"/>
      <c r="S804" s="2478"/>
      <c r="T804" s="2505">
        <f>AK62</f>
        <v>20</v>
      </c>
      <c r="U804" s="2481"/>
      <c r="V804" s="2481"/>
      <c r="W804" s="2481"/>
      <c r="X804" s="2481"/>
      <c r="Y804" s="2482"/>
      <c r="Z804" s="2480">
        <v>20</v>
      </c>
      <c r="AA804" s="2481"/>
      <c r="AB804" s="2481"/>
      <c r="AC804" s="2481"/>
      <c r="AD804" s="2481"/>
      <c r="AE804" s="2482"/>
      <c r="AF804" s="2445">
        <f>IF(T804&gt;Z804,Z804,T804)</f>
        <v>20</v>
      </c>
      <c r="AG804" s="2445"/>
      <c r="AH804" s="2445"/>
      <c r="AI804" s="2445"/>
      <c r="AJ804" s="2445"/>
      <c r="AK804" s="2445"/>
      <c r="AL804" s="818"/>
      <c r="AM804" s="596"/>
      <c r="AO804" s="816"/>
      <c r="AP804" s="816"/>
      <c r="AQ804" s="816"/>
    </row>
    <row r="805" spans="1:81">
      <c r="A805" s="819" t="s">
        <v>1542</v>
      </c>
      <c r="B805" s="2477" t="s">
        <v>1314</v>
      </c>
      <c r="C805" s="2477"/>
      <c r="D805" s="2477"/>
      <c r="E805" s="2477"/>
      <c r="F805" s="2477"/>
      <c r="G805" s="2477"/>
      <c r="H805" s="2477"/>
      <c r="I805" s="2477"/>
      <c r="J805" s="2477"/>
      <c r="K805" s="2477"/>
      <c r="L805" s="2477"/>
      <c r="M805" s="2477"/>
      <c r="N805" s="2477"/>
      <c r="O805" s="2477"/>
      <c r="P805" s="2477"/>
      <c r="Q805" s="2477"/>
      <c r="R805" s="2477"/>
      <c r="S805" s="2478"/>
      <c r="T805" s="2505">
        <f>AK84</f>
        <v>0</v>
      </c>
      <c r="U805" s="2481"/>
      <c r="V805" s="2481"/>
      <c r="W805" s="2481"/>
      <c r="X805" s="2481"/>
      <c r="Y805" s="2482"/>
      <c r="Z805" s="2480">
        <v>10</v>
      </c>
      <c r="AA805" s="2481"/>
      <c r="AB805" s="2481"/>
      <c r="AC805" s="2481"/>
      <c r="AD805" s="2481"/>
      <c r="AE805" s="2482"/>
      <c r="AF805" s="2445">
        <f>IF(T805&gt;Z805,Z805,T805)</f>
        <v>0</v>
      </c>
      <c r="AG805" s="2445"/>
      <c r="AH805" s="2445"/>
      <c r="AI805" s="2445"/>
      <c r="AJ805" s="2445"/>
      <c r="AK805" s="2445"/>
      <c r="AL805" s="818"/>
      <c r="AM805" s="596"/>
      <c r="AO805" s="816"/>
      <c r="AP805" s="816"/>
      <c r="AQ805" s="816"/>
    </row>
    <row r="806" spans="1:81">
      <c r="A806" s="819" t="s">
        <v>1551</v>
      </c>
      <c r="B806" s="2477" t="s">
        <v>1324</v>
      </c>
      <c r="C806" s="2477"/>
      <c r="D806" s="2477"/>
      <c r="E806" s="2477"/>
      <c r="F806" s="2477"/>
      <c r="G806" s="2477"/>
      <c r="H806" s="2477"/>
      <c r="I806" s="2477"/>
      <c r="J806" s="2477"/>
      <c r="K806" s="2477"/>
      <c r="L806" s="2477"/>
      <c r="M806" s="2477"/>
      <c r="N806" s="2477"/>
      <c r="O806" s="2477"/>
      <c r="P806" s="2477"/>
      <c r="Q806" s="2477"/>
      <c r="R806" s="2477"/>
      <c r="S806" s="2478"/>
      <c r="T806" s="2505">
        <f ca="1">AK109</f>
        <v>20</v>
      </c>
      <c r="U806" s="2481"/>
      <c r="V806" s="2481"/>
      <c r="W806" s="2481"/>
      <c r="X806" s="2481"/>
      <c r="Y806" s="2482"/>
      <c r="Z806" s="2480">
        <v>20</v>
      </c>
      <c r="AA806" s="2481"/>
      <c r="AB806" s="2481"/>
      <c r="AC806" s="2481"/>
      <c r="AD806" s="2481"/>
      <c r="AE806" s="2482"/>
      <c r="AF806" s="2445">
        <f ca="1">IF(T806&gt;Z806,Z806,T806)</f>
        <v>20</v>
      </c>
      <c r="AG806" s="2445"/>
      <c r="AH806" s="2445"/>
      <c r="AI806" s="2445"/>
      <c r="AJ806" s="2445"/>
      <c r="AK806" s="2445"/>
      <c r="AL806" s="818"/>
      <c r="AM806" s="596"/>
      <c r="AO806" s="816"/>
      <c r="AP806" s="816"/>
      <c r="AQ806" s="816"/>
    </row>
    <row r="807" spans="1:81">
      <c r="A807" s="819" t="s">
        <v>1573</v>
      </c>
      <c r="B807" s="2477" t="s">
        <v>1334</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8"/>
      <c r="AM807" s="596"/>
      <c r="AO807" s="816"/>
      <c r="AP807" s="816"/>
      <c r="AQ807" s="816"/>
    </row>
    <row r="808" spans="1:81">
      <c r="A808" s="820" t="s">
        <v>1574</v>
      </c>
      <c r="B808" s="2477" t="s">
        <v>1575</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8"/>
      <c r="AM808" s="596"/>
    </row>
    <row r="809" spans="1:81">
      <c r="A809" s="535"/>
      <c r="B809" s="601"/>
      <c r="C809" s="2483" t="s">
        <v>1576</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8"/>
      <c r="AM809" s="596"/>
    </row>
    <row r="810" spans="1:81">
      <c r="A810" s="600"/>
      <c r="B810" s="601"/>
      <c r="C810" s="2483" t="s">
        <v>1577</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8"/>
      <c r="AM810" s="596"/>
      <c r="AO810" s="550"/>
    </row>
    <row r="811" spans="1:81">
      <c r="A811" s="820" t="s">
        <v>1362</v>
      </c>
      <c r="B811" s="2477" t="s">
        <v>1578</v>
      </c>
      <c r="C811" s="2477"/>
      <c r="D811" s="2477"/>
      <c r="E811" s="2477"/>
      <c r="F811" s="2477"/>
      <c r="G811" s="2477"/>
      <c r="H811" s="2477"/>
      <c r="I811" s="2477"/>
      <c r="J811" s="2477"/>
      <c r="K811" s="2477"/>
      <c r="L811" s="2477"/>
      <c r="M811" s="2477"/>
      <c r="N811" s="2477"/>
      <c r="O811" s="2477"/>
      <c r="P811" s="2477"/>
      <c r="Q811" s="2477"/>
      <c r="R811" s="2477"/>
      <c r="S811" s="2478"/>
      <c r="T811" s="2479">
        <f>AK191</f>
        <v>0</v>
      </c>
      <c r="U811" s="2479"/>
      <c r="V811" s="2479"/>
      <c r="W811" s="2479"/>
      <c r="X811" s="2479"/>
      <c r="Y811" s="2479"/>
      <c r="Z811" s="2445">
        <v>10</v>
      </c>
      <c r="AA811" s="2445"/>
      <c r="AB811" s="2445"/>
      <c r="AC811" s="2445"/>
      <c r="AD811" s="2445"/>
      <c r="AE811" s="2445"/>
      <c r="AF811" s="2445">
        <f>IF(T811&gt;Z811,Z811,T811)</f>
        <v>0</v>
      </c>
      <c r="AG811" s="2445"/>
      <c r="AH811" s="2445"/>
      <c r="AI811" s="2445"/>
      <c r="AJ811" s="2445"/>
      <c r="AK811" s="2445"/>
      <c r="AL811" s="818"/>
      <c r="AM811" s="596"/>
    </row>
    <row r="812" spans="1:81">
      <c r="A812" s="819" t="s">
        <v>1371</v>
      </c>
      <c r="B812" s="2477" t="s">
        <v>1372</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8"/>
      <c r="AM812" s="596"/>
    </row>
    <row r="813" spans="1:81" s="534" customFormat="1" hidden="1">
      <c r="A813" s="820" t="s">
        <v>590</v>
      </c>
      <c r="B813" s="2477" t="s">
        <v>1579</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7" t="s">
        <v>1580</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7" t="s">
        <v>1382</v>
      </c>
      <c r="C815" s="2477"/>
      <c r="D815" s="2477"/>
      <c r="E815" s="2477"/>
      <c r="F815" s="2477"/>
      <c r="G815" s="2477"/>
      <c r="H815" s="2477"/>
      <c r="I815" s="2477"/>
      <c r="J815" s="2477"/>
      <c r="K815" s="2477"/>
      <c r="L815" s="2477"/>
      <c r="M815" s="2477"/>
      <c r="N815" s="2477"/>
      <c r="O815" s="2477"/>
      <c r="P815" s="2477"/>
      <c r="Q815" s="2477"/>
      <c r="R815" s="2477"/>
      <c r="S815" s="2478"/>
      <c r="T815" s="2479">
        <f>AK338</f>
        <v>0</v>
      </c>
      <c r="U815" s="2479"/>
      <c r="V815" s="2479"/>
      <c r="W815" s="2479"/>
      <c r="X815" s="2479"/>
      <c r="Y815" s="2479"/>
      <c r="Z815" s="2488">
        <v>10</v>
      </c>
      <c r="AA815" s="2489"/>
      <c r="AB815" s="2489"/>
      <c r="AC815" s="2489"/>
      <c r="AD815" s="2489"/>
      <c r="AE815" s="2490"/>
      <c r="AF815" s="2488">
        <f>IF(T815&gt;Z815,Z815,T815)</f>
        <v>0</v>
      </c>
      <c r="AG815" s="2489"/>
      <c r="AH815" s="2489"/>
      <c r="AI815" s="2489"/>
      <c r="AJ815" s="2489"/>
      <c r="AK815" s="24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5">
        <f>AK338</f>
        <v>0</v>
      </c>
      <c r="U816" s="2485"/>
      <c r="V816" s="2485"/>
      <c r="W816" s="2485"/>
      <c r="X816" s="2485"/>
      <c r="Y816" s="2485"/>
      <c r="Z816" s="2433">
        <v>20</v>
      </c>
      <c r="AA816" s="2434"/>
      <c r="AB816" s="2434"/>
      <c r="AC816" s="2434"/>
      <c r="AD816" s="2434"/>
      <c r="AE816" s="2435"/>
      <c r="AF816" s="2487"/>
      <c r="AG816" s="2487"/>
      <c r="AH816" s="2487"/>
      <c r="AI816" s="2487"/>
      <c r="AJ816" s="2487"/>
      <c r="AK816" s="24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7" t="s">
        <v>846</v>
      </c>
      <c r="C817" s="2477"/>
      <c r="D817" s="2477"/>
      <c r="E817" s="2477"/>
      <c r="F817" s="2477"/>
      <c r="G817" s="2477"/>
      <c r="H817" s="2477"/>
      <c r="I817" s="2477"/>
      <c r="J817" s="2477"/>
      <c r="K817" s="2477"/>
      <c r="L817" s="2477"/>
      <c r="M817" s="2477"/>
      <c r="N817" s="2477"/>
      <c r="O817" s="2477"/>
      <c r="P817" s="2477"/>
      <c r="Q817" s="2477"/>
      <c r="R817" s="2477"/>
      <c r="S817" s="2478"/>
      <c r="T817" s="2479">
        <f>AK469</f>
        <v>10</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7" t="s">
        <v>1560</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7" t="s">
        <v>1582</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1" t="s">
        <v>1583</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1584</v>
      </c>
      <c r="AA820" s="2486"/>
      <c r="AB820" s="2486"/>
      <c r="AC820" s="2486"/>
      <c r="AD820" s="2486"/>
      <c r="AE820" s="2486"/>
      <c r="AF820" s="2488">
        <f>IF(T820&gt;0,T820,0)</f>
        <v>0</v>
      </c>
      <c r="AG820" s="2489"/>
      <c r="AH820" s="2489"/>
      <c r="AI820" s="2489"/>
      <c r="AJ820" s="2489"/>
      <c r="AK820" s="24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3" t="s">
        <v>1585</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 ca="1">SUM(AF804:AK819)-AF820</f>
        <v>110</v>
      </c>
      <c r="AG821" s="2500"/>
      <c r="AH821" s="2500"/>
      <c r="AI821" s="2500"/>
      <c r="AJ821" s="2500"/>
      <c r="AK821" s="25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2025-09-09T19:53:18Z</cp:lastPrinted>
  <dcterms:created xsi:type="dcterms:W3CDTF">2007-12-27T18:26:28Z</dcterms:created>
  <dcterms:modified xsi:type="dcterms:W3CDTF">2025-09-09T20:23:26Z</dcterms:modified>
</cp:coreProperties>
</file>