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700000-21700999\21700248\L\L\"/>
    </mc:Choice>
  </mc:AlternateContent>
  <xr:revisionPtr revIDLastSave="0" documentId="13_ncr:1_{9EF381FB-FFD7-4F68-80EF-A0D58AB21642}" xr6:coauthVersionLast="47" xr6:coauthVersionMax="47" xr10:uidLastSave="{00000000-0000-0000-0000-000000000000}"/>
  <bookViews>
    <workbookView xWindow="28680" yWindow="-120" windowWidth="51840" windowHeight="21120" firstSheet="4"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Application!$A$1:$AT$125</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9" i="7" l="1"/>
  <c r="AO640" i="3"/>
  <c r="O720" i="3"/>
  <c r="AG442" i="3"/>
  <c r="G99" i="4"/>
  <c r="E99" i="4" s="1"/>
  <c r="F30" i="4"/>
  <c r="E30" i="4" s="1"/>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4" i="4"/>
  <c r="AA919" i="3"/>
  <c r="AA918" i="3"/>
  <c r="AC886" i="3"/>
  <c r="O730" i="3"/>
  <c r="O731" i="3"/>
  <c r="O726" i="3"/>
  <c r="O727" i="3"/>
  <c r="O728" i="3"/>
  <c r="O722" i="3"/>
  <c r="O719" i="3"/>
  <c r="O718" i="3"/>
  <c r="Q628"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S45" i="21"/>
  <c r="U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S66" i="4" s="1"/>
  <c r="E66" i="13" s="1"/>
  <c r="F66" i="13" s="1"/>
  <c r="R67" i="4"/>
  <c r="S67" i="4" s="1"/>
  <c r="E67" i="13" s="1"/>
  <c r="F67" i="13"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8" i="13"/>
  <c r="F68" i="13" s="1"/>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4" i="13"/>
  <c r="F84" i="13" s="1"/>
  <c r="E49" i="13"/>
  <c r="F49" i="13" s="1"/>
  <c r="E37" i="13"/>
  <c r="F37" i="13" s="1"/>
  <c r="E29" i="13"/>
  <c r="F2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E46" i="13" s="1"/>
  <c r="F46" i="13" s="1"/>
  <c r="R45" i="4"/>
  <c r="S45" i="4" s="1"/>
  <c r="R43" i="4"/>
  <c r="S43" i="4" s="1"/>
  <c r="E43" i="13" s="1"/>
  <c r="F43" i="13" s="1"/>
  <c r="R41" i="4"/>
  <c r="S41" i="4" s="1"/>
  <c r="E41" i="13" s="1"/>
  <c r="F41" i="13" s="1"/>
  <c r="R40" i="4"/>
  <c r="S40" i="4" s="1"/>
  <c r="E40" i="13" s="1"/>
  <c r="F40" i="13"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C42" i="13" l="1"/>
  <c r="S42" i="4"/>
  <c r="E42" i="13" s="1"/>
  <c r="C81" i="13"/>
  <c r="C70" i="13"/>
  <c r="D35" i="11"/>
  <c r="S70" i="4"/>
  <c r="E70" i="13" s="1"/>
  <c r="F81" i="13"/>
  <c r="C54" i="13"/>
  <c r="C38" i="13"/>
  <c r="C62" i="13"/>
  <c r="S54" i="4"/>
  <c r="E54" i="13" s="1"/>
  <c r="S104" i="4"/>
  <c r="E104" i="13" s="1"/>
  <c r="S96" i="4"/>
  <c r="E96" i="13" s="1"/>
  <c r="C77" i="13"/>
  <c r="C96" i="13"/>
  <c r="F70" i="13"/>
  <c r="F96" i="13"/>
  <c r="F42" i="13"/>
  <c r="F38" i="13"/>
  <c r="E45" i="13"/>
  <c r="F45" i="13" s="1"/>
  <c r="F54" i="13" s="1"/>
  <c r="S38" i="4"/>
  <c r="E38" i="13" s="1"/>
  <c r="S81" i="4"/>
  <c r="E81" i="1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7"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A1058" i="3" l="1"/>
  <c r="C63" i="13"/>
  <c r="C97" i="13" s="1"/>
  <c r="C105" i="13" s="1"/>
  <c r="F63" i="13"/>
  <c r="F97" i="13" s="1"/>
  <c r="F105" i="13" s="1"/>
  <c r="F107" i="13" s="1"/>
  <c r="S63" i="4"/>
  <c r="S97" i="4"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O34" i="21"/>
  <c r="P34" i="21" s="1" a="1"/>
  <c r="P34" i="21" s="1"/>
  <c r="S34" i="21" s="1"/>
  <c r="O33" i="21"/>
  <c r="P33" i="21" s="1" a="1"/>
  <c r="P33" i="21" s="1"/>
  <c r="S33" i="21" s="1"/>
  <c r="O32" i="21"/>
  <c r="P32" i="21" s="1" a="1"/>
  <c r="P32" i="21" s="1"/>
  <c r="S32" i="21" s="1"/>
  <c r="O31" i="21"/>
  <c r="O30" i="21"/>
  <c r="P30" i="21" s="1" a="1"/>
  <c r="P30" i="21" s="1"/>
  <c r="S30" i="21" s="1"/>
  <c r="O29" i="21"/>
  <c r="P29" i="21" s="1" a="1"/>
  <c r="P29" i="21" s="1"/>
  <c r="S29" i="21" s="1"/>
  <c r="O28" i="21"/>
  <c r="O27" i="2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28" i="21" a="1"/>
  <c r="P28" i="21" s="1"/>
  <c r="S28" i="21" s="1"/>
  <c r="P27" i="21" a="1"/>
  <c r="P27" i="21" s="1"/>
  <c r="S27"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<sst xmlns="http://schemas.openxmlformats.org/spreadsheetml/2006/main" count="4973" uniqueCount="2723">
  <si>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</si>
  <si>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</si>
  <si>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</si>
  <si>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</si>
  <si>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</si>
  <si>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</si>
  <si>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</si>
  <si>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</si>
  <si>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</si>
  <si>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</si>
  <si>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</si>
  <si>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</si>
  <si>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</si>
  <si>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</si>
  <si>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</si>
  <si>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</si>
  <si>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</si>
  <si>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</si>
  <si>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</si>
  <si>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</si>
  <si>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</si>
  <si>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</si>
  <si>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</si>
  <si>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</si>
  <si>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</si>
  <si>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</si>
  <si>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</si>
  <si>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</si>
  <si>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</si>
  <si>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</si>
  <si>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</si>
  <si>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</si>
  <si>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</si>
  <si>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</si>
  <si>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</si>
  <si>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</si>
  <si>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</si>
  <si>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</si>
  <si>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</si>
  <si>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</si>
  <si>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</si>
  <si>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</si>
  <si>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</si>
  <si>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</si>
  <si>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</si>
  <si>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</si>
  <si>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</si>
  <si>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</si>
  <si>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</si>
  <si>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</si>
  <si>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</si>
  <si>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</si>
  <si>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</si>
  <si>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</si>
  <si>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</si>
  <si>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</si>
  <si>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</si>
  <si>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</si>
  <si>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</si>
  <si>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</si>
  <si>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</si>
  <si>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</si>
  <si>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</si>
  <si>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</si>
  <si>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</si>
  <si>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</si>
  <si>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</si>
  <si>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</si>
  <si>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</si>
  <si>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</si>
  <si>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</si>
  <si>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</si>
  <si>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</si>
  <si>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</si>
  <si>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</si>
  <si>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</si>
  <si>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</si>
  <si>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</si>
  <si>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</si>
  <si>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</si>
  <si>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</si>
  <si>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</si>
  <si>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</si>
  <si>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</si>
  <si>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</si>
  <si>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</si>
  <si>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</si>
  <si>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</si>
  <si>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</si>
  <si>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</si>
  <si>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</si>
  <si>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</si>
  <si>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</si>
  <si>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</si>
  <si>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</si>
  <si>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</si>
  <si>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</si>
  <si>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</si>
  <si>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</si>
  <si>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</si>
  <si>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</si>
  <si>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</si>
  <si>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</si>
  <si>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</si>
  <si>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</si>
  <si>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</si>
  <si>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</si>
  <si>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</si>
  <si>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</si>
  <si>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</si>
  <si>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</si>
  <si>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</si>
  <si>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</si>
  <si>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</si>
  <si>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</si>
  <si>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</si>
  <si>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</si>
  <si>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</si>
  <si>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</si>
  <si>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</si>
  <si>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</si>
  <si>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</si>
  <si>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</si>
  <si>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</si>
  <si>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</si>
  <si>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</si>
  <si>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</si>
  <si>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</si>
  <si>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</si>
  <si>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</si>
  <si>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</si>
  <si>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</si>
  <si>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</si>
  <si>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</si>
  <si>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</si>
  <si>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</si>
  <si>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</si>
  <si>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</si>
  <si>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</si>
  <si>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</si>
  <si>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</si>
  <si>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</si>
  <si>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</si>
  <si>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</si>
  <si>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</si>
  <si>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</si>
  <si>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</si>
  <si>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</si>
  <si>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</si>
  <si>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</si>
  <si>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</si>
  <si>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</si>
  <si>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</si>
  <si>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</si>
  <si>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</si>
  <si>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</si>
  <si>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</si>
  <si>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</si>
  <si>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</si>
  <si>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</si>
  <si>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</si>
  <si>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</si>
  <si>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</si>
  <si>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</si>
  <si>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</si>
  <si>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</si>
  <si>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</si>
  <si>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</si>
  <si>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</si>
  <si>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</si>
  <si>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</si>
  <si>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</si>
  <si>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</si>
  <si>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</si>
  <si>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</si>
  <si>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</si>
  <si>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</si>
  <si>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</si>
  <si>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</si>
  <si>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</si>
  <si>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</si>
  <si>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</si>
  <si>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</si>
  <si>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</si>
  <si>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</si>
  <si>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</si>
  <si>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</si>
  <si>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</si>
  <si>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</si>
  <si>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</si>
  <si>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</si>
  <si>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</si>
  <si>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</si>
  <si>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</si>
  <si>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</si>
  <si>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</si>
  <si>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</si>
  <si>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</si>
  <si>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</si>
  <si>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</si>
  <si>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</si>
  <si>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</si>
  <si>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</si>
  <si>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</si>
  <si>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</si>
  <si>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</si>
  <si>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</si>
  <si>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</si>
  <si>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</si>
  <si>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</si>
  <si>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</si>
  <si>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</si>
  <si>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</si>
  <si>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</si>
  <si>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</si>
  <si>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</si>
  <si>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</si>
  <si>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</si>
  <si>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</si>
  <si>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</si>
  <si>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</si>
  <si>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</si>
  <si>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</si>
  <si>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</si>
  <si>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</si>
  <si>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</si>
  <si>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</si>
  <si>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</si>
  <si>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</si>
  <si>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</si>
  <si>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</si>
  <si>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</si>
  <si>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</si>
  <si>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</si>
  <si>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</si>
  <si>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</si>
  <si>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</si>
  <si>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</si>
  <si>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</si>
  <si>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</si>
  <si>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</si>
  <si>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</si>
  <si>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</si>
  <si>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</si>
  <si>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</si>
  <si>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</si>
  <si>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</si>
  <si>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</si>
  <si>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</si>
  <si>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</si>
  <si>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</si>
  <si>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</si>
  <si>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</si>
  <si>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</si>
  <si>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</si>
  <si>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</si>
  <si>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</si>
  <si>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</si>
  <si>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</si>
  <si>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</si>
  <si>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</si>
  <si>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</si>
  <si>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</si>
  <si>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</si>
  <si>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</si>
  <si>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</si>
  <si>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</si>
  <si>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</si>
  <si>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</si>
  <si>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</si>
  <si>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</si>
  <si>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</si>
  <si>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</si>
  <si>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</si>
  <si>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</si>
  <si>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</si>
  <si>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</si>
  <si>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</si>
  <si>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</si>
  <si>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</si>
  <si>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</si>
  <si>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</si>
  <si>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</si>
  <si>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</si>
  <si>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</si>
  <si>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</si>
  <si>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</si>
  <si>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</si>
  <si>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</si>
  <si>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</si>
  <si>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</si>
  <si>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</si>
  <si>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</si>
  <si>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</si>
  <si>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</si>
  <si>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</si>
  <si>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</si>
  <si>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</si>
  <si>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</si>
  <si>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</si>
  <si>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</si>
  <si>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</si>
  <si>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</si>
  <si>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</si>
  <si>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</si>
  <si>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</si>
  <si>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</si>
  <si>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</si>
  <si>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</si>
  <si>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</si>
  <si>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</si>
  <si>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</si>
  <si>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</si>
  <si>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</si>
  <si>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</si>
  <si>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</si>
  <si>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</si>
  <si>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</si>
  <si>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</si>
  <si>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</si>
  <si>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</si>
  <si>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</si>
  <si>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</si>
  <si>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</si>
  <si>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</si>
  <si>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</si>
  <si>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</si>
  <si>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</si>
  <si>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</si>
  <si>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</si>
  <si>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</si>
  <si>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</si>
  <si>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</si>
  <si>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</si>
  <si>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</si>
  <si>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</si>
  <si>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</si>
  <si>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</si>
  <si>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</si>
  <si>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</si>
  <si>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</si>
  <si>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</si>
  <si>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</si>
  <si>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</si>
  <si>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</si>
  <si>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</si>
  <si>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</si>
  <si>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</si>
  <si>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</si>
  <si>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</si>
  <si>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</si>
  <si>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</si>
  <si>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</si>
  <si>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</si>
  <si>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</si>
  <si>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</si>
  <si>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</si>
  <si>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</si>
  <si>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</si>
  <si>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</si>
  <si>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</si>
  <si>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</si>
  <si>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</si>
  <si>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</si>
  <si>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</si>
  <si>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</si>
  <si>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</si>
  <si>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</si>
  <si>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</si>
  <si>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</si>
  <si>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</si>
  <si>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</si>
  <si>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</si>
  <si>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</si>
  <si>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</si>
  <si>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</si>
  <si>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</si>
  <si>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</si>
  <si>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</si>
  <si>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</si>
  <si>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</si>
  <si>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</si>
  <si>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</si>
  <si>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</si>
  <si>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</si>
  <si>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</si>
  <si>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</si>
  <si>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</si>
  <si>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</si>
  <si>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</si>
  <si>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</si>
  <si>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</si>
  <si>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</si>
  <si>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</si>
  <si>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</si>
  <si>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</si>
  <si>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</si>
  <si>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</si>
  <si>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</si>
  <si>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</si>
  <si>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</si>
  <si>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</si>
  <si>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</si>
  <si>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</si>
  <si>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</si>
  <si>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</si>
  <si>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</si>
  <si>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</si>
  <si>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</si>
  <si>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</si>
  <si>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</si>
  <si>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</si>
  <si>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</si>
  <si>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</si>
  <si>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</si>
  <si>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</si>
  <si>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</si>
  <si>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</si>
  <si>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</si>
  <si>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</si>
  <si>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</si>
  <si>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</si>
  <si>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</si>
  <si>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</si>
  <si>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</si>
  <si>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</si>
  <si>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</si>
  <si>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</si>
  <si>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</si>
  <si>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</si>
  <si>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</si>
  <si>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</si>
  <si>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</si>
  <si>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</si>
  <si>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</si>
  <si>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</si>
  <si>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</si>
  <si>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</si>
  <si>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</si>
  <si>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</si>
  <si>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</si>
  <si>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</si>
  <si>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</si>
  <si>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</si>
  <si>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</si>
  <si>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</si>
  <si>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</si>
  <si>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</si>
  <si>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</si>
  <si>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</si>
  <si>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</si>
  <si>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</si>
  <si>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</si>
  <si>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</si>
  <si>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</si>
  <si>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</si>
  <si>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</si>
  <si>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</si>
  <si>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</si>
  <si>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</si>
  <si>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</si>
  <si>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</si>
  <si>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</si>
  <si>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</si>
  <si>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</si>
  <si>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</si>
  <si>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</si>
  <si>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</si>
  <si>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</si>
  <si>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</si>
  <si>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</si>
  <si>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</si>
  <si>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</si>
  <si>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</si>
  <si>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</si>
  <si>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</si>
  <si>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</si>
  <si>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</si>
  <si>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</si>
  <si>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</si>
  <si>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</si>
  <si>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</si>
  <si>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</si>
  <si>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</si>
  <si>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</si>
  <si>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</si>
  <si>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</si>
  <si>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</si>
  <si>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</si>
  <si>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</si>
  <si>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</si>
  <si>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</si>
  <si>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</si>
  <si>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</si>
  <si>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</si>
  <si>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</si>
  <si>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</si>
  <si>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</si>
  <si>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</si>
  <si>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</si>
  <si>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</si>
  <si>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</si>
  <si>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</si>
  <si>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</si>
  <si>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</si>
  <si>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</si>
  <si>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</si>
  <si>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</si>
  <si>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</si>
  <si>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</si>
  <si>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</si>
  <si>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</si>
  <si>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</si>
  <si>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</si>
  <si>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</si>
  <si>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</si>
  <si>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</si>
  <si>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</si>
  <si>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</si>
  <si>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</si>
  <si>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</si>
  <si>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</si>
  <si>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</si>
  <si>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</si>
  <si>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</si>
  <si>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</si>
  <si>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</si>
  <si>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</si>
  <si>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</si>
  <si>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</si>
  <si>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</si>
  <si>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</si>
  <si>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</si>
  <si>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</si>
  <si>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</si>
  <si>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</si>
  <si>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</si>
  <si>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</si>
  <si>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</si>
  <si>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</si>
  <si>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</si>
  <si>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</si>
  <si>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</si>
  <si>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</si>
  <si>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</si>
  <si>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</si>
  <si>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</si>
  <si>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</si>
  <si>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</si>
  <si>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</si>
  <si>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</si>
  <si>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</si>
  <si>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</si>
  <si>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</si>
  <si>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</si>
  <si>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</si>
  <si>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</si>
  <si>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</si>
  <si>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</si>
  <si>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</si>
  <si>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</si>
  <si>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</si>
  <si>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</si>
  <si>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</si>
  <si>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</si>
  <si>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</si>
  <si>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</si>
  <si>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</si>
  <si>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</si>
  <si>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</si>
  <si>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</si>
  <si>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</si>
  <si>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</si>
  <si>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</si>
  <si>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</si>
  <si>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</si>
  <si>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</si>
  <si>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</si>
  <si>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</si>
  <si>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</si>
  <si>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</si>
  <si>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</si>
  <si>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</si>
  <si>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</si>
  <si>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</si>
  <si>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</si>
  <si>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</si>
  <si>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</si>
  <si>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</si>
  <si>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</si>
  <si>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</si>
  <si>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</si>
  <si>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</si>
  <si>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</si>
  <si>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</si>
  <si>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</si>
  <si>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</si>
  <si>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</si>
  <si>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</si>
  <si>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</si>
  <si>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</si>
  <si>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</si>
  <si>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</si>
  <si>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</si>
  <si>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</si>
  <si>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</si>
  <si>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</si>
  <si>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</si>
  <si>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</si>
  <si>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</si>
  <si>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</si>
  <si>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</si>
  <si>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</si>
  <si>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</si>
  <si>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</si>
  <si>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</si>
  <si>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</si>
  <si>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</si>
  <si>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</si>
  <si>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</si>
  <si>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</si>
  <si>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</si>
  <si>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</si>
  <si>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</si>
  <si>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</si>
  <si>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</si>
  <si>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</si>
  <si>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</si>
  <si>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</si>
  <si>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</si>
  <si>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</si>
  <si>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</si>
  <si>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</si>
  <si>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</si>
  <si>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</si>
  <si>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</si>
  <si>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</si>
  <si>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</si>
  <si>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</si>
  <si>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</si>
  <si>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</si>
  <si>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</si>
  <si>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</si>
  <si>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</si>
  <si>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</si>
  <si>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</si>
  <si>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</si>
  <si>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</si>
  <si>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</si>
  <si>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</si>
  <si>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</si>
  <si>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</si>
  <si>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</si>
  <si>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</si>
  <si>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</si>
  <si>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</si>
  <si>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</si>
  <si>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</si>
  <si>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</si>
  <si>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</si>
  <si>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</si>
  <si>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</si>
  <si>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</si>
  <si>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</si>
  <si>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</si>
  <si>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</si>
  <si>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</si>
  <si>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</si>
  <si>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</si>
  <si>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</si>
  <si>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</si>
  <si>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</si>
  <si>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</si>
  <si>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</si>
  <si>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</si>
  <si>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</si>
  <si>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</si>
  <si>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</si>
  <si>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</si>
  <si>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</si>
  <si>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</si>
  <si>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</si>
  <si>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</si>
  <si>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</si>
  <si>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</si>
  <si>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</si>
  <si>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</si>
  <si>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</si>
  <si>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</si>
  <si>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</si>
  <si>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</si>
  <si>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</si>
  <si>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</si>
  <si>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</si>
  <si>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</si>
  <si>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</si>
  <si>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</si>
  <si>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</si>
  <si>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</si>
  <si>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</si>
  <si>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</si>
  <si>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</si>
  <si>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</si>
  <si>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</si>
  <si>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</si>
  <si>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</si>
  <si>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</si>
  <si>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</si>
  <si>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</si>
  <si>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</si>
  <si>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</si>
  <si>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</si>
  <si>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</si>
  <si>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</si>
  <si>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</si>
  <si>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</si>
  <si>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</si>
  <si>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</si>
  <si>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</si>
  <si>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</si>
  <si>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</si>
  <si>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</si>
  <si>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</si>
  <si>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</si>
  <si>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</si>
  <si>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</si>
  <si>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</si>
  <si>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</si>
  <si>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</si>
  <si>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</si>
  <si>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</si>
  <si>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</si>
  <si>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</si>
  <si>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</si>
  <si>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</si>
  <si>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</si>
  <si>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</si>
  <si>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</si>
  <si>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</si>
  <si>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</si>
  <si>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</si>
  <si>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</si>
  <si>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</si>
  <si>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</si>
  <si>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</si>
  <si>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</si>
  <si>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</si>
  <si>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</si>
  <si>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</si>
  <si>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</si>
  <si>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</si>
  <si>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</si>
  <si>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</si>
  <si>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</si>
  <si>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</si>
  <si>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</si>
  <si>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</si>
  <si>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</si>
  <si>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</si>
  <si>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</si>
  <si>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</si>
  <si>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</si>
  <si>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</si>
  <si>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</si>
  <si>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</si>
  <si>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</si>
  <si>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</si>
  <si>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</si>
  <si>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</si>
  <si>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</si>
  <si>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</si>
  <si>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</si>
  <si>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</si>
  <si>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</si>
  <si>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</si>
  <si>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</si>
  <si>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</si>
  <si>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</si>
  <si>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</si>
  <si>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</si>
  <si>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</si>
  <si>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</si>
  <si>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</si>
  <si>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</si>
  <si>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</si>
  <si>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</si>
  <si>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</si>
  <si>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</si>
  <si>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</si>
  <si>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</si>
  <si>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</si>
  <si>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</si>
  <si>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</si>
  <si>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</si>
  <si>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</si>
  <si>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</si>
  <si>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</si>
  <si>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</si>
  <si>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</si>
  <si>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</si>
  <si>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</si>
  <si>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</si>
  <si>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</si>
  <si>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</si>
  <si>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</si>
  <si>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</si>
  <si>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</si>
  <si>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</si>
  <si>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</si>
  <si>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</si>
  <si>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</si>
  <si>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</si>
  <si>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</si>
  <si>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</si>
  <si>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</si>
  <si>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</si>
  <si>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</si>
  <si>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</si>
  <si>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</si>
  <si>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</si>
  <si>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</si>
  <si>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</si>
  <si>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</si>
  <si>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</si>
  <si>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</si>
  <si>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</si>
  <si>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</si>
  <si>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</si>
  <si>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</si>
  <si>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</si>
  <si>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</si>
  <si>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</si>
  <si>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</si>
  <si>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</si>
  <si>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</si>
  <si>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</si>
  <si>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</si>
  <si>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</si>
  <si>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</si>
  <si>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</si>
  <si>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</si>
  <si>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</si>
  <si>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</si>
  <si>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</si>
  <si>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</si>
  <si>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</si>
  <si>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</si>
  <si>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</si>
  <si>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</si>
  <si>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</si>
  <si>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</si>
  <si>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</si>
  <si>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</si>
  <si>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</si>
  <si>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</si>
  <si>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</si>
  <si>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</si>
  <si>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</si>
  <si>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</si>
  <si>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</si>
  <si>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</si>
  <si>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</si>
  <si>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</si>
  <si>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</si>
  <si>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</si>
  <si>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</si>
  <si>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</si>
  <si>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</si>
  <si>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</si>
  <si>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</si>
  <si>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</si>
  <si>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</si>
  <si>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</si>
  <si>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</si>
  <si>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</si>
  <si>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</si>
  <si>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</si>
  <si>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</si>
  <si>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</si>
  <si>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</si>
  <si>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</si>
  <si>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</si>
  <si>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</si>
  <si>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</si>
  <si>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</si>
  <si>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</si>
  <si>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</si>
  <si>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</si>
  <si>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</si>
  <si>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</si>
  <si>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</si>
  <si>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</si>
  <si>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</si>
  <si>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</si>
  <si>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</si>
  <si>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</si>
  <si>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</si>
  <si>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</si>
  <si>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</si>
  <si>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</si>
  <si>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</si>
  <si>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</si>
  <si>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</si>
  <si>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</si>
  <si>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</si>
  <si>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</si>
  <si>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</si>
  <si>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</si>
  <si>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</si>
  <si>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</si>
  <si>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</si>
  <si>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</si>
  <si>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</si>
  <si>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</si>
  <si>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</si>
  <si>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</si>
  <si>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</si>
  <si>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</si>
  <si>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</si>
  <si>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</si>
  <si>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</si>
  <si>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</si>
  <si>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</si>
  <si>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</si>
  <si>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</si>
  <si>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</si>
  <si>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</si>
  <si>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</si>
  <si>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</si>
  <si>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</si>
  <si>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</si>
  <si>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</si>
  <si>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</si>
  <si>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</si>
  <si>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</si>
  <si>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</si>
  <si>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</si>
  <si>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</si>
  <si>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</si>
  <si>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</si>
  <si>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</si>
  <si>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</si>
  <si>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</si>
  <si>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</si>
  <si>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</si>
  <si>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</si>
  <si>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</si>
  <si>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</si>
  <si>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</si>
  <si>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</si>
  <si>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</si>
  <si>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</si>
  <si>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</si>
  <si>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</si>
  <si>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</si>
  <si>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</si>
  <si>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</si>
  <si>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</si>
  <si>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</si>
  <si>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</si>
  <si>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</si>
  <si>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</si>
  <si>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</si>
  <si>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</si>
  <si>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</si>
  <si>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</si>
  <si>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</si>
  <si>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</si>
  <si>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</si>
  <si>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</si>
  <si>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</si>
  <si>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</si>
  <si>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</si>
  <si>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</si>
  <si>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</si>
  <si>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</si>
  <si>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</si>
  <si>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</si>
  <si>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</si>
  <si>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</si>
  <si>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</si>
  <si>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</si>
  <si>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</si>
  <si>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</si>
  <si>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</si>
  <si>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</si>
  <si>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</si>
  <si>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</si>
  <si>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</si>
  <si>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</si>
  <si>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</si>
  <si>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</si>
  <si>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</si>
  <si>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</si>
  <si>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</si>
  <si>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</si>
  <si>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</si>
  <si>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</si>
  <si>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</si>
  <si>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</si>
  <si>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</si>
  <si>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</si>
  <si>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</si>
  <si>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</si>
  <si>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</si>
  <si>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</si>
  <si>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</si>
  <si>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</si>
  <si>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</si>
  <si>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</si>
  <si>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</si>
  <si>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</si>
  <si>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</si>
  <si>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</si>
  <si>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</si>
  <si>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</si>
  <si>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</si>
  <si>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</si>
  <si>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</si>
  <si>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</si>
  <si>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</si>
  <si>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</si>
  <si>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</si>
  <si>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</si>
  <si>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</si>
  <si>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</si>
  <si>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</si>
  <si>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</si>
  <si>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</si>
  <si>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</si>
  <si>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</si>
  <si>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</si>
  <si>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</si>
  <si>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</si>
  <si>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</si>
  <si>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</si>
  <si>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</si>
  <si>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</si>
  <si>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</si>
  <si>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</si>
  <si>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</si>
  <si>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</si>
  <si>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</si>
  <si>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</si>
  <si>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</si>
  <si>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</si>
  <si>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</si>
  <si>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</si>
  <si>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</si>
  <si>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</si>
  <si>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</si>
  <si>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</si>
  <si>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</si>
  <si>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</si>
  <si>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</si>
  <si>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</si>
  <si>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</si>
  <si>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</si>
  <si>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</si>
  <si>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</si>
  <si>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</si>
  <si>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</si>
  <si>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</si>
  <si>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</si>
  <si>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</si>
  <si>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</si>
  <si>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</si>
  <si>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</si>
  <si>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</si>
  <si>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</si>
  <si>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</si>
  <si>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</si>
  <si>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</si>
  <si>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</si>
  <si>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</si>
  <si>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</si>
  <si>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</si>
  <si>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</si>
  <si>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</si>
  <si>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</si>
  <si>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</si>
  <si>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</si>
  <si>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</si>
  <si>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</si>
  <si>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</si>
  <si>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</si>
  <si>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</si>
  <si>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</si>
  <si>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</si>
  <si>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</si>
  <si>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</si>
  <si>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</si>
  <si>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</si>
  <si>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</si>
  <si>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</si>
  <si>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</si>
  <si>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</si>
  <si>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</si>
  <si>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</si>
  <si>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</si>
  <si>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</si>
  <si>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</si>
  <si>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</si>
  <si>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</si>
  <si>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</si>
  <si>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</si>
  <si>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</si>
  <si>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</si>
  <si>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</si>
  <si>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</si>
  <si>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</si>
  <si>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</si>
  <si>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</si>
  <si>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</si>
  <si>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</si>
  <si>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</si>
  <si>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</si>
  <si>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</si>
  <si>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</si>
  <si>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</si>
  <si>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</si>
  <si>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</si>
  <si>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</si>
  <si>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</si>
  <si>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</si>
  <si>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</si>
  <si>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</si>
  <si>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</si>
  <si>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</si>
  <si>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</si>
  <si>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</si>
  <si>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</si>
  <si>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</si>
  <si>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</si>
  <si>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</si>
  <si>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</si>
  <si>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</si>
  <si>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</si>
  <si>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</si>
  <si>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</si>
  <si>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</si>
  <si>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</si>
  <si>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</si>
  <si>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</si>
  <si>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</si>
  <si>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</si>
  <si>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</si>
  <si>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</si>
  <si>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</si>
  <si>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</si>
  <si>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</si>
  <si>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</si>
  <si>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</si>
  <si>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</si>
  <si>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</si>
  <si>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</si>
  <si>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</si>
  <si>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</si>
  <si>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</si>
  <si>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</si>
  <si>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</si>
  <si>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</si>
  <si>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</si>
  <si>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</si>
  <si>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</si>
  <si>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</si>
  <si>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</si>
  <si>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</si>
  <si>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</si>
  <si>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</si>
  <si>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</si>
  <si>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</si>
  <si>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</si>
  <si>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</si>
  <si>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</si>
  <si>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</si>
  <si>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</si>
  <si>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</si>
  <si>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</si>
  <si>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</si>
  <si>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</si>
  <si>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</si>
  <si>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</si>
  <si>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</si>
  <si>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</si>
  <si>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</si>
  <si>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</si>
  <si>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</si>
  <si>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</si>
  <si>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</si>
  <si>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</si>
  <si>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</si>
  <si>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</si>
  <si>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</si>
  <si>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</si>
  <si>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</si>
  <si>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</si>
  <si>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</si>
  <si>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</si>
  <si>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</si>
  <si>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</si>
  <si>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</si>
  <si>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</si>
  <si>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</si>
  <si>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</si>
  <si>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</si>
  <si>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</si>
  <si>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</si>
  <si>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</si>
  <si>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</si>
  <si>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</si>
  <si>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</si>
  <si>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</si>
  <si>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</si>
  <si>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</si>
  <si>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</si>
  <si>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</si>
  <si>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</si>
  <si>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</si>
  <si>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</si>
  <si>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</si>
  <si>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</si>
  <si>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</si>
  <si>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</si>
  <si>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</si>
  <si>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</si>
  <si>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</si>
  <si>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</si>
  <si>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</si>
  <si>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</si>
  <si>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</si>
  <si>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</si>
  <si>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</si>
  <si>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</si>
  <si>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</si>
  <si>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</si>
  <si>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</si>
  <si>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</si>
  <si>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</si>
  <si>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</si>
  <si>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</si>
  <si>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</si>
  <si>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</si>
  <si>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</si>
  <si>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</si>
  <si>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</si>
  <si>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</si>
  <si>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</si>
  <si>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</si>
  <si>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</si>
  <si>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</si>
  <si>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</si>
  <si>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</si>
  <si>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</si>
  <si>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</si>
  <si>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</si>
  <si>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</si>
  <si>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</si>
  <si>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</si>
  <si>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</si>
  <si>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</si>
  <si>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</si>
  <si>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</si>
  <si>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</si>
  <si>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</si>
  <si>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</si>
  <si>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</si>
  <si>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</si>
  <si>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</si>
  <si>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</si>
  <si>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</si>
  <si>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</si>
  <si>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</si>
  <si>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</si>
  <si>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</si>
  <si>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</si>
  <si>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</si>
  <si>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</si>
  <si>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</si>
  <si>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</si>
  <si>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</si>
  <si>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</si>
  <si>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</si>
  <si>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</si>
  <si>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</si>
  <si>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</si>
  <si>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</si>
  <si>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</si>
  <si>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</si>
  <si>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</si>
  <si>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</si>
  <si>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</si>
  <si>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</si>
  <si>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</si>
  <si>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</si>
  <si>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</si>
  <si>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</si>
  <si>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</si>
  <si>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</si>
  <si>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</si>
  <si>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</si>
  <si>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</si>
  <si>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</si>
  <si>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</si>
  <si>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</si>
  <si>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</si>
  <si>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</si>
  <si>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</si>
  <si>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</si>
  <si>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</si>
  <si>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</si>
  <si>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</si>
  <si>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</si>
  <si>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</si>
  <si>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</si>
  <si>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</si>
  <si>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</si>
  <si>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</si>
  <si>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</si>
  <si>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</si>
  <si>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</si>
  <si>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</si>
  <si>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</si>
  <si>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</si>
  <si>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</si>
  <si>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</si>
  <si>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</si>
  <si>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</si>
  <si>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</si>
  <si>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</si>
  <si>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</si>
  <si>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</si>
  <si>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</si>
  <si>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</si>
  <si>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</si>
  <si>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</si>
  <si>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</si>
  <si>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</si>
  <si>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</si>
  <si>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</si>
  <si>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</si>
  <si>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</si>
  <si>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</si>
  <si>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</si>
  <si>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</si>
  <si>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</si>
  <si>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</si>
  <si>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</si>
  <si>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</si>
  <si>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</si>
  <si>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</si>
  <si>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</si>
  <si>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</si>
  <si>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</si>
  <si>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</si>
  <si>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</si>
  <si>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</si>
  <si>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</si>
  <si>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</si>
  <si>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</si>
  <si>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</si>
  <si>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</si>
  <si>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</si>
  <si>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</si>
  <si>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</si>
  <si>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</si>
  <si>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</si>
  <si>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</si>
  <si>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</si>
  <si>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</si>
  <si>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</si>
  <si>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</si>
  <si>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</si>
  <si>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</si>
  <si>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</si>
  <si>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</si>
  <si>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</si>
  <si>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</si>
  <si>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</si>
  <si>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</si>
  <si>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</si>
  <si>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</si>
  <si>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</si>
  <si>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</si>
  <si>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</si>
  <si>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</si>
  <si>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</si>
  <si>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</si>
  <si>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</si>
  <si>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</si>
  <si>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</si>
  <si>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</si>
  <si>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</si>
  <si>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</si>
  <si>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</si>
  <si>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</si>
  <si>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</si>
  <si>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</si>
  <si>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</si>
  <si>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</si>
  <si>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</si>
  <si>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</si>
  <si>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</si>
  <si>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</si>
  <si>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</si>
  <si>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</si>
  <si>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</si>
  <si>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</si>
  <si>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</si>
  <si>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</si>
  <si>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</si>
  <si>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</si>
  <si>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</si>
  <si>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</si>
  <si>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</si>
  <si>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</si>
  <si>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</si>
  <si>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</si>
  <si>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</si>
  <si>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</si>
  <si>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</si>
  <si>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</si>
  <si>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</si>
  <si>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</si>
  <si>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</si>
  <si>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</si>
  <si>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</si>
  <si>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</si>
  <si>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</si>
  <si>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</si>
  <si>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</si>
  <si>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</si>
  <si>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</si>
  <si>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</si>
  <si>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</si>
  <si>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</si>
  <si>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</si>
  <si>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</si>
  <si>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</si>
  <si>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</si>
  <si>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</si>
  <si>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</si>
  <si>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</si>
  <si>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</si>
  <si>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</si>
  <si>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</si>
  <si>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</si>
  <si>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</si>
  <si>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</si>
  <si>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</si>
  <si>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</si>
  <si>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</si>
  <si>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</si>
  <si>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</si>
  <si>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</si>
  <si>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</si>
  <si>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</si>
  <si>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</si>
  <si>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</si>
  <si>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</si>
  <si>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</si>
  <si>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</si>
  <si>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</si>
  <si>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</si>
  <si>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</si>
  <si>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</si>
  <si>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</si>
  <si>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</si>
  <si>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</si>
  <si>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</si>
  <si>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</si>
  <si>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</si>
  <si>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</si>
  <si>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</si>
  <si>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</si>
  <si>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</si>
  <si>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</si>
  <si>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</si>
  <si>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</si>
  <si>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</si>
  <si>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</si>
  <si>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</si>
  <si>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</si>
  <si>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</si>
  <si>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</si>
  <si>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</si>
  <si>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</si>
  <si>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</si>
  <si>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</si>
  <si>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</si>
  <si>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</si>
  <si>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</si>
  <si>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</si>
  <si>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</si>
  <si>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</si>
  <si>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</si>
  <si>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</si>
  <si>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</si>
  <si>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</si>
  <si>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</si>
  <si>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</si>
  <si>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</si>
  <si>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</si>
  <si>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</si>
  <si>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</si>
  <si>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</si>
  <si>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</si>
  <si>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</si>
  <si>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</si>
  <si>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</si>
  <si>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</si>
  <si>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</si>
  <si>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</si>
  <si>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</si>
  <si>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</si>
  <si>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</si>
  <si>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</si>
  <si>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</si>
  <si>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</si>
  <si>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</si>
  <si>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</si>
  <si>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</si>
  <si>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</si>
  <si>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</si>
  <si>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</si>
  <si>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</si>
  <si>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</si>
  <si>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</si>
  <si>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</si>
  <si>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</si>
  <si>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</si>
  <si>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</si>
  <si>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</si>
  <si>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</si>
  <si>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</si>
  <si>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</si>
  <si>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</si>
  <si>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</si>
  <si>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</si>
  <si>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</si>
  <si>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</si>
  <si>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</si>
  <si>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</si>
  <si>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</si>
  <si>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</si>
  <si>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</si>
  <si>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</si>
  <si>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</si>
  <si>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</si>
  <si>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</si>
  <si>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</si>
  <si>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</si>
  <si>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</si>
  <si>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</si>
  <si>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</si>
  <si>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</si>
  <si>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</si>
  <si>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</si>
  <si>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</si>
  <si>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</si>
  <si>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</si>
  <si>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</si>
  <si>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</si>
  <si>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</si>
  <si>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</si>
  <si>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</si>
  <si>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</si>
  <si>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</si>
  <si>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</si>
  <si>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</si>
  <si>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</si>
  <si>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</si>
  <si>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</si>
  <si>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</si>
  <si>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</si>
  <si>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</si>
  <si>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</si>
  <si>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</si>
  <si>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</si>
  <si>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</si>
  <si>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</si>
  <si>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</si>
  <si>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</si>
  <si>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</si>
  <si>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</si>
  <si>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</si>
  <si>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</si>
  <si>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</si>
  <si>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</si>
  <si>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</si>
  <si>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</si>
  <si>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</si>
  <si>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</si>
  <si>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</si>
  <si>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</si>
  <si>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</si>
  <si>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</si>
  <si>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</si>
  <si>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</si>
  <si>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</si>
  <si>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</si>
  <si>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</si>
  <si>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</si>
  <si>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</si>
  <si>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</si>
  <si>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</si>
  <si>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</si>
  <si>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</si>
  <si>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</si>
  <si>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</si>
  <si>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</si>
  <si>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</si>
  <si>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</si>
  <si>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</si>
  <si>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</si>
  <si>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</si>
  <si>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</si>
  <si>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</si>
  <si>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</si>
  <si>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</si>
  <si>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</si>
  <si>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</si>
  <si>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</si>
  <si>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</si>
  <si>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</si>
  <si>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</si>
  <si>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</si>
  <si>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</si>
  <si>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</si>
  <si>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</si>
  <si>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</si>
  <si>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</si>
  <si>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</si>
  <si>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</si>
  <si>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</si>
  <si>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</si>
  <si>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</si>
  <si>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</si>
  <si>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</si>
  <si>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</si>
  <si>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</si>
  <si>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</si>
  <si>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</si>
  <si>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</si>
  <si>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</si>
  <si>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</si>
  <si>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</si>
  <si>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</si>
  <si>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</si>
  <si>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</si>
  <si>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</si>
  <si>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</si>
  <si>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</si>
  <si>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</si>
  <si>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</si>
  <si>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</si>
  <si>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</si>
  <si>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</si>
  <si>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</si>
  <si>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</si>
  <si>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</si>
  <si>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</si>
  <si>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</si>
  <si>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</si>
  <si>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</si>
  <si>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</si>
  <si>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</si>
  <si>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</si>
  <si>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</si>
  <si>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</si>
  <si>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</si>
  <si>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</si>
  <si>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</si>
  <si>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</si>
  <si>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</si>
  <si>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</si>
  <si>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</si>
  <si>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</si>
  <si>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</si>
  <si>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</si>
  <si>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</si>
  <si>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</si>
  <si>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</si>
  <si>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</si>
  <si>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</si>
  <si>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</si>
  <si>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</si>
  <si>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</si>
  <si>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</si>
  <si>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</si>
  <si>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</si>
  <si>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</si>
  <si>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</si>
  <si>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</si>
  <si>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</si>
  <si>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</si>
  <si>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</si>
  <si>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</si>
  <si>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</si>
  <si>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</si>
  <si>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</si>
  <si>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</si>
  <si>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</si>
  <si>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</si>
  <si>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</si>
  <si>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</si>
  <si>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</si>
  <si>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</si>
  <si>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</si>
  <si>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</si>
  <si>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</si>
  <si>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</si>
  <si>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</si>
  <si>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</si>
  <si>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</si>
  <si>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</si>
  <si>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</si>
  <si>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</si>
  <si>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</si>
  <si>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</si>
  <si>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</si>
  <si>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</si>
  <si>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</si>
  <si>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</si>
  <si>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</si>
  <si>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</si>
  <si>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</si>
  <si>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</si>
  <si>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</si>
  <si>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</si>
  <si>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</si>
  <si>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</si>
  <si>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</si>
  <si>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</si>
  <si>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</si>
  <si>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</si>
  <si>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</si>
  <si>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</si>
  <si>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</si>
  <si>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</si>
  <si>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</si>
  <si>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</si>
  <si>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</si>
  <si>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</si>
  <si>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</si>
  <si>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</si>
  <si>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</si>
  <si>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</si>
  <si>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</si>
  <si>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</si>
  <si>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</si>
  <si>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</si>
  <si>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</si>
  <si>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</si>
  <si>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</si>
  <si>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</si>
  <si>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</si>
  <si>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</si>
  <si>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</si>
  <si>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</si>
  <si>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</si>
  <si>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</si>
  <si>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</si>
  <si>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</si>
  <si>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</si>
  <si>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</si>
  <si>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</si>
  <si>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</si>
  <si>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</si>
  <si>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</si>
  <si>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</si>
  <si>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</si>
  <si>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</si>
  <si>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</si>
  <si>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</si>
  <si>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</si>
  <si>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</si>
  <si>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</si>
  <si>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</si>
  <si>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</si>
  <si>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</si>
  <si>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</si>
  <si>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</si>
  <si>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</si>
  <si>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</si>
  <si>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</si>
  <si>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</si>
  <si>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</si>
  <si>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</si>
  <si>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</si>
  <si>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</si>
  <si>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</si>
  <si>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</si>
  <si>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</si>
  <si>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</si>
  <si>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</si>
  <si>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</si>
  <si>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</si>
  <si>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</si>
  <si>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</si>
  <si>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</si>
  <si>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</si>
  <si>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</si>
  <si>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</si>
  <si>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</si>
  <si>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</si>
  <si>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</si>
  <si>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</si>
  <si>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</si>
  <si>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</si>
  <si>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</si>
  <si>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</si>
  <si>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</si>
  <si>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</si>
  <si>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</si>
  <si>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</si>
  <si>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</si>
  <si>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</si>
  <si>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</si>
  <si>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</si>
  <si>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</si>
  <si>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</si>
  <si>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</si>
  <si>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</si>
  <si>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</si>
  <si>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</si>
  <si>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</si>
  <si>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</si>
  <si>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</si>
  <si>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</si>
  <si>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</si>
  <si>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</si>
  <si>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</si>
  <si>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</si>
  <si>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</si>
  <si>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</si>
  <si>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</si>
  <si>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</si>
  <si>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</si>
  <si>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</si>
  <si>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</si>
  <si>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</si>
  <si>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</si>
  <si>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</si>
  <si>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</si>
  <si>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</si>
  <si>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</si>
  <si>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</si>
  <si>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</si>
  <si>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</si>
  <si>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</si>
  <si>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</si>
  <si>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</si>
  <si>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</si>
  <si>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</si>
  <si>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</si>
  <si>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</si>
  <si>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</si>
  <si>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</si>
  <si>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</si>
  <si>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</si>
  <si>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</si>
  <si>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</si>
  <si>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</si>
  <si>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</si>
  <si>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</si>
  <si>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</si>
  <si>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</si>
  <si>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</si>
  <si>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</si>
  <si>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</si>
  <si>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</si>
  <si>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</si>
  <si>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</si>
  <si>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</si>
  <si>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</si>
  <si>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</si>
  <si>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</si>
  <si>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</si>
  <si>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</si>
  <si>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</si>
  <si>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</si>
  <si>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</si>
  <si>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</si>
  <si>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</si>
  <si>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</si>
  <si>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</si>
  <si>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</si>
  <si>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</si>
  <si>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</si>
  <si>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</si>
  <si>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</si>
  <si>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</si>
  <si>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</si>
  <si>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</si>
  <si>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</si>
  <si>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</si>
  <si>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</si>
  <si>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</si>
  <si>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</si>
  <si>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</si>
  <si>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</si>
  <si>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</si>
  <si>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</si>
  <si>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</si>
  <si>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</si>
  <si>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</si>
  <si>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</si>
  <si>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</si>
  <si>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</si>
  <si>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</si>
  <si>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</si>
  <si>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</si>
  <si>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</si>
  <si>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</si>
  <si>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</si>
  <si>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</si>
  <si>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</si>
  <si>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</si>
  <si>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</si>
  <si>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</si>
  <si>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</si>
  <si>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</si>
  <si>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</si>
  <si>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</si>
  <si>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</si>
  <si>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</si>
  <si>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</si>
  <si>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</si>
  <si>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</si>
  <si>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</si>
  <si>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</si>
  <si>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</si>
  <si>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</si>
  <si>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</si>
  <si>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</si>
  <si>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</si>
  <si>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</si>
  <si>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</si>
  <si>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</si>
  <si>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</si>
  <si>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</si>
  <si>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</si>
  <si>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</si>
  <si>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</si>
  <si>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</si>
  <si>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</si>
  <si>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</si>
  <si>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</si>
  <si>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</si>
  <si>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</si>
  <si>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</si>
  <si>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</si>
  <si>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</si>
  <si>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</si>
  <si>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</si>
  <si>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</si>
  <si>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</si>
  <si>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</si>
  <si>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</si>
  <si>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</si>
  <si>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</si>
  <si>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</si>
  <si>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</si>
  <si>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</si>
  <si>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</si>
  <si>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</si>
  <si>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</si>
  <si>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</si>
  <si>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</si>
  <si>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</si>
  <si>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</si>
  <si>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</si>
  <si>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</si>
  <si>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</si>
  <si>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</si>
  <si>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</si>
  <si>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</si>
  <si>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</si>
  <si>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</si>
  <si>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</si>
  <si>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</si>
  <si>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</si>
  <si>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</si>
  <si>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</si>
  <si>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</si>
  <si>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</si>
  <si>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</si>
  <si>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</si>
  <si>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</si>
  <si>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</si>
  <si>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</si>
  <si>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</si>
  <si>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</si>
  <si>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</si>
  <si>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</si>
  <si>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</si>
  <si>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</si>
  <si>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</si>
  <si>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</si>
  <si>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</si>
  <si>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</si>
  <si>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</si>
  <si>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</si>
  <si>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</si>
  <si>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</si>
  <si>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</si>
  <si>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</si>
  <si>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</si>
  <si>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</si>
  <si>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</si>
  <si>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</si>
  <si>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</si>
  <si>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</si>
  <si>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</si>
  <si>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</si>
  <si>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</si>
  <si>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</si>
  <si>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</si>
  <si>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</si>
  <si>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</si>
  <si>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</si>
  <si>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</si>
  <si>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</si>
  <si>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</si>
  <si>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</si>
  <si>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</si>
  <si>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</si>
  <si>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</si>
  <si>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</si>
  <si>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</si>
  <si>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</si>
  <si>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</si>
  <si>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</si>
  <si>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</si>
  <si>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</si>
  <si>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</si>
  <si>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</si>
  <si>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</si>
  <si>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</si>
  <si>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</si>
  <si>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</si>
  <si>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</si>
  <si>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</si>
  <si>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</si>
  <si>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</si>
  <si>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</si>
  <si>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</si>
  <si>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</si>
  <si>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</si>
  <si>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</si>
  <si>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</si>
  <si>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</si>
  <si>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</si>
  <si>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</si>
  <si>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</si>
  <si>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</si>
  <si>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</si>
  <si>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</si>
  <si>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</si>
  <si>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</si>
  <si>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</si>
  <si>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</si>
  <si>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</si>
  <si>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</si>
  <si>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</si>
  <si>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</si>
  <si>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</si>
  <si>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</si>
  <si>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</si>
  <si>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</si>
  <si>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</si>
  <si>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</si>
  <si>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</si>
  <si>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</si>
  <si>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</si>
  <si>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</si>
  <si>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</si>
  <si>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</si>
  <si>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</si>
  <si>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</si>
  <si>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</si>
  <si>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</si>
  <si>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</si>
  <si>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</si>
  <si>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</si>
  <si>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</si>
  <si>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</si>
  <si>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</si>
  <si>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</si>
  <si>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</si>
  <si>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</si>
  <si>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</si>
  <si>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</si>
  <si>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</si>
  <si>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</si>
  <si>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</si>
  <si>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</si>
  <si>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</si>
  <si>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</si>
  <si>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</si>
  <si>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</si>
  <si>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</si>
  <si>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</si>
  <si>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</si>
  <si>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</si>
  <si>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</si>
  <si>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</si>
  <si>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</si>
  <si>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</si>
  <si>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</si>
  <si>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</si>
  <si>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</si>
  <si>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</si>
  <si>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</si>
  <si>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</si>
  <si>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</si>
  <si>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</si>
  <si>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</si>
  <si>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</si>
  <si>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</si>
  <si>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</si>
  <si>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</si>
  <si>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</si>
  <si>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</si>
  <si>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</si>
  <si>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</si>
  <si>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</si>
  <si>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</si>
  <si>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</si>
  <si>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</si>
  <si>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</si>
  <si>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</si>
  <si>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</si>
  <si>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</si>
  <si>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</si>
  <si>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</si>
  <si>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</si>
  <si>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</si>
  <si>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</si>
  <si>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</si>
  <si>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</si>
  <si>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</si>
  <si>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</si>
  <si>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</si>
  <si>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</si>
  <si>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</si>
  <si>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</si>
  <si>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</si>
  <si>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</si>
  <si>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</si>
  <si>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</si>
  <si>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</si>
  <si>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</si>
  <si>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</si>
  <si>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</si>
  <si>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</si>
  <si>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</si>
  <si>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</si>
  <si>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</si>
  <si>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</si>
  <si>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</si>
  <si>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</si>
  <si>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</si>
  <si>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</si>
  <si>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</si>
  <si>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</si>
  <si>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</si>
  <si>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</si>
  <si>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</si>
  <si>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</si>
  <si>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</si>
  <si>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</si>
  <si>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</si>
  <si>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</si>
  <si>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</si>
  <si>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</si>
  <si>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</si>
  <si>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</si>
  <si>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</si>
  <si>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</si>
  <si>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</si>
  <si>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</si>
  <si>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</si>
  <si>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</si>
  <si>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</si>
  <si>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</si>
  <si>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</si>
  <si>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</si>
  <si>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</si>
  <si>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</si>
  <si>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</si>
  <si>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</si>
  <si>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</si>
  <si>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</si>
  <si>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</si>
  <si>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</si>
  <si>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</si>
  <si>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</si>
  <si>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</si>
  <si>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</si>
  <si>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</si>
  <si>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</si>
  <si>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</si>
  <si>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</si>
  <si>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</si>
  <si>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</si>
  <si>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</si>
  <si>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</si>
  <si>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</si>
  <si>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</si>
  <si>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</si>
  <si>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</si>
  <si>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</si>
  <si>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</si>
  <si>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</si>
  <si>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</si>
  <si>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</si>
  <si>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</si>
  <si>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</si>
  <si>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</si>
  <si>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</si>
  <si>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</si>
  <si>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</si>
  <si>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</si>
  <si>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</si>
  <si>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</si>
  <si>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</si>
  <si>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</si>
  <si>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</si>
  <si>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</si>
  <si>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</si>
  <si>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</si>
  <si>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</si>
  <si>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</si>
  <si>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</si>
  <si>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</si>
  <si>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</si>
  <si>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</si>
  <si>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</si>
  <si>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</si>
  <si>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</si>
  <si>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</si>
  <si>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</si>
  <si>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</si>
  <si>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</si>
  <si>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</si>
  <si>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</si>
  <si>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</si>
  <si>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</si>
  <si>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</si>
  <si>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</si>
  <si>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</si>
  <si>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</si>
  <si>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</si>
  <si>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</si>
  <si>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</si>
  <si>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</si>
  <si>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</si>
  <si>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</si>
  <si>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</si>
  <si>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</si>
  <si>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</si>
  <si>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</si>
  <si>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</si>
  <si>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</si>
  <si>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</si>
  <si>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</si>
  <si>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</si>
  <si>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</si>
  <si>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</si>
  <si>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</si>
  <si>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</si>
  <si>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</si>
  <si>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</si>
  <si>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</si>
  <si>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</si>
  <si>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</si>
  <si>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</si>
  <si>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</si>
  <si>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</si>
  <si>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</si>
  <si>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</si>
  <si>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</si>
  <si>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</si>
  <si>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</si>
  <si>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</si>
  <si>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</si>
  <si>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</si>
  <si>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</si>
  <si>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</si>
  <si>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</si>
  <si>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</si>
  <si>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</si>
  <si>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</si>
  <si>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</si>
  <si>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</si>
  <si>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</si>
  <si>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</si>
  <si>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</si>
  <si>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</si>
  <si>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</si>
  <si>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</si>
  <si>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</si>
  <si>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</si>
  <si>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</si>
  <si>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</si>
  <si>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</si>
  <si>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</si>
  <si>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</si>
  <si>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</si>
  <si>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</si>
  <si>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</si>
  <si>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</si>
  <si>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</si>
  <si>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</si>
  <si>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</si>
  <si>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</si>
  <si>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</si>
  <si>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</si>
  <si>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</si>
  <si>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</si>
  <si>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</si>
  <si>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</si>
  <si>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</si>
  <si>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</si>
  <si>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</si>
  <si>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</si>
  <si>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</si>
  <si>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</si>
  <si>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</si>
  <si>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</si>
  <si>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</si>
  <si>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</si>
  <si>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</si>
  <si>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</si>
  <si>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</si>
  <si>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</si>
  <si>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</si>
  <si>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</si>
  <si>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</si>
  <si>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</si>
  <si>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</si>
  <si>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</si>
  <si>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</si>
  <si>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</si>
  <si>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</si>
  <si>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</si>
  <si>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</si>
  <si>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</si>
  <si>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</si>
  <si>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</si>
  <si>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</si>
  <si>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</si>
  <si>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</si>
  <si>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</si>
  <si>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</si>
  <si>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</si>
  <si>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</si>
  <si>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</si>
  <si>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</si>
  <si>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</si>
  <si>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</si>
  <si>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</si>
  <si>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</si>
  <si>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</si>
  <si>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</si>
  <si>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</si>
  <si>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</si>
  <si>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</si>
  <si>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</si>
  <si>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</si>
  <si>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</si>
  <si>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</si>
  <si>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</si>
  <si>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</si>
  <si>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</si>
  <si>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</si>
  <si>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</si>
  <si>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</si>
  <si>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</si>
  <si>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</si>
  <si>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</si>
  <si>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</si>
  <si>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</si>
  <si>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</si>
  <si>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</si>
  <si>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</si>
  <si>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</si>
  <si>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</si>
  <si>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</si>
  <si>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</si>
  <si>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</si>
  <si>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</si>
  <si>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</si>
  <si>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</si>
  <si>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</si>
  <si>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</si>
  <si>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</si>
  <si>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</si>
  <si>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</si>
  <si>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</si>
  <si>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</si>
  <si>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</si>
  <si>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</si>
  <si>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</si>
  <si>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</si>
  <si>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</si>
  <si>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</si>
  <si>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</si>
  <si>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</si>
  <si>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</si>
  <si>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</si>
  <si>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</si>
  <si>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</si>
  <si>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</si>
  <si>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</si>
  <si>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</si>
  <si>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</si>
  <si>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</si>
  <si>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</si>
  <si>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</si>
  <si>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</si>
  <si>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</si>
  <si>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</si>
  <si>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</si>
  <si>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</si>
  <si>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</si>
  <si>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</si>
  <si>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</si>
  <si>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</si>
  <si>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</si>
  <si>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</si>
  <si>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</si>
  <si>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</si>
  <si>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</si>
  <si>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</si>
  <si>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</si>
  <si>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</si>
  <si>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</si>
  <si>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</si>
  <si>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</si>
  <si>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</si>
  <si>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</si>
  <si>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</si>
  <si>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</si>
  <si>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</si>
  <si>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</si>
  <si>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</si>
  <si>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</si>
  <si>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</si>
  <si>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</si>
  <si>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</si>
  <si>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</si>
  <si>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</si>
  <si>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</si>
  <si>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</si>
  <si>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</si>
  <si>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</si>
  <si>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</si>
  <si>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</si>
  <si>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</si>
  <si>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</si>
  <si>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</si>
  <si>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</si>
  <si>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</si>
  <si>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</si>
  <si>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</si>
  <si>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</si>
  <si>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</si>
  <si>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</si>
  <si>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</si>
  <si>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</si>
  <si>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</si>
  <si>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</si>
  <si>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</si>
  <si>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</si>
  <si>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</si>
  <si>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</si>
  <si>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</si>
  <si>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</si>
  <si>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</si>
  <si>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</si>
  <si>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</si>
  <si>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</si>
  <si>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</si>
  <si>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</si>
  <si>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</si>
  <si>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</si>
  <si>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</si>
  <si>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</si>
  <si>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</si>
  <si>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</si>
  <si>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</si>
  <si>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</si>
  <si>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</si>
  <si>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</si>
  <si>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</si>
  <si>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</si>
  <si>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</si>
  <si>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</si>
  <si>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</si>
  <si>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</si>
  <si>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</si>
  <si>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</si>
  <si>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</si>
  <si>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</si>
  <si>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</si>
  <si>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</si>
  <si>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</si>
  <si>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</si>
  <si>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</si>
  <si>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</si>
  <si>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</si>
  <si>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</si>
  <si>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</si>
  <si>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</si>
  <si>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</si>
  <si>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</si>
  <si>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</si>
  <si>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</si>
  <si>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</si>
  <si>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</si>
  <si>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</si>
  <si>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</si>
  <si>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</si>
  <si>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</si>
  <si>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</si>
  <si>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</si>
  <si>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</si>
  <si>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</si>
  <si>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</si>
  <si>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</si>
  <si>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</si>
  <si>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</si>
  <si>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</si>
  <si>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</si>
  <si>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</si>
  <si>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</si>
  <si>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</si>
  <si>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</si>
  <si>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</si>
  <si>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</si>
  <si>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</si>
  <si>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</si>
  <si>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</si>
  <si>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</si>
  <si>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</si>
  <si>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</si>
  <si>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</si>
  <si>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</si>
  <si>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</si>
  <si>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</si>
  <si>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</si>
  <si>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</si>
  <si>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</si>
  <si>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</si>
  <si>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</si>
  <si>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</si>
  <si>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</si>
  <si>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</si>
  <si>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</si>
  <si>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</si>
  <si>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</si>
  <si>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</si>
  <si>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</si>
  <si>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</si>
  <si>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</si>
  <si>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</si>
  <si>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</si>
  <si>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</si>
  <si>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</si>
  <si>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</si>
  <si>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</si>
  <si>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</si>
  <si>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</si>
  <si>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</si>
  <si>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</si>
  <si>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</si>
  <si>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</si>
  <si>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</si>
  <si>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</si>
  <si>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</si>
  <si>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</si>
  <si>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</si>
  <si>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</si>
  <si>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</si>
  <si>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</si>
  <si>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</si>
  <si>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</si>
  <si>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</si>
  <si>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</si>
  <si>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</si>
  <si>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</si>
  <si>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</si>
  <si>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</si>
  <si>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</si>
  <si>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</si>
  <si>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</si>
  <si>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</si>
  <si>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</si>
  <si>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</si>
  <si>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</si>
  <si>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</si>
  <si>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</si>
  <si>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</si>
  <si>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</si>
  <si>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</si>
  <si>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</si>
  <si>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</si>
  <si>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</si>
  <si>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</si>
  <si>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</si>
  <si>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Canby Family Apartments</t>
  </si>
  <si>
    <t>930 Canby Road</t>
  </si>
  <si>
    <t>Redding</t>
  </si>
  <si>
    <t>117-200-005 &amp; 117-200-006</t>
  </si>
  <si>
    <t>Inspection Fees</t>
  </si>
  <si>
    <t>Borrowers Attorney</t>
  </si>
  <si>
    <t>PG&amp;E Fees</t>
  </si>
  <si>
    <t>Community Revitalization and Development Corporation</t>
  </si>
  <si>
    <t>September</t>
  </si>
  <si>
    <t>David Rutledge</t>
  </si>
  <si>
    <t>President</t>
  </si>
  <si>
    <t>City of Redding</t>
  </si>
  <si>
    <t>Barry Tippin</t>
  </si>
  <si>
    <t>777 Cypress Avenue</t>
  </si>
  <si>
    <t xml:space="preserve">Redding </t>
  </si>
  <si>
    <t>530.225.4060</t>
  </si>
  <si>
    <t>btippin@cityofredding.org</t>
  </si>
  <si>
    <t>40%/60%</t>
  </si>
  <si>
    <t xml:space="preserve">1918 West Street </t>
  </si>
  <si>
    <t>CA</t>
  </si>
  <si>
    <t>david@crdc-housing.org</t>
  </si>
  <si>
    <t xml:space="preserve">5251 Ericson Way </t>
  </si>
  <si>
    <t>Administrative GP</t>
  </si>
  <si>
    <t xml:space="preserve">Redding Canby Road LLC </t>
  </si>
  <si>
    <t>Arcata</t>
  </si>
  <si>
    <t>Chris Dart</t>
  </si>
  <si>
    <t>cdart@danco-group.com</t>
  </si>
  <si>
    <t>Johnson &amp; Johnson Investments, LLC</t>
  </si>
  <si>
    <t>Managing GP</t>
  </si>
  <si>
    <t>1918 West Street</t>
  </si>
  <si>
    <t xml:space="preserve">Danco Communities </t>
  </si>
  <si>
    <t>Hailey Wilson</t>
  </si>
  <si>
    <t>hwilson@danco-group.com</t>
  </si>
  <si>
    <t>Developer</t>
  </si>
  <si>
    <t>Danco Communities</t>
  </si>
  <si>
    <t>Arcata, CA 95521</t>
  </si>
  <si>
    <t xml:space="preserve">Chris Dart </t>
  </si>
  <si>
    <t>707-825-1531</t>
  </si>
  <si>
    <t>707-822-9596</t>
  </si>
  <si>
    <t xml:space="preserve">Odu &amp; Associates </t>
  </si>
  <si>
    <t>31805 Temecula Pkwy #720</t>
  </si>
  <si>
    <t>Temecula, CA 92592-8203</t>
  </si>
  <si>
    <t>Nkechi Odu</t>
  </si>
  <si>
    <t>(310) 346-5491</t>
  </si>
  <si>
    <t>nkechi@odulaw.com</t>
  </si>
  <si>
    <t>DG Group Architecture</t>
  </si>
  <si>
    <t>430 E. State St., Ste. 100</t>
  </si>
  <si>
    <t>Eagle, ID 83616</t>
  </si>
  <si>
    <t>Douglas L. Gibson</t>
  </si>
  <si>
    <t>209-908-4871</t>
  </si>
  <si>
    <t>208-392-1269</t>
  </si>
  <si>
    <t>douglasg@tpchousing.com</t>
  </si>
  <si>
    <t>Danco Builders Northwest</t>
  </si>
  <si>
    <t>5251 Ericson Way</t>
  </si>
  <si>
    <t>Leavitt Christensen &amp; Co., PLLC</t>
  </si>
  <si>
    <t>6149 N Meeker Pl #250</t>
  </si>
  <si>
    <t>Boise, ID 83713</t>
  </si>
  <si>
    <t>Ryan Leavitt</t>
  </si>
  <si>
    <t>(208) 287-5353</t>
  </si>
  <si>
    <t>ryan@leavittchristensen.com</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</si>
  <si>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</si>
  <si>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</si>
  <si>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</si>
  <si>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</si>
  <si>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</si>
  <si>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</si>
  <si>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</si>
  <si>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</si>
  <si>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</si>
  <si>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</si>
  <si>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</si>
  <si>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</si>
  <si>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</si>
  <si>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</si>
  <si>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</si>
  <si>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</si>
  <si>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</si>
  <si>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</si>
  <si>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</si>
  <si>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</si>
  <si>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</si>
  <si>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</si>
  <si>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Citi Bank Tax Exempt Loan</t>
  </si>
  <si>
    <t>Citi Bank Taxable Loan</t>
  </si>
  <si>
    <t>Citi Bank Recycled Bonds</t>
  </si>
  <si>
    <t>Recycled Bonds</t>
  </si>
  <si>
    <t>Tax Credit Equity</t>
  </si>
  <si>
    <t>Citi Bank Permanent Loan</t>
  </si>
  <si>
    <t>CMFA</t>
  </si>
  <si>
    <t>CUAC</t>
  </si>
  <si>
    <t>California Utility Allowance Calculator</t>
  </si>
  <si>
    <t>2111 Palomar Airport Road Suite 320</t>
  </si>
  <si>
    <t>Carlsbad, CA 92011</t>
  </si>
  <si>
    <t>Anthony Stubbs</t>
  </si>
  <si>
    <t>jsuzuki@cmfa-ca.com</t>
  </si>
  <si>
    <t>Eric Rasmussen, Rodd Rasmussen &amp; Mark Rasmussen</t>
  </si>
  <si>
    <t xml:space="preserve">Sellers </t>
  </si>
  <si>
    <t>One or Two Story Garden</t>
  </si>
  <si>
    <t>2 &amp; 3</t>
  </si>
  <si>
    <t>Residential</t>
  </si>
  <si>
    <t>N.A</t>
  </si>
  <si>
    <t>Two Embarcadero Center - 17th Floor</t>
  </si>
  <si>
    <t>San Francisco, CA 94111</t>
  </si>
  <si>
    <t>Jacob St. Onge</t>
  </si>
  <si>
    <t>Construction Loan</t>
  </si>
  <si>
    <t>8335 Sunset Blvd STE 203</t>
  </si>
  <si>
    <t>Equity</t>
  </si>
  <si>
    <t>Perm Loan</t>
  </si>
  <si>
    <t>5251 Ericson Way, STE A</t>
  </si>
  <si>
    <t>Deferred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</si>
</sst>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5" borderId="9" xfId="0" applyFont="1" applyFill="1" applyBorder="1" applyAlignment="1" applyProtection="1">
      <alignment horizontal="center"/>
      <protection locked="0"/>
    </xf>
    <xf numFmtId="0" fontId="17" fillId="5" borderId="6"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6" xfId="0" applyFill="1" applyBorder="1" applyAlignment="1" applyProtection="1">
      <alignment horizont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0" fontId="17" fillId="5" borderId="11" xfId="0" applyFont="1" applyFill="1" applyBorder="1" applyAlignment="1" applyProtection="1">
      <alignment horizontal="left" vertical="center" wrapText="1"/>
      <protection locked="0"/>
    </xf>
    <xf numFmtId="0" fontId="0" fillId="5" borderId="6" xfId="0" applyFill="1" applyBorder="1" applyAlignment="1" applyProtection="1">
      <alignment horizontal="left"/>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26"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36"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7" fillId="5" borderId="4" xfId="0" applyFont="1" applyFill="1" applyBorder="1" applyAlignment="1" applyProtection="1">
      <alignment horizontal="lef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1" fontId="2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43" borderId="6" xfId="0"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166" fontId="26" fillId="5" borderId="6" xfId="0" applyNumberFormat="1" applyFont="1" applyFill="1" applyBorder="1" applyAlignment="1" applyProtection="1">
      <alignment horizontal="left"/>
      <protection locked="0"/>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17"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0" applyFont="1" applyFill="1" applyBorder="1" applyAlignment="1" applyProtection="1">
      <alignment horizontal="left" wrapText="1"/>
      <protection locked="0"/>
    </xf>
    <xf numFmtId="0" fontId="26"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4" xfId="271" applyNumberFormat="1" applyFill="1" applyBorder="1" applyAlignment="1" applyProtection="1">
      <alignment horizontal="left"/>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10" fontId="26" fillId="5" borderId="4" xfId="0" applyNumberFormat="1" applyFont="1" applyFill="1" applyBorder="1" applyAlignment="1" applyProtection="1">
      <alignment horizontal="right"/>
      <protection locked="0"/>
    </xf>
    <xf numFmtId="16" fontId="17" fillId="5" borderId="6" xfId="0" applyNumberFormat="1" applyFont="1" applyFill="1" applyBorder="1" applyAlignment="1" applyProtection="1">
      <alignment horizontal="center"/>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6"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0" fontId="24" fillId="0" borderId="11"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24" fillId="0" borderId="9" xfId="0" applyFont="1" applyBorder="1" applyAlignment="1">
      <alignment horizontal="right"/>
    </xf>
    <xf numFmtId="0" fontId="24" fillId="0" borderId="10" xfId="0" applyFont="1" applyBorder="1" applyAlignment="1">
      <alignment horizontal="right"/>
    </xf>
    <xf numFmtId="0" fontId="24" fillId="0" borderId="9" xfId="0" applyFont="1" applyBorder="1" applyAlignment="1">
      <alignment horizontal="center"/>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57CD1E82-79B8-47E4-8028-D15EDC4F9E02}"/>
    <cellStyle name="20% - Accent1 11" xfId="8736" xr:uid="{E363BFFF-1E27-490F-9E37-4FE0DA8AE477}"/>
    <cellStyle name="20% - Accent1 2" xfId="2" xr:uid="{00000000-0005-0000-0000-000002000000}"/>
    <cellStyle name="20% - Accent1 2 10" xfId="8737" xr:uid="{634D4148-92BE-40A4-9A44-C2DCF0820541}"/>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5D92DC18-345B-48E9-82A5-942BCCE0CF1C}"/>
    <cellStyle name="20% - Accent1 2 2 2 2 2 3" xfId="11298" xr:uid="{1542D239-699C-4021-BF39-102FE8474341}"/>
    <cellStyle name="20% - Accent1 2 2 2 2 3" xfId="4921" xr:uid="{00000000-0005-0000-0000-000008000000}"/>
    <cellStyle name="20% - Accent1 2 2 2 2 3 2" xfId="13371" xr:uid="{779CC91A-DA49-4F2E-9EAA-ACEBF6EAEB80}"/>
    <cellStyle name="20% - Accent1 2 2 2 2 4" xfId="9153" xr:uid="{C8374616-5A90-4F5F-A5D9-2E4012FC010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AC8B6D66-EFBB-44D8-A644-B0091FEBD53E}"/>
    <cellStyle name="20% - Accent1 2 2 2 3 2 3" xfId="11711" xr:uid="{26444F91-A9D4-4DD6-BFAA-298CBD1DEDAD}"/>
    <cellStyle name="20% - Accent1 2 2 2 3 3" xfId="5334" xr:uid="{00000000-0005-0000-0000-00000C000000}"/>
    <cellStyle name="20% - Accent1 2 2 2 3 3 2" xfId="13784" xr:uid="{1766DB39-7C80-4950-8360-81BC051E0BD5}"/>
    <cellStyle name="20% - Accent1 2 2 2 3 4" xfId="9566" xr:uid="{8856F0D6-149A-4060-975A-C7D86A405E11}"/>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4DA13E45-CC87-4011-A604-3F49EC5BA73E}"/>
    <cellStyle name="20% - Accent1 2 2 2 4 2 3" xfId="12124" xr:uid="{4A4E38CE-4AA7-467C-9454-612203D9AF38}"/>
    <cellStyle name="20% - Accent1 2 2 2 4 3" xfId="5747" xr:uid="{00000000-0005-0000-0000-000010000000}"/>
    <cellStyle name="20% - Accent1 2 2 2 4 3 2" xfId="14197" xr:uid="{F3333517-6C38-4465-B555-0B1446E7A6BD}"/>
    <cellStyle name="20% - Accent1 2 2 2 4 4" xfId="9979" xr:uid="{49D8F130-626A-448C-B41E-9B3056199801}"/>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4020BA95-B5B9-4724-9C3D-565101A99C65}"/>
    <cellStyle name="20% - Accent1 2 2 2 5 2 3" xfId="12537" xr:uid="{1BE3C2F9-3866-464D-8A07-C8C813C1AED2}"/>
    <cellStyle name="20% - Accent1 2 2 2 5 3" xfId="6160" xr:uid="{00000000-0005-0000-0000-000014000000}"/>
    <cellStyle name="20% - Accent1 2 2 2 5 3 2" xfId="14610" xr:uid="{EAFDCDFD-734F-4005-98CC-24414D145BF3}"/>
    <cellStyle name="20% - Accent1 2 2 2 5 4" xfId="10392" xr:uid="{ACAA2675-977C-4C63-8B1B-47598C97F465}"/>
    <cellStyle name="20% - Accent1 2 2 2 6" xfId="2267" xr:uid="{00000000-0005-0000-0000-000015000000}"/>
    <cellStyle name="20% - Accent1 2 2 2 6 2" xfId="6573" xr:uid="{00000000-0005-0000-0000-000016000000}"/>
    <cellStyle name="20% - Accent1 2 2 2 6 2 2" xfId="15023" xr:uid="{C51825B2-E247-4CA2-A196-BFA7FB8010D9}"/>
    <cellStyle name="20% - Accent1 2 2 2 6 3" xfId="10805" xr:uid="{0084AE47-EBB2-4102-9633-36E60CDF8280}"/>
    <cellStyle name="20% - Accent1 2 2 2 7" xfId="4507" xr:uid="{00000000-0005-0000-0000-000017000000}"/>
    <cellStyle name="20% - Accent1 2 2 2 7 2" xfId="12957" xr:uid="{7E283F79-A983-400C-BF8B-B70D4604F15A}"/>
    <cellStyle name="20% - Accent1 2 2 2 8" xfId="8739" xr:uid="{6691A55E-409A-4B9F-8F1E-B5EC04DE5817}"/>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9E712053-C7BC-46E4-B046-A68C9B5ABBE8}"/>
    <cellStyle name="20% - Accent1 2 2 3 2 3" xfId="11297" xr:uid="{F787A204-5A76-4245-8F93-0FE8E4F79474}"/>
    <cellStyle name="20% - Accent1 2 2 3 3" xfId="4920" xr:uid="{00000000-0005-0000-0000-00001B000000}"/>
    <cellStyle name="20% - Accent1 2 2 3 3 2" xfId="13370" xr:uid="{6CEDA414-367F-4C1F-89B2-900F0D2AEB89}"/>
    <cellStyle name="20% - Accent1 2 2 3 4" xfId="9152" xr:uid="{8151D51B-891B-4CB0-B4DE-DB5723B2C39E}"/>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3F7E767F-D3CC-4A1C-AD0C-5FEDD9282992}"/>
    <cellStyle name="20% - Accent1 2 2 4 2 3" xfId="11710" xr:uid="{B385D4FD-3072-4187-9AB6-F940F664FFD4}"/>
    <cellStyle name="20% - Accent1 2 2 4 3" xfId="5333" xr:uid="{00000000-0005-0000-0000-00001F000000}"/>
    <cellStyle name="20% - Accent1 2 2 4 3 2" xfId="13783" xr:uid="{13A84892-5786-4B0D-BAA0-AE9DF87FECB7}"/>
    <cellStyle name="20% - Accent1 2 2 4 4" xfId="9565" xr:uid="{CFDB240A-D851-4DB9-9675-E4E7CFCB2B54}"/>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B84F5162-30EB-4E3F-A262-E31031B0DE19}"/>
    <cellStyle name="20% - Accent1 2 2 5 2 3" xfId="12123" xr:uid="{ADACC798-013B-49E8-8F77-DE870517C451}"/>
    <cellStyle name="20% - Accent1 2 2 5 3" xfId="5746" xr:uid="{00000000-0005-0000-0000-000023000000}"/>
    <cellStyle name="20% - Accent1 2 2 5 3 2" xfId="14196" xr:uid="{9AB59D7A-8B8B-458A-8508-EF87CBA10054}"/>
    <cellStyle name="20% - Accent1 2 2 5 4" xfId="9978" xr:uid="{59A61329-708C-486A-8B20-1FFFBC5AB06A}"/>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0FA5FA3D-5537-46D6-90CC-F87320333CA8}"/>
    <cellStyle name="20% - Accent1 2 2 6 2 3" xfId="12536" xr:uid="{03F555D6-0585-4EEE-973E-5C2B85D5AD21}"/>
    <cellStyle name="20% - Accent1 2 2 6 3" xfId="6159" xr:uid="{00000000-0005-0000-0000-000027000000}"/>
    <cellStyle name="20% - Accent1 2 2 6 3 2" xfId="14609" xr:uid="{2D0C0151-4575-4BBF-8941-331893623D3F}"/>
    <cellStyle name="20% - Accent1 2 2 6 4" xfId="10391" xr:uid="{B67FEAE7-EDF2-4FD5-941B-F44EA2A2D301}"/>
    <cellStyle name="20% - Accent1 2 2 7" xfId="2266" xr:uid="{00000000-0005-0000-0000-000028000000}"/>
    <cellStyle name="20% - Accent1 2 2 7 2" xfId="6572" xr:uid="{00000000-0005-0000-0000-000029000000}"/>
    <cellStyle name="20% - Accent1 2 2 7 2 2" xfId="15022" xr:uid="{1E60E43F-69E9-496C-9983-0A5AEBCB8BB9}"/>
    <cellStyle name="20% - Accent1 2 2 7 3" xfId="10804" xr:uid="{949AC874-89D6-4167-89B9-C215CF4603D7}"/>
    <cellStyle name="20% - Accent1 2 2 8" xfId="4506" xr:uid="{00000000-0005-0000-0000-00002A000000}"/>
    <cellStyle name="20% - Accent1 2 2 8 2" xfId="12956" xr:uid="{CD49CEBF-A3D0-4D2E-9795-939EB10358C8}"/>
    <cellStyle name="20% - Accent1 2 2 9" xfId="8738" xr:uid="{B191DBDB-E223-4C0E-BE43-AB4DC739F521}"/>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720D587F-6079-498C-853F-4021EDDB65A0}"/>
    <cellStyle name="20% - Accent1 2 3 2 2 3" xfId="11299" xr:uid="{F4CB29C0-839A-4CAF-B184-E1D3D7E07A59}"/>
    <cellStyle name="20% - Accent1 2 3 2 3" xfId="4922" xr:uid="{00000000-0005-0000-0000-00002F000000}"/>
    <cellStyle name="20% - Accent1 2 3 2 3 2" xfId="13372" xr:uid="{45C9990A-3E11-4556-A854-EA22EC6904EC}"/>
    <cellStyle name="20% - Accent1 2 3 2 4" xfId="9154" xr:uid="{D5087918-F781-4D6E-8D85-FD97C0F768B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55857C58-B703-48F0-9DE5-499FA8183824}"/>
    <cellStyle name="20% - Accent1 2 3 3 2 3" xfId="11712" xr:uid="{22E36FAE-8E40-4715-A09A-DF1B4AA5B907}"/>
    <cellStyle name="20% - Accent1 2 3 3 3" xfId="5335" xr:uid="{00000000-0005-0000-0000-000033000000}"/>
    <cellStyle name="20% - Accent1 2 3 3 3 2" xfId="13785" xr:uid="{88A29186-43E4-4995-8350-E0754EEEF200}"/>
    <cellStyle name="20% - Accent1 2 3 3 4" xfId="9567" xr:uid="{C5171A44-4E2A-4CF9-BBCD-59B4D30A8C87}"/>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698AFC32-9EB5-4399-884B-E1DF32D6DBB7}"/>
    <cellStyle name="20% - Accent1 2 3 4 2 3" xfId="12125" xr:uid="{B3409D40-CCA8-41CF-9090-DAE8821DE720}"/>
    <cellStyle name="20% - Accent1 2 3 4 3" xfId="5748" xr:uid="{00000000-0005-0000-0000-000037000000}"/>
    <cellStyle name="20% - Accent1 2 3 4 3 2" xfId="14198" xr:uid="{695D8273-C32D-4D7A-8628-B84B2BF164F7}"/>
    <cellStyle name="20% - Accent1 2 3 4 4" xfId="9980" xr:uid="{1DC7315D-22AB-4D04-A807-3F9F83C0F72D}"/>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55D2CB55-1CA1-4B58-9BE0-13153406C653}"/>
    <cellStyle name="20% - Accent1 2 3 5 2 3" xfId="12538" xr:uid="{E6062F3B-9B84-43DB-BB69-1E34FA65BB1F}"/>
    <cellStyle name="20% - Accent1 2 3 5 3" xfId="6161" xr:uid="{00000000-0005-0000-0000-00003B000000}"/>
    <cellStyle name="20% - Accent1 2 3 5 3 2" xfId="14611" xr:uid="{EA569FE1-6613-4F1C-A425-77FA8F693B39}"/>
    <cellStyle name="20% - Accent1 2 3 5 4" xfId="10393" xr:uid="{5708464A-18F9-4692-B2AF-6D282AF69428}"/>
    <cellStyle name="20% - Accent1 2 3 6" xfId="2268" xr:uid="{00000000-0005-0000-0000-00003C000000}"/>
    <cellStyle name="20% - Accent1 2 3 6 2" xfId="6574" xr:uid="{00000000-0005-0000-0000-00003D000000}"/>
    <cellStyle name="20% - Accent1 2 3 6 2 2" xfId="15024" xr:uid="{414BBB8F-7C47-46FF-A2B7-935AF10524F6}"/>
    <cellStyle name="20% - Accent1 2 3 6 3" xfId="10806" xr:uid="{D7D9175E-822B-4B87-8764-C53E8DE7D54C}"/>
    <cellStyle name="20% - Accent1 2 3 7" xfId="4508" xr:uid="{00000000-0005-0000-0000-00003E000000}"/>
    <cellStyle name="20% - Accent1 2 3 7 2" xfId="12958" xr:uid="{E7FCA3D4-5911-42A6-9D3A-4270914FCAA0}"/>
    <cellStyle name="20% - Accent1 2 3 8" xfId="8740" xr:uid="{87AF64EB-5BC9-4284-A1E2-9CC39D2D151F}"/>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ECB4C021-1FDF-471B-BE66-C196E60FEA95}"/>
    <cellStyle name="20% - Accent1 2 4 2 3" xfId="11296" xr:uid="{4E8181A2-A339-4D11-84D0-FD167448C220}"/>
    <cellStyle name="20% - Accent1 2 4 3" xfId="4919" xr:uid="{00000000-0005-0000-0000-000042000000}"/>
    <cellStyle name="20% - Accent1 2 4 3 2" xfId="13369" xr:uid="{148043A4-A5CD-425B-834E-4E3DC3DB5228}"/>
    <cellStyle name="20% - Accent1 2 4 4" xfId="9151" xr:uid="{EC7F1129-FB02-476C-A262-C98C5641EA3C}"/>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5A0F26B9-2C9A-469B-ABF8-BAAC1844C199}"/>
    <cellStyle name="20% - Accent1 2 5 2 3" xfId="11709" xr:uid="{88DA7D53-3049-43E9-B835-F885A63571E9}"/>
    <cellStyle name="20% - Accent1 2 5 3" xfId="5332" xr:uid="{00000000-0005-0000-0000-000046000000}"/>
    <cellStyle name="20% - Accent1 2 5 3 2" xfId="13782" xr:uid="{4FA7089E-78BD-4FF3-B6DD-EF178F102C2E}"/>
    <cellStyle name="20% - Accent1 2 5 4" xfId="9564" xr:uid="{A7F9F682-4A05-476B-B13C-ECFF72CB01A9}"/>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F30E275F-7638-4E61-A0D4-2377A91528FA}"/>
    <cellStyle name="20% - Accent1 2 6 2 3" xfId="12122" xr:uid="{66F81743-7FAB-442E-84FE-11C952D0A076}"/>
    <cellStyle name="20% - Accent1 2 6 3" xfId="5745" xr:uid="{00000000-0005-0000-0000-00004A000000}"/>
    <cellStyle name="20% - Accent1 2 6 3 2" xfId="14195" xr:uid="{B9EEC541-FCEA-472F-84F8-C6570769FF56}"/>
    <cellStyle name="20% - Accent1 2 6 4" xfId="9977" xr:uid="{07729860-7F38-4EE2-A0CB-B1C163D5459E}"/>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46984D27-CEA2-4C0E-8D9C-5C9EC03FA614}"/>
    <cellStyle name="20% - Accent1 2 7 2 3" xfId="12535" xr:uid="{493D4FAB-4D0B-4012-B370-0C61D5EA049B}"/>
    <cellStyle name="20% - Accent1 2 7 3" xfId="6158" xr:uid="{00000000-0005-0000-0000-00004E000000}"/>
    <cellStyle name="20% - Accent1 2 7 3 2" xfId="14608" xr:uid="{F4CA2D74-5616-4DE1-8777-5B2E2F535CCD}"/>
    <cellStyle name="20% - Accent1 2 7 4" xfId="10390" xr:uid="{A2EB9FEB-C541-46C9-AF25-019EAB6D40CB}"/>
    <cellStyle name="20% - Accent1 2 8" xfId="2265" xr:uid="{00000000-0005-0000-0000-00004F000000}"/>
    <cellStyle name="20% - Accent1 2 8 2" xfId="6571" xr:uid="{00000000-0005-0000-0000-000050000000}"/>
    <cellStyle name="20% - Accent1 2 8 2 2" xfId="15021" xr:uid="{9F98DF88-CEDB-451F-89FB-3AF8F54F7616}"/>
    <cellStyle name="20% - Accent1 2 8 3" xfId="10803" xr:uid="{2618703D-AE45-4D0E-8674-0A8AB80BA2B1}"/>
    <cellStyle name="20% - Accent1 2 9" xfId="4505" xr:uid="{00000000-0005-0000-0000-000051000000}"/>
    <cellStyle name="20% - Accent1 2 9 2" xfId="12955" xr:uid="{F21702AC-7A1B-472B-95B3-CBC79F581FCD}"/>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2D7D0CFB-C51B-4530-BFBD-6E9ED582AFFA}"/>
    <cellStyle name="20% - Accent1 3 2 2 2 3" xfId="11301" xr:uid="{33AB49B0-7394-42CA-9A87-026ACD231962}"/>
    <cellStyle name="20% - Accent1 3 2 2 3" xfId="4924" xr:uid="{00000000-0005-0000-0000-000057000000}"/>
    <cellStyle name="20% - Accent1 3 2 2 3 2" xfId="13374" xr:uid="{6E775F80-38D4-4C44-94D5-DF9C93CE13DB}"/>
    <cellStyle name="20% - Accent1 3 2 2 4" xfId="9156" xr:uid="{F79194B0-513F-49A6-B004-90F3A936A525}"/>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939087A4-F2E9-43AA-94AE-8ADA656840D1}"/>
    <cellStyle name="20% - Accent1 3 2 3 2 3" xfId="11714" xr:uid="{E4F28801-7650-4C29-9C6A-2CA1F5712152}"/>
    <cellStyle name="20% - Accent1 3 2 3 3" xfId="5337" xr:uid="{00000000-0005-0000-0000-00005B000000}"/>
    <cellStyle name="20% - Accent1 3 2 3 3 2" xfId="13787" xr:uid="{5CE8B952-B3A4-4007-9554-00887E49BD64}"/>
    <cellStyle name="20% - Accent1 3 2 3 4" xfId="9569" xr:uid="{75CD6856-574D-4136-85BE-670AF28C682A}"/>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6A1F3295-A6E0-4415-88CE-7BA418CCE994}"/>
    <cellStyle name="20% - Accent1 3 2 4 2 3" xfId="12127" xr:uid="{512C2ECE-7C7D-4C5F-A067-E39C16A84FD1}"/>
    <cellStyle name="20% - Accent1 3 2 4 3" xfId="5750" xr:uid="{00000000-0005-0000-0000-00005F000000}"/>
    <cellStyle name="20% - Accent1 3 2 4 3 2" xfId="14200" xr:uid="{37C12102-79ED-4798-B6F1-579D3C8B0DB0}"/>
    <cellStyle name="20% - Accent1 3 2 4 4" xfId="9982" xr:uid="{EE668E7C-7808-4316-90E6-52FCD8412EB9}"/>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40BBAD9E-D9AC-45B2-9891-C439DFFF1113}"/>
    <cellStyle name="20% - Accent1 3 2 5 2 3" xfId="12540" xr:uid="{A9930B72-1C28-499D-9240-0946435B9B59}"/>
    <cellStyle name="20% - Accent1 3 2 5 3" xfId="6163" xr:uid="{00000000-0005-0000-0000-000063000000}"/>
    <cellStyle name="20% - Accent1 3 2 5 3 2" xfId="14613" xr:uid="{5B4A33AC-CE7A-4173-BFA0-FDE73D1C691B}"/>
    <cellStyle name="20% - Accent1 3 2 5 4" xfId="10395" xr:uid="{32C359B0-D95B-4FE9-B6D1-7C246E3C23E7}"/>
    <cellStyle name="20% - Accent1 3 2 6" xfId="2270" xr:uid="{00000000-0005-0000-0000-000064000000}"/>
    <cellStyle name="20% - Accent1 3 2 6 2" xfId="6576" xr:uid="{00000000-0005-0000-0000-000065000000}"/>
    <cellStyle name="20% - Accent1 3 2 6 2 2" xfId="15026" xr:uid="{6522A1C0-C77E-4299-9E8D-599DFACD6C60}"/>
    <cellStyle name="20% - Accent1 3 2 6 3" xfId="10808" xr:uid="{FD542735-E781-41AA-876C-3C12D24187FC}"/>
    <cellStyle name="20% - Accent1 3 2 7" xfId="4510" xr:uid="{00000000-0005-0000-0000-000066000000}"/>
    <cellStyle name="20% - Accent1 3 2 7 2" xfId="12960" xr:uid="{656A6B2E-EBB8-4857-BBFA-F38D038F90FE}"/>
    <cellStyle name="20% - Accent1 3 2 8" xfId="8742" xr:uid="{54FC7478-0FF0-446A-8B7F-13AEB908A512}"/>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65EDAEBA-A4E2-4DDB-B8F6-387F56E098FE}"/>
    <cellStyle name="20% - Accent1 3 3 2 3" xfId="11300" xr:uid="{D77DF005-5A11-48C8-9F88-E6F349E0E116}"/>
    <cellStyle name="20% - Accent1 3 3 3" xfId="4923" xr:uid="{00000000-0005-0000-0000-00006A000000}"/>
    <cellStyle name="20% - Accent1 3 3 3 2" xfId="13373" xr:uid="{A6462FBF-D858-44A6-B88C-F9094A3D28E3}"/>
    <cellStyle name="20% - Accent1 3 3 4" xfId="9155" xr:uid="{F8C7CFDC-CA57-4644-AD0C-C49E1F7B665B}"/>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2CAB0D05-53B9-4A0D-AABD-033BDE7F8D4D}"/>
    <cellStyle name="20% - Accent1 3 4 2 3" xfId="11713" xr:uid="{B02A5188-E591-43B4-950D-D37C5D440AB2}"/>
    <cellStyle name="20% - Accent1 3 4 3" xfId="5336" xr:uid="{00000000-0005-0000-0000-00006E000000}"/>
    <cellStyle name="20% - Accent1 3 4 3 2" xfId="13786" xr:uid="{E95EF7C3-0FAF-4660-A572-600460035FA5}"/>
    <cellStyle name="20% - Accent1 3 4 4" xfId="9568" xr:uid="{77422474-EF97-4030-8B66-EFF93D6D55EB}"/>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A30B583E-41B0-4544-B0CF-D69EB4242033}"/>
    <cellStyle name="20% - Accent1 3 5 2 3" xfId="12126" xr:uid="{0C2B3356-B71F-4202-9CBF-5E23299AA06C}"/>
    <cellStyle name="20% - Accent1 3 5 3" xfId="5749" xr:uid="{00000000-0005-0000-0000-000072000000}"/>
    <cellStyle name="20% - Accent1 3 5 3 2" xfId="14199" xr:uid="{03891B11-053A-4323-8CE1-4EAFCC605DC2}"/>
    <cellStyle name="20% - Accent1 3 5 4" xfId="9981" xr:uid="{BB2F51A8-D0F6-4333-B61A-517907D42BC6}"/>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4EB28595-E6E9-4814-8ABD-D0411073279C}"/>
    <cellStyle name="20% - Accent1 3 6 2 3" xfId="12539" xr:uid="{EF4FBEE5-8EF8-4DC6-864C-319D326674AF}"/>
    <cellStyle name="20% - Accent1 3 6 3" xfId="6162" xr:uid="{00000000-0005-0000-0000-000076000000}"/>
    <cellStyle name="20% - Accent1 3 6 3 2" xfId="14612" xr:uid="{2A864468-09C9-4BBD-B858-E8B0ABDC686C}"/>
    <cellStyle name="20% - Accent1 3 6 4" xfId="10394" xr:uid="{74EECC24-8E95-4B02-84A9-2DDE0DA508F0}"/>
    <cellStyle name="20% - Accent1 3 7" xfId="2269" xr:uid="{00000000-0005-0000-0000-000077000000}"/>
    <cellStyle name="20% - Accent1 3 7 2" xfId="6575" xr:uid="{00000000-0005-0000-0000-000078000000}"/>
    <cellStyle name="20% - Accent1 3 7 2 2" xfId="15025" xr:uid="{81F57A51-8551-476B-B577-B8CD9B17C383}"/>
    <cellStyle name="20% - Accent1 3 7 3" xfId="10807" xr:uid="{617DF64A-77D1-40D2-BC74-1CB71433380F}"/>
    <cellStyle name="20% - Accent1 3 8" xfId="4509" xr:uid="{00000000-0005-0000-0000-000079000000}"/>
    <cellStyle name="20% - Accent1 3 8 2" xfId="12959" xr:uid="{3B9DB8F2-88BD-469F-8178-5A2D4FD0296B}"/>
    <cellStyle name="20% - Accent1 3 9" xfId="8741" xr:uid="{F97812A1-C21B-40ED-BF09-EE11BCC83D98}"/>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F682CD86-B857-467D-8AC6-7E6EB9EEFBCB}"/>
    <cellStyle name="20% - Accent1 4 2 2 3" xfId="11302" xr:uid="{1AECCFCF-837A-49E8-A524-E3F48CDA701E}"/>
    <cellStyle name="20% - Accent1 4 2 3" xfId="4925" xr:uid="{00000000-0005-0000-0000-00007E000000}"/>
    <cellStyle name="20% - Accent1 4 2 3 2" xfId="13375" xr:uid="{DD2C2EB2-554D-4D5B-97C2-D9A7B0CDAFA9}"/>
    <cellStyle name="20% - Accent1 4 2 4" xfId="9157" xr:uid="{3C71ED3C-4754-4B35-8A0A-5830AFBD36A7}"/>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F16AEC28-50F5-4D14-AEA1-2059D71BF889}"/>
    <cellStyle name="20% - Accent1 4 3 2 3" xfId="11715" xr:uid="{93D460D7-2563-491E-B556-9546ADDC511D}"/>
    <cellStyle name="20% - Accent1 4 3 3" xfId="5338" xr:uid="{00000000-0005-0000-0000-000082000000}"/>
    <cellStyle name="20% - Accent1 4 3 3 2" xfId="13788" xr:uid="{BF33E69B-8A8E-4359-977C-0CB26E317B30}"/>
    <cellStyle name="20% - Accent1 4 3 4" xfId="9570" xr:uid="{2E1DD9E5-0F6C-4571-8218-EAFF4844DEF4}"/>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2724F346-6C9E-435D-8BDE-594228DA652C}"/>
    <cellStyle name="20% - Accent1 4 4 2 3" xfId="12128" xr:uid="{5C66BA30-CED7-4232-8A9D-6569E08BB2BE}"/>
    <cellStyle name="20% - Accent1 4 4 3" xfId="5751" xr:uid="{00000000-0005-0000-0000-000086000000}"/>
    <cellStyle name="20% - Accent1 4 4 3 2" xfId="14201" xr:uid="{58565834-C272-4C16-A5F6-F07F3897823E}"/>
    <cellStyle name="20% - Accent1 4 4 4" xfId="9983" xr:uid="{24263042-727B-4EF7-AA38-2074BA3161CB}"/>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91D9C692-988E-457D-B2A0-4BD958058262}"/>
    <cellStyle name="20% - Accent1 4 5 2 3" xfId="12541" xr:uid="{1D0551A0-70D2-4371-9857-3EBC2D54F47F}"/>
    <cellStyle name="20% - Accent1 4 5 3" xfId="6164" xr:uid="{00000000-0005-0000-0000-00008A000000}"/>
    <cellStyle name="20% - Accent1 4 5 3 2" xfId="14614" xr:uid="{38DD7588-B827-4242-8CE3-EF621238D762}"/>
    <cellStyle name="20% - Accent1 4 5 4" xfId="10396" xr:uid="{8F0FE6E4-1DEF-4880-89F2-7DEE47A46A53}"/>
    <cellStyle name="20% - Accent1 4 6" xfId="2271" xr:uid="{00000000-0005-0000-0000-00008B000000}"/>
    <cellStyle name="20% - Accent1 4 6 2" xfId="6577" xr:uid="{00000000-0005-0000-0000-00008C000000}"/>
    <cellStyle name="20% - Accent1 4 6 2 2" xfId="15027" xr:uid="{E1DE99D4-78D0-48C0-8A02-7C02C63CDC38}"/>
    <cellStyle name="20% - Accent1 4 6 3" xfId="10809" xr:uid="{DE801B5A-BA64-452C-9F07-7AD935BA8447}"/>
    <cellStyle name="20% - Accent1 4 7" xfId="4511" xr:uid="{00000000-0005-0000-0000-00008D000000}"/>
    <cellStyle name="20% - Accent1 4 7 2" xfId="12961" xr:uid="{EAE4F46B-45B4-48E0-97C8-95589B9E3A7C}"/>
    <cellStyle name="20% - Accent1 4 8" xfId="8743" xr:uid="{2337CCF8-F2E9-440F-942D-65E42E7498F4}"/>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303C9DE8-86A0-40F8-8F7E-C4CE764F4AE6}"/>
    <cellStyle name="20% - Accent1 5 2 3" xfId="11295" xr:uid="{68DB67A0-7B3C-4AB0-A549-E4175F6C73BF}"/>
    <cellStyle name="20% - Accent1 5 3" xfId="4918" xr:uid="{00000000-0005-0000-0000-000091000000}"/>
    <cellStyle name="20% - Accent1 5 3 2" xfId="13368" xr:uid="{1B8D7097-F147-4DEC-A190-8142B96CFBCC}"/>
    <cellStyle name="20% - Accent1 5 4" xfId="9150" xr:uid="{05AB2A2A-51B5-4D77-AACB-361C5ED93BC8}"/>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0A505602-87DE-4D5D-8DD8-56A0E9BD5790}"/>
    <cellStyle name="20% - Accent1 6 2 3" xfId="11708" xr:uid="{6C84DAE0-3B52-4F18-9B51-F6917772BDF1}"/>
    <cellStyle name="20% - Accent1 6 3" xfId="5331" xr:uid="{00000000-0005-0000-0000-000095000000}"/>
    <cellStyle name="20% - Accent1 6 3 2" xfId="13781" xr:uid="{30C9A351-F4A7-46DF-9C66-2007E58B5A23}"/>
    <cellStyle name="20% - Accent1 6 4" xfId="9563" xr:uid="{F67C21B2-F126-40E7-B0DE-BA06876DBC27}"/>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40BCD708-5EA4-45AA-8AFC-FC3A12C8A0B0}"/>
    <cellStyle name="20% - Accent1 7 2 3" xfId="12121" xr:uid="{C8FC7CAF-03AA-493B-B61D-461274710B91}"/>
    <cellStyle name="20% - Accent1 7 3" xfId="5744" xr:uid="{00000000-0005-0000-0000-000099000000}"/>
    <cellStyle name="20% - Accent1 7 3 2" xfId="14194" xr:uid="{84C4D504-C340-455A-BC81-B90C837FB0FA}"/>
    <cellStyle name="20% - Accent1 7 4" xfId="9976" xr:uid="{50651AFA-E281-4F17-8E9F-E2F55F88CEEB}"/>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5B9147C7-EF7D-44E7-8EB8-A7E4BB14B70C}"/>
    <cellStyle name="20% - Accent1 8 2 3" xfId="12534" xr:uid="{398F7DA7-3C54-46CD-8328-8EBDC9FCB297}"/>
    <cellStyle name="20% - Accent1 8 3" xfId="6157" xr:uid="{00000000-0005-0000-0000-00009D000000}"/>
    <cellStyle name="20% - Accent1 8 3 2" xfId="14607" xr:uid="{7BF01266-A8C9-433E-846A-7BDDB282637F}"/>
    <cellStyle name="20% - Accent1 8 4" xfId="10389" xr:uid="{B5058272-55E4-496F-A870-C0F8F6D063AF}"/>
    <cellStyle name="20% - Accent1 9" xfId="2264" xr:uid="{00000000-0005-0000-0000-00009E000000}"/>
    <cellStyle name="20% - Accent1 9 2" xfId="6570" xr:uid="{00000000-0005-0000-0000-00009F000000}"/>
    <cellStyle name="20% - Accent1 9 2 2" xfId="15020" xr:uid="{5E74F111-7CAF-4D5A-9B24-10B120D645B9}"/>
    <cellStyle name="20% - Accent1 9 3" xfId="10802" xr:uid="{8B8947DC-7FEB-41C2-99B4-49734F531BF4}"/>
    <cellStyle name="20% - Accent2" xfId="9" builtinId="34" customBuiltin="1"/>
    <cellStyle name="20% - Accent2 10" xfId="4512" xr:uid="{00000000-0005-0000-0000-0000A1000000}"/>
    <cellStyle name="20% - Accent2 10 2" xfId="12962" xr:uid="{18F03CBB-A56E-4BD6-AA9C-7C6F2B29DB99}"/>
    <cellStyle name="20% - Accent2 11" xfId="8744" xr:uid="{57C67960-26C2-4EBD-92F7-16AF89B26771}"/>
    <cellStyle name="20% - Accent2 2" xfId="10" xr:uid="{00000000-0005-0000-0000-0000A2000000}"/>
    <cellStyle name="20% - Accent2 2 10" xfId="8745" xr:uid="{583EA63F-DCFF-4CC5-B13C-9190E54C587C}"/>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F47B35F1-E264-4FED-936C-16721F2D9CA0}"/>
    <cellStyle name="20% - Accent2 2 2 2 2 2 3" xfId="11306" xr:uid="{7B0B1812-0112-4813-9A4A-38E293813DF1}"/>
    <cellStyle name="20% - Accent2 2 2 2 2 3" xfId="4929" xr:uid="{00000000-0005-0000-0000-0000A8000000}"/>
    <cellStyle name="20% - Accent2 2 2 2 2 3 2" xfId="13379" xr:uid="{78D7A8A4-4978-4A06-AEFC-099C75E916A6}"/>
    <cellStyle name="20% - Accent2 2 2 2 2 4" xfId="9161" xr:uid="{77C9A46A-F5CD-4C06-BE36-13691DE6E1CC}"/>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76CECAB0-9E21-4A73-B3D4-CFA42D18DFC0}"/>
    <cellStyle name="20% - Accent2 2 2 2 3 2 3" xfId="11719" xr:uid="{F97AAD67-4F68-45C1-AB19-BFFC62A89682}"/>
    <cellStyle name="20% - Accent2 2 2 2 3 3" xfId="5342" xr:uid="{00000000-0005-0000-0000-0000AC000000}"/>
    <cellStyle name="20% - Accent2 2 2 2 3 3 2" xfId="13792" xr:uid="{9E21B9EF-44C5-4B73-B0FB-63A4C83253C2}"/>
    <cellStyle name="20% - Accent2 2 2 2 3 4" xfId="9574" xr:uid="{59F852EF-CD0A-4195-A702-D06E82B220A2}"/>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CAB94C08-CA28-47BD-947B-B0C9C30DB0A4}"/>
    <cellStyle name="20% - Accent2 2 2 2 4 2 3" xfId="12132" xr:uid="{29BD207A-E8D1-4150-A9EF-51E563278589}"/>
    <cellStyle name="20% - Accent2 2 2 2 4 3" xfId="5755" xr:uid="{00000000-0005-0000-0000-0000B0000000}"/>
    <cellStyle name="20% - Accent2 2 2 2 4 3 2" xfId="14205" xr:uid="{7D40626C-4D89-40F0-9DB1-3129BCB8218B}"/>
    <cellStyle name="20% - Accent2 2 2 2 4 4" xfId="9987" xr:uid="{565C4C60-50D2-4BC9-8955-FC1E68C59C14}"/>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D10ADFEF-678E-4B28-B72B-DEF9F3E6E442}"/>
    <cellStyle name="20% - Accent2 2 2 2 5 2 3" xfId="12545" xr:uid="{08F73651-F161-4B29-95C2-5B58161D5051}"/>
    <cellStyle name="20% - Accent2 2 2 2 5 3" xfId="6168" xr:uid="{00000000-0005-0000-0000-0000B4000000}"/>
    <cellStyle name="20% - Accent2 2 2 2 5 3 2" xfId="14618" xr:uid="{6369F892-4429-490D-8190-7BEB8B2198E9}"/>
    <cellStyle name="20% - Accent2 2 2 2 5 4" xfId="10400" xr:uid="{23EA6DDE-4E54-493D-B6D3-0819F0F782F8}"/>
    <cellStyle name="20% - Accent2 2 2 2 6" xfId="2275" xr:uid="{00000000-0005-0000-0000-0000B5000000}"/>
    <cellStyle name="20% - Accent2 2 2 2 6 2" xfId="6581" xr:uid="{00000000-0005-0000-0000-0000B6000000}"/>
    <cellStyle name="20% - Accent2 2 2 2 6 2 2" xfId="15031" xr:uid="{0904B6AB-3A74-4B38-B0F8-D27EA45A2443}"/>
    <cellStyle name="20% - Accent2 2 2 2 6 3" xfId="10813" xr:uid="{E1595DAF-8FA6-4FD3-8AF4-A1FD3FF6CC6D}"/>
    <cellStyle name="20% - Accent2 2 2 2 7" xfId="4515" xr:uid="{00000000-0005-0000-0000-0000B7000000}"/>
    <cellStyle name="20% - Accent2 2 2 2 7 2" xfId="12965" xr:uid="{CDA0A9E2-D12E-44F8-96DC-9C74A88BD67B}"/>
    <cellStyle name="20% - Accent2 2 2 2 8" xfId="8747" xr:uid="{3E445942-34B8-4D8E-999F-A0B6A535EB3A}"/>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01CFD922-F23E-4BCF-B83F-8414EDFA09EB}"/>
    <cellStyle name="20% - Accent2 2 2 3 2 3" xfId="11305" xr:uid="{B50F2DDA-6278-437B-85BA-2133C4EC4D83}"/>
    <cellStyle name="20% - Accent2 2 2 3 3" xfId="4928" xr:uid="{00000000-0005-0000-0000-0000BB000000}"/>
    <cellStyle name="20% - Accent2 2 2 3 3 2" xfId="13378" xr:uid="{DEE9643A-9D91-4BD4-9194-139FEE2FEACE}"/>
    <cellStyle name="20% - Accent2 2 2 3 4" xfId="9160" xr:uid="{2574DD1E-759E-44BE-8ECA-1F48E763BE7D}"/>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8E28365F-1138-4449-A461-3AD0FCD29EA8}"/>
    <cellStyle name="20% - Accent2 2 2 4 2 3" xfId="11718" xr:uid="{1BA93192-D017-4814-A635-CFBC6C03CEE5}"/>
    <cellStyle name="20% - Accent2 2 2 4 3" xfId="5341" xr:uid="{00000000-0005-0000-0000-0000BF000000}"/>
    <cellStyle name="20% - Accent2 2 2 4 3 2" xfId="13791" xr:uid="{F30A9FFD-52A9-46FC-AB0A-E124BE8055FE}"/>
    <cellStyle name="20% - Accent2 2 2 4 4" xfId="9573" xr:uid="{322B3B5E-B972-4E76-811D-E785A85072E3}"/>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B9460569-3C8A-4AB2-A459-5A3EF3C08B20}"/>
    <cellStyle name="20% - Accent2 2 2 5 2 3" xfId="12131" xr:uid="{EA76BBDC-7BA2-4288-9A61-C0A3A08AA196}"/>
    <cellStyle name="20% - Accent2 2 2 5 3" xfId="5754" xr:uid="{00000000-0005-0000-0000-0000C3000000}"/>
    <cellStyle name="20% - Accent2 2 2 5 3 2" xfId="14204" xr:uid="{F43C79FD-5636-44DF-B8C2-12A76DF28258}"/>
    <cellStyle name="20% - Accent2 2 2 5 4" xfId="9986" xr:uid="{1C4DF166-3ADE-46D9-8DC1-818D2A3B5F36}"/>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08BA8FC1-E425-4B67-BABD-CBEA99B3ADBD}"/>
    <cellStyle name="20% - Accent2 2 2 6 2 3" xfId="12544" xr:uid="{93610A60-B60B-4C0F-80FD-D11975EF0721}"/>
    <cellStyle name="20% - Accent2 2 2 6 3" xfId="6167" xr:uid="{00000000-0005-0000-0000-0000C7000000}"/>
    <cellStyle name="20% - Accent2 2 2 6 3 2" xfId="14617" xr:uid="{58D3CD56-BC3E-42AA-A585-963CE2585C83}"/>
    <cellStyle name="20% - Accent2 2 2 6 4" xfId="10399" xr:uid="{2B1ABD83-6C55-454A-BBA7-432427179764}"/>
    <cellStyle name="20% - Accent2 2 2 7" xfId="2274" xr:uid="{00000000-0005-0000-0000-0000C8000000}"/>
    <cellStyle name="20% - Accent2 2 2 7 2" xfId="6580" xr:uid="{00000000-0005-0000-0000-0000C9000000}"/>
    <cellStyle name="20% - Accent2 2 2 7 2 2" xfId="15030" xr:uid="{3B70742A-6753-48CA-9BFF-691C3AF3FE94}"/>
    <cellStyle name="20% - Accent2 2 2 7 3" xfId="10812" xr:uid="{73BE7BC3-3C63-4280-9038-F5C5784CACC0}"/>
    <cellStyle name="20% - Accent2 2 2 8" xfId="4514" xr:uid="{00000000-0005-0000-0000-0000CA000000}"/>
    <cellStyle name="20% - Accent2 2 2 8 2" xfId="12964" xr:uid="{547BA79A-36C9-498A-AA7B-E31715D4EA9A}"/>
    <cellStyle name="20% - Accent2 2 2 9" xfId="8746" xr:uid="{B95FF62E-2F13-4A86-8AA4-132DC804B01B}"/>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FD22E9C2-E200-45C2-9030-9873BAF9ACFE}"/>
    <cellStyle name="20% - Accent2 2 3 2 2 3" xfId="11307" xr:uid="{602D94AF-DFDD-442D-889D-6104336C45D2}"/>
    <cellStyle name="20% - Accent2 2 3 2 3" xfId="4930" xr:uid="{00000000-0005-0000-0000-0000CF000000}"/>
    <cellStyle name="20% - Accent2 2 3 2 3 2" xfId="13380" xr:uid="{D9392949-E96C-470F-9005-C553391736DE}"/>
    <cellStyle name="20% - Accent2 2 3 2 4" xfId="9162" xr:uid="{A1257CE5-4A75-4CE9-B2EA-A2EA4899FAB1}"/>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646CFA2C-0160-4848-B555-716681CA00D2}"/>
    <cellStyle name="20% - Accent2 2 3 3 2 3" xfId="11720" xr:uid="{58BCCD36-276D-4D26-A651-767CB5EF3DA4}"/>
    <cellStyle name="20% - Accent2 2 3 3 3" xfId="5343" xr:uid="{00000000-0005-0000-0000-0000D3000000}"/>
    <cellStyle name="20% - Accent2 2 3 3 3 2" xfId="13793" xr:uid="{27E737C4-5AC1-43BC-8FB9-0C3F914125DC}"/>
    <cellStyle name="20% - Accent2 2 3 3 4" xfId="9575" xr:uid="{9FB8D3D9-1788-4530-A875-AD384E1CC957}"/>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C0D529C8-9322-4037-9DA7-B3D5FB589DEE}"/>
    <cellStyle name="20% - Accent2 2 3 4 2 3" xfId="12133" xr:uid="{03E2162B-5947-4087-A357-B75C5A9C46A1}"/>
    <cellStyle name="20% - Accent2 2 3 4 3" xfId="5756" xr:uid="{00000000-0005-0000-0000-0000D7000000}"/>
    <cellStyle name="20% - Accent2 2 3 4 3 2" xfId="14206" xr:uid="{8B4D2F66-9251-45C6-9685-9E003B4A5DD3}"/>
    <cellStyle name="20% - Accent2 2 3 4 4" xfId="9988" xr:uid="{53EC255E-2434-42B3-936C-24ED248525B5}"/>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2E562C5E-288A-4A97-96F8-738B76257715}"/>
    <cellStyle name="20% - Accent2 2 3 5 2 3" xfId="12546" xr:uid="{BF5F350F-BD8D-43B6-B85E-2BEACC11D6B5}"/>
    <cellStyle name="20% - Accent2 2 3 5 3" xfId="6169" xr:uid="{00000000-0005-0000-0000-0000DB000000}"/>
    <cellStyle name="20% - Accent2 2 3 5 3 2" xfId="14619" xr:uid="{34F76F9D-5198-4B80-9AE2-F99A508A33EA}"/>
    <cellStyle name="20% - Accent2 2 3 5 4" xfId="10401" xr:uid="{F918E748-E23C-4D48-952F-746099710A1C}"/>
    <cellStyle name="20% - Accent2 2 3 6" xfId="2276" xr:uid="{00000000-0005-0000-0000-0000DC000000}"/>
    <cellStyle name="20% - Accent2 2 3 6 2" xfId="6582" xr:uid="{00000000-0005-0000-0000-0000DD000000}"/>
    <cellStyle name="20% - Accent2 2 3 6 2 2" xfId="15032" xr:uid="{B61492CE-B809-4BF6-A2B1-6B7A2CC5E5D2}"/>
    <cellStyle name="20% - Accent2 2 3 6 3" xfId="10814" xr:uid="{2BBB8BE4-9D58-4ACB-9160-020D757B5AD1}"/>
    <cellStyle name="20% - Accent2 2 3 7" xfId="4516" xr:uid="{00000000-0005-0000-0000-0000DE000000}"/>
    <cellStyle name="20% - Accent2 2 3 7 2" xfId="12966" xr:uid="{B7A1EAD5-B0DF-4B7D-A289-5C497632022F}"/>
    <cellStyle name="20% - Accent2 2 3 8" xfId="8748" xr:uid="{FE5A7DD3-85E0-42E5-9842-EECC6F752E42}"/>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C8F12234-6935-4811-8DA7-7A8A48970D2B}"/>
    <cellStyle name="20% - Accent2 2 4 2 3" xfId="11304" xr:uid="{B458EEC3-678F-44C7-8E14-4DB58F295C1A}"/>
    <cellStyle name="20% - Accent2 2 4 3" xfId="4927" xr:uid="{00000000-0005-0000-0000-0000E2000000}"/>
    <cellStyle name="20% - Accent2 2 4 3 2" xfId="13377" xr:uid="{4ED3B17F-3073-468D-883F-28D73F74ED63}"/>
    <cellStyle name="20% - Accent2 2 4 4" xfId="9159" xr:uid="{40D05C7C-FC45-42E5-B66B-A28AFB0E22CE}"/>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7B074CED-39F1-41B7-84EE-46E7895B1DC2}"/>
    <cellStyle name="20% - Accent2 2 5 2 3" xfId="11717" xr:uid="{231A1EF4-6A70-4DB5-A40A-9D56EBB994D3}"/>
    <cellStyle name="20% - Accent2 2 5 3" xfId="5340" xr:uid="{00000000-0005-0000-0000-0000E6000000}"/>
    <cellStyle name="20% - Accent2 2 5 3 2" xfId="13790" xr:uid="{22DD8E5A-C6DD-469B-BE8E-5BF62BADAE40}"/>
    <cellStyle name="20% - Accent2 2 5 4" xfId="9572" xr:uid="{ACB82517-DF9E-4C84-92EF-41ADCA5904F1}"/>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EA05553E-7D45-4E23-866C-1484256171C8}"/>
    <cellStyle name="20% - Accent2 2 6 2 3" xfId="12130" xr:uid="{0A16C89F-0B18-49B3-BA24-D0D8DCF3B0EB}"/>
    <cellStyle name="20% - Accent2 2 6 3" xfId="5753" xr:uid="{00000000-0005-0000-0000-0000EA000000}"/>
    <cellStyle name="20% - Accent2 2 6 3 2" xfId="14203" xr:uid="{CB37D9CC-1920-426C-A7B4-3BFED403D011}"/>
    <cellStyle name="20% - Accent2 2 6 4" xfId="9985" xr:uid="{F0FC9BF9-BE00-47AB-A82C-4E30E4D316E3}"/>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5D507F22-8C87-454F-9928-42C0CB743066}"/>
    <cellStyle name="20% - Accent2 2 7 2 3" xfId="12543" xr:uid="{AFF118A0-F472-41C6-AF8E-3093B12AAE3C}"/>
    <cellStyle name="20% - Accent2 2 7 3" xfId="6166" xr:uid="{00000000-0005-0000-0000-0000EE000000}"/>
    <cellStyle name="20% - Accent2 2 7 3 2" xfId="14616" xr:uid="{951718DA-3CBF-4D0F-B28F-0D31339180A9}"/>
    <cellStyle name="20% - Accent2 2 7 4" xfId="10398" xr:uid="{6003CDBA-42E6-4A75-BE5A-2313AD0FE3E6}"/>
    <cellStyle name="20% - Accent2 2 8" xfId="2273" xr:uid="{00000000-0005-0000-0000-0000EF000000}"/>
    <cellStyle name="20% - Accent2 2 8 2" xfId="6579" xr:uid="{00000000-0005-0000-0000-0000F0000000}"/>
    <cellStyle name="20% - Accent2 2 8 2 2" xfId="15029" xr:uid="{D2BD4F98-D587-49EC-9138-B0B16C879987}"/>
    <cellStyle name="20% - Accent2 2 8 3" xfId="10811" xr:uid="{67F95D58-1D20-40BC-B9F9-12439E9336AE}"/>
    <cellStyle name="20% - Accent2 2 9" xfId="4513" xr:uid="{00000000-0005-0000-0000-0000F1000000}"/>
    <cellStyle name="20% - Accent2 2 9 2" xfId="12963" xr:uid="{1533D799-9D0E-4E44-AD3C-DA26499B8E11}"/>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4A5D7D52-F115-4BE9-B12B-3EFECE454E08}"/>
    <cellStyle name="20% - Accent2 3 2 2 2 3" xfId="11309" xr:uid="{26532899-DB13-4014-BDF0-2DF15DCA9FA4}"/>
    <cellStyle name="20% - Accent2 3 2 2 3" xfId="4932" xr:uid="{00000000-0005-0000-0000-0000F7000000}"/>
    <cellStyle name="20% - Accent2 3 2 2 3 2" xfId="13382" xr:uid="{0560B5F7-EAD4-4649-9922-57B536167228}"/>
    <cellStyle name="20% - Accent2 3 2 2 4" xfId="9164" xr:uid="{408FD935-4EE0-450C-81D4-59E518220C9F}"/>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41669405-5500-4853-A9C8-EF47EDE147E0}"/>
    <cellStyle name="20% - Accent2 3 2 3 2 3" xfId="11722" xr:uid="{0CBADC1F-2FD2-4571-9E4C-167626270F55}"/>
    <cellStyle name="20% - Accent2 3 2 3 3" xfId="5345" xr:uid="{00000000-0005-0000-0000-0000FB000000}"/>
    <cellStyle name="20% - Accent2 3 2 3 3 2" xfId="13795" xr:uid="{C678C86B-B6E0-41BE-BFFB-9339E7C65AE4}"/>
    <cellStyle name="20% - Accent2 3 2 3 4" xfId="9577" xr:uid="{55CEA92B-754E-4D23-9265-7EB4E3186643}"/>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A39C84F7-08FB-4C12-846A-52A031783E13}"/>
    <cellStyle name="20% - Accent2 3 2 4 2 3" xfId="12135" xr:uid="{349A576E-D7D3-4526-95B2-AA912B42F55F}"/>
    <cellStyle name="20% - Accent2 3 2 4 3" xfId="5758" xr:uid="{00000000-0005-0000-0000-0000FF000000}"/>
    <cellStyle name="20% - Accent2 3 2 4 3 2" xfId="14208" xr:uid="{618951CD-27C2-4A50-BFE6-007BFFA37F53}"/>
    <cellStyle name="20% - Accent2 3 2 4 4" xfId="9990" xr:uid="{07B622CC-9AC7-4951-B598-7B8B875E866F}"/>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FA8501C7-7C6A-4BA8-A097-4B65D2D05DB7}"/>
    <cellStyle name="20% - Accent2 3 2 5 2 3" xfId="12548" xr:uid="{06E46661-56F7-41C8-8B61-0E8B2B28CC72}"/>
    <cellStyle name="20% - Accent2 3 2 5 3" xfId="6171" xr:uid="{00000000-0005-0000-0000-000003010000}"/>
    <cellStyle name="20% - Accent2 3 2 5 3 2" xfId="14621" xr:uid="{95D84BA4-CEB8-4FD8-B71C-9C57EADE6537}"/>
    <cellStyle name="20% - Accent2 3 2 5 4" xfId="10403" xr:uid="{07356B7E-D2CD-450E-9FA7-B140634FCA17}"/>
    <cellStyle name="20% - Accent2 3 2 6" xfId="2278" xr:uid="{00000000-0005-0000-0000-000004010000}"/>
    <cellStyle name="20% - Accent2 3 2 6 2" xfId="6584" xr:uid="{00000000-0005-0000-0000-000005010000}"/>
    <cellStyle name="20% - Accent2 3 2 6 2 2" xfId="15034" xr:uid="{BB3EB09A-C991-4864-B450-475010ED7562}"/>
    <cellStyle name="20% - Accent2 3 2 6 3" xfId="10816" xr:uid="{C8878E48-19EB-488B-B9C7-A775A58B7C96}"/>
    <cellStyle name="20% - Accent2 3 2 7" xfId="4518" xr:uid="{00000000-0005-0000-0000-000006010000}"/>
    <cellStyle name="20% - Accent2 3 2 7 2" xfId="12968" xr:uid="{B9A4BC04-76F3-4DBF-9432-673DE3F3C4EA}"/>
    <cellStyle name="20% - Accent2 3 2 8" xfId="8750" xr:uid="{5157387D-89C4-4DED-B64E-24B640E9AF55}"/>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F16B8FFF-0C16-443D-A9DF-C1A90319C739}"/>
    <cellStyle name="20% - Accent2 3 3 2 3" xfId="11308" xr:uid="{23DDFE2F-BF6F-46A4-A462-55B907C738EB}"/>
    <cellStyle name="20% - Accent2 3 3 3" xfId="4931" xr:uid="{00000000-0005-0000-0000-00000A010000}"/>
    <cellStyle name="20% - Accent2 3 3 3 2" xfId="13381" xr:uid="{E61C0A9F-4517-4E84-91C9-019DD1C311EC}"/>
    <cellStyle name="20% - Accent2 3 3 4" xfId="9163" xr:uid="{66ED7050-C80A-4EB1-8F4F-093A31612D06}"/>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573FA8C5-EC68-4731-8742-C359B42B6605}"/>
    <cellStyle name="20% - Accent2 3 4 2 3" xfId="11721" xr:uid="{1576D901-A2ED-497D-BDD1-72AAAA728955}"/>
    <cellStyle name="20% - Accent2 3 4 3" xfId="5344" xr:uid="{00000000-0005-0000-0000-00000E010000}"/>
    <cellStyle name="20% - Accent2 3 4 3 2" xfId="13794" xr:uid="{1CFB3F44-FDFA-41B3-BF24-3ECF973C1407}"/>
    <cellStyle name="20% - Accent2 3 4 4" xfId="9576" xr:uid="{A03A5741-D566-46A8-B93D-4755B03DDF8F}"/>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BF2F4D69-660B-4880-B677-608341762CCA}"/>
    <cellStyle name="20% - Accent2 3 5 2 3" xfId="12134" xr:uid="{F4E56EBA-2A63-4699-A2F1-7DAEA92617ED}"/>
    <cellStyle name="20% - Accent2 3 5 3" xfId="5757" xr:uid="{00000000-0005-0000-0000-000012010000}"/>
    <cellStyle name="20% - Accent2 3 5 3 2" xfId="14207" xr:uid="{0192C585-34BE-42D9-85EA-1DBBC8879934}"/>
    <cellStyle name="20% - Accent2 3 5 4" xfId="9989" xr:uid="{F18450A6-60D1-4CF0-A3BA-718875FF544B}"/>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394A3769-ADB3-47D6-A169-F326E7F64113}"/>
    <cellStyle name="20% - Accent2 3 6 2 3" xfId="12547" xr:uid="{49EF462A-FBAB-4548-9519-19026DAC072F}"/>
    <cellStyle name="20% - Accent2 3 6 3" xfId="6170" xr:uid="{00000000-0005-0000-0000-000016010000}"/>
    <cellStyle name="20% - Accent2 3 6 3 2" xfId="14620" xr:uid="{388EE024-674A-4307-BA0C-CDBF4FCD5059}"/>
    <cellStyle name="20% - Accent2 3 6 4" xfId="10402" xr:uid="{94994F33-46E2-4F3E-B360-49BA8E5FB5EF}"/>
    <cellStyle name="20% - Accent2 3 7" xfId="2277" xr:uid="{00000000-0005-0000-0000-000017010000}"/>
    <cellStyle name="20% - Accent2 3 7 2" xfId="6583" xr:uid="{00000000-0005-0000-0000-000018010000}"/>
    <cellStyle name="20% - Accent2 3 7 2 2" xfId="15033" xr:uid="{4ACE06CC-4229-45DA-AAA3-086B4D3950ED}"/>
    <cellStyle name="20% - Accent2 3 7 3" xfId="10815" xr:uid="{673B8231-E10C-425B-952F-AFD39992C160}"/>
    <cellStyle name="20% - Accent2 3 8" xfId="4517" xr:uid="{00000000-0005-0000-0000-000019010000}"/>
    <cellStyle name="20% - Accent2 3 8 2" xfId="12967" xr:uid="{6CA43B6C-D256-4948-9D7B-5DE45F7ADE4D}"/>
    <cellStyle name="20% - Accent2 3 9" xfId="8749" xr:uid="{4AF5987A-FDEF-4DF7-AB4E-8AC5303F0EA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D61681A6-93EC-45AA-BDFD-344EBD8EFAE3}"/>
    <cellStyle name="20% - Accent2 4 2 2 3" xfId="11310" xr:uid="{396C41E8-4C7D-4D8F-86B0-4E5E4670F4DB}"/>
    <cellStyle name="20% - Accent2 4 2 3" xfId="4933" xr:uid="{00000000-0005-0000-0000-00001E010000}"/>
    <cellStyle name="20% - Accent2 4 2 3 2" xfId="13383" xr:uid="{11A9E002-9D65-4901-BE5D-D832BC2112E9}"/>
    <cellStyle name="20% - Accent2 4 2 4" xfId="9165" xr:uid="{7136F37F-F97E-4B09-8CF1-8A859F731DFA}"/>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A9FD6D05-D686-44CF-91D2-B575072AC6BE}"/>
    <cellStyle name="20% - Accent2 4 3 2 3" xfId="11723" xr:uid="{6A6970ED-B832-465F-B890-D44E52094DCC}"/>
    <cellStyle name="20% - Accent2 4 3 3" xfId="5346" xr:uid="{00000000-0005-0000-0000-000022010000}"/>
    <cellStyle name="20% - Accent2 4 3 3 2" xfId="13796" xr:uid="{329A83A3-8956-423F-A429-83590879E50A}"/>
    <cellStyle name="20% - Accent2 4 3 4" xfId="9578" xr:uid="{681EABFE-8F6A-4545-848A-2964E9F109BB}"/>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95373B06-9401-4125-A5E6-3AEABE192A50}"/>
    <cellStyle name="20% - Accent2 4 4 2 3" xfId="12136" xr:uid="{D4113901-5630-4D13-86A2-B4BB30256601}"/>
    <cellStyle name="20% - Accent2 4 4 3" xfId="5759" xr:uid="{00000000-0005-0000-0000-000026010000}"/>
    <cellStyle name="20% - Accent2 4 4 3 2" xfId="14209" xr:uid="{DE67E17F-2611-4865-A2BE-30C32756C9E0}"/>
    <cellStyle name="20% - Accent2 4 4 4" xfId="9991" xr:uid="{4AB19A99-CCA8-4F1E-9AD2-1AA67C538F2F}"/>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9919FE3C-DCF7-4230-A699-E8EE945A00A4}"/>
    <cellStyle name="20% - Accent2 4 5 2 3" xfId="12549" xr:uid="{8B99CC62-4086-4600-A293-773F8A0B274E}"/>
    <cellStyle name="20% - Accent2 4 5 3" xfId="6172" xr:uid="{00000000-0005-0000-0000-00002A010000}"/>
    <cellStyle name="20% - Accent2 4 5 3 2" xfId="14622" xr:uid="{B82576D6-2571-4B70-BDDA-1A5A82C10A27}"/>
    <cellStyle name="20% - Accent2 4 5 4" xfId="10404" xr:uid="{F8E2D874-9B6C-4837-8D08-A228211E7F1C}"/>
    <cellStyle name="20% - Accent2 4 6" xfId="2279" xr:uid="{00000000-0005-0000-0000-00002B010000}"/>
    <cellStyle name="20% - Accent2 4 6 2" xfId="6585" xr:uid="{00000000-0005-0000-0000-00002C010000}"/>
    <cellStyle name="20% - Accent2 4 6 2 2" xfId="15035" xr:uid="{9D435299-21F1-41F1-B0C6-5D8F6D73DC6F}"/>
    <cellStyle name="20% - Accent2 4 6 3" xfId="10817" xr:uid="{23F82EB4-46ED-4CC6-8AF3-0D9188F52587}"/>
    <cellStyle name="20% - Accent2 4 7" xfId="4519" xr:uid="{00000000-0005-0000-0000-00002D010000}"/>
    <cellStyle name="20% - Accent2 4 7 2" xfId="12969" xr:uid="{627C666F-AA4C-406B-9AEB-D999C9E5F306}"/>
    <cellStyle name="20% - Accent2 4 8" xfId="8751" xr:uid="{095CAC3F-0F68-4550-AC43-92AF6EB715D3}"/>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04A1B514-FC1B-46E8-8E75-CF8C433E0424}"/>
    <cellStyle name="20% - Accent2 5 2 3" xfId="11303" xr:uid="{80BEC3CE-0ED6-4D2E-BFC9-8448030270F0}"/>
    <cellStyle name="20% - Accent2 5 3" xfId="4926" xr:uid="{00000000-0005-0000-0000-000031010000}"/>
    <cellStyle name="20% - Accent2 5 3 2" xfId="13376" xr:uid="{24CCB17C-4287-44C6-B453-4BD8D465BFB0}"/>
    <cellStyle name="20% - Accent2 5 4" xfId="9158" xr:uid="{B87442D1-4859-40A9-8D71-4D4875FECD76}"/>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438DFF1C-2F1D-45D6-A8C0-7BC25F030C7A}"/>
    <cellStyle name="20% - Accent2 6 2 3" xfId="11716" xr:uid="{0ECEFCA4-DA62-4736-BBB8-6D30B2296326}"/>
    <cellStyle name="20% - Accent2 6 3" xfId="5339" xr:uid="{00000000-0005-0000-0000-000035010000}"/>
    <cellStyle name="20% - Accent2 6 3 2" xfId="13789" xr:uid="{C59B032E-E8EA-42A3-BA1F-D7727529B90A}"/>
    <cellStyle name="20% - Accent2 6 4" xfId="9571" xr:uid="{A72B3C0D-DA9C-4C71-A1FE-2CCF2E0EC9D8}"/>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42971E1A-F305-44C9-930E-2E3951693350}"/>
    <cellStyle name="20% - Accent2 7 2 3" xfId="12129" xr:uid="{3DB09A16-00C1-4BBE-95D1-50EF40474288}"/>
    <cellStyle name="20% - Accent2 7 3" xfId="5752" xr:uid="{00000000-0005-0000-0000-000039010000}"/>
    <cellStyle name="20% - Accent2 7 3 2" xfId="14202" xr:uid="{0444689E-5330-4333-84C1-8BE69D3DE3CE}"/>
    <cellStyle name="20% - Accent2 7 4" xfId="9984" xr:uid="{2BF6F1A8-4FF8-4813-B919-FF669115E23E}"/>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D3FBF080-E8D5-481B-B62A-9E2518462A6D}"/>
    <cellStyle name="20% - Accent2 8 2 3" xfId="12542" xr:uid="{70BF1408-89B8-45F4-ABD8-5BCE58F450FF}"/>
    <cellStyle name="20% - Accent2 8 3" xfId="6165" xr:uid="{00000000-0005-0000-0000-00003D010000}"/>
    <cellStyle name="20% - Accent2 8 3 2" xfId="14615" xr:uid="{99809023-F04A-429F-911D-ADCB5080210F}"/>
    <cellStyle name="20% - Accent2 8 4" xfId="10397" xr:uid="{15C89A5D-19C7-4771-88F2-8FA58B288157}"/>
    <cellStyle name="20% - Accent2 9" xfId="2272" xr:uid="{00000000-0005-0000-0000-00003E010000}"/>
    <cellStyle name="20% - Accent2 9 2" xfId="6578" xr:uid="{00000000-0005-0000-0000-00003F010000}"/>
    <cellStyle name="20% - Accent2 9 2 2" xfId="15028" xr:uid="{CC90E72F-0793-4056-96AA-49D6B90147D6}"/>
    <cellStyle name="20% - Accent2 9 3" xfId="10810" xr:uid="{86ADB4FA-940A-483C-9F38-7493BE109234}"/>
    <cellStyle name="20% - Accent3" xfId="17" builtinId="38" customBuiltin="1"/>
    <cellStyle name="20% - Accent3 10" xfId="4520" xr:uid="{00000000-0005-0000-0000-000041010000}"/>
    <cellStyle name="20% - Accent3 10 2" xfId="12970" xr:uid="{700CC5E7-58BF-4B18-A9AF-6C32CB2F1F6B}"/>
    <cellStyle name="20% - Accent3 11" xfId="8752" xr:uid="{4848B13F-F55F-4971-8647-498B600DDFB8}"/>
    <cellStyle name="20% - Accent3 2" xfId="18" xr:uid="{00000000-0005-0000-0000-000042010000}"/>
    <cellStyle name="20% - Accent3 2 10" xfId="8753" xr:uid="{52BB4294-9B36-4F98-87B1-F441986ABF14}"/>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88FC7B89-5B33-4C17-8CB4-FB2A38730708}"/>
    <cellStyle name="20% - Accent3 2 2 2 2 2 3" xfId="11314" xr:uid="{16DF00F9-49E1-4EB6-9708-6900235ADACD}"/>
    <cellStyle name="20% - Accent3 2 2 2 2 3" xfId="4937" xr:uid="{00000000-0005-0000-0000-000048010000}"/>
    <cellStyle name="20% - Accent3 2 2 2 2 3 2" xfId="13387" xr:uid="{7D029883-ACD5-4866-BA62-340CAA70BA42}"/>
    <cellStyle name="20% - Accent3 2 2 2 2 4" xfId="9169" xr:uid="{A9227E30-4510-46BB-98B2-DE0D2203EE49}"/>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AC7301F3-F854-4299-9937-4EBDE7792480}"/>
    <cellStyle name="20% - Accent3 2 2 2 3 2 3" xfId="11727" xr:uid="{4ACC1356-2997-4A74-AD03-A22BD01A00AC}"/>
    <cellStyle name="20% - Accent3 2 2 2 3 3" xfId="5350" xr:uid="{00000000-0005-0000-0000-00004C010000}"/>
    <cellStyle name="20% - Accent3 2 2 2 3 3 2" xfId="13800" xr:uid="{00093068-B00E-4639-AF0E-3A832BC33D36}"/>
    <cellStyle name="20% - Accent3 2 2 2 3 4" xfId="9582" xr:uid="{93C235C2-8719-48E8-8F31-CD05BFE76D04}"/>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85279FB2-BC50-492D-88B2-F5786D2A78A1}"/>
    <cellStyle name="20% - Accent3 2 2 2 4 2 3" xfId="12140" xr:uid="{D5D87479-5D1C-404B-BAEB-31B111C57108}"/>
    <cellStyle name="20% - Accent3 2 2 2 4 3" xfId="5763" xr:uid="{00000000-0005-0000-0000-000050010000}"/>
    <cellStyle name="20% - Accent3 2 2 2 4 3 2" xfId="14213" xr:uid="{7267627A-67A8-48A5-A5D4-CFA52F54641B}"/>
    <cellStyle name="20% - Accent3 2 2 2 4 4" xfId="9995" xr:uid="{0D3C9D2B-7855-4F0A-9756-9A8B84BC768A}"/>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6D7CBA24-71D4-43EB-A59D-50BB7E34A94A}"/>
    <cellStyle name="20% - Accent3 2 2 2 5 2 3" xfId="12553" xr:uid="{18C61D04-81B6-4271-9273-8969686910C3}"/>
    <cellStyle name="20% - Accent3 2 2 2 5 3" xfId="6176" xr:uid="{00000000-0005-0000-0000-000054010000}"/>
    <cellStyle name="20% - Accent3 2 2 2 5 3 2" xfId="14626" xr:uid="{12AA6039-A397-465C-A981-C162689085D8}"/>
    <cellStyle name="20% - Accent3 2 2 2 5 4" xfId="10408" xr:uid="{0AE42B2D-AA80-4371-9A98-88F99CF42708}"/>
    <cellStyle name="20% - Accent3 2 2 2 6" xfId="2283" xr:uid="{00000000-0005-0000-0000-000055010000}"/>
    <cellStyle name="20% - Accent3 2 2 2 6 2" xfId="6589" xr:uid="{00000000-0005-0000-0000-000056010000}"/>
    <cellStyle name="20% - Accent3 2 2 2 6 2 2" xfId="15039" xr:uid="{69085E69-5D49-4D89-91DA-5B0EB655CC82}"/>
    <cellStyle name="20% - Accent3 2 2 2 6 3" xfId="10821" xr:uid="{551060BB-35E0-43E2-A172-4E0C6B787B22}"/>
    <cellStyle name="20% - Accent3 2 2 2 7" xfId="4523" xr:uid="{00000000-0005-0000-0000-000057010000}"/>
    <cellStyle name="20% - Accent3 2 2 2 7 2" xfId="12973" xr:uid="{E7111D1B-6AE0-43DB-BB3D-D2E8D488FEF3}"/>
    <cellStyle name="20% - Accent3 2 2 2 8" xfId="8755" xr:uid="{E019BAB8-6C18-4994-A50E-A1A2101A87F5}"/>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2D427E0B-179E-4A26-B3F8-158ACD067713}"/>
    <cellStyle name="20% - Accent3 2 2 3 2 3" xfId="11313" xr:uid="{AFF28784-6A08-476C-B119-928945680AFC}"/>
    <cellStyle name="20% - Accent3 2 2 3 3" xfId="4936" xr:uid="{00000000-0005-0000-0000-00005B010000}"/>
    <cellStyle name="20% - Accent3 2 2 3 3 2" xfId="13386" xr:uid="{37045846-B621-4C02-B21B-8A191E3572BA}"/>
    <cellStyle name="20% - Accent3 2 2 3 4" xfId="9168" xr:uid="{9289B47F-A507-4BD3-90B0-65AB74A019E9}"/>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FB38D047-82EB-4659-A85B-0A7C8A35F388}"/>
    <cellStyle name="20% - Accent3 2 2 4 2 3" xfId="11726" xr:uid="{2565C5AB-10DA-4498-BEBA-FD66CBAB7624}"/>
    <cellStyle name="20% - Accent3 2 2 4 3" xfId="5349" xr:uid="{00000000-0005-0000-0000-00005F010000}"/>
    <cellStyle name="20% - Accent3 2 2 4 3 2" xfId="13799" xr:uid="{65200E44-339F-4D19-85FA-3C373E4236BC}"/>
    <cellStyle name="20% - Accent3 2 2 4 4" xfId="9581" xr:uid="{514EA3C7-929F-4A80-9979-6FA81C8473B3}"/>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58191963-AF23-4FA9-9950-6B7DF976630C}"/>
    <cellStyle name="20% - Accent3 2 2 5 2 3" xfId="12139" xr:uid="{1961DCB3-1647-4A82-A48D-159F38C876BE}"/>
    <cellStyle name="20% - Accent3 2 2 5 3" xfId="5762" xr:uid="{00000000-0005-0000-0000-000063010000}"/>
    <cellStyle name="20% - Accent3 2 2 5 3 2" xfId="14212" xr:uid="{2D656C8B-BEA8-4A1D-A97A-8FC706358158}"/>
    <cellStyle name="20% - Accent3 2 2 5 4" xfId="9994" xr:uid="{DC7241AF-7F6A-4905-8C9D-95E29B7A0BD6}"/>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6CE58780-DF31-4D46-A953-5430A166EC43}"/>
    <cellStyle name="20% - Accent3 2 2 6 2 3" xfId="12552" xr:uid="{14F9B1F6-5314-4538-B169-C7A4E37524C9}"/>
    <cellStyle name="20% - Accent3 2 2 6 3" xfId="6175" xr:uid="{00000000-0005-0000-0000-000067010000}"/>
    <cellStyle name="20% - Accent3 2 2 6 3 2" xfId="14625" xr:uid="{409323B7-F606-484A-9ED6-D99633DEFF8C}"/>
    <cellStyle name="20% - Accent3 2 2 6 4" xfId="10407" xr:uid="{A4FE9E5C-4EF1-4FFB-8CC8-CD8B0A0FC4DF}"/>
    <cellStyle name="20% - Accent3 2 2 7" xfId="2282" xr:uid="{00000000-0005-0000-0000-000068010000}"/>
    <cellStyle name="20% - Accent3 2 2 7 2" xfId="6588" xr:uid="{00000000-0005-0000-0000-000069010000}"/>
    <cellStyle name="20% - Accent3 2 2 7 2 2" xfId="15038" xr:uid="{52E43DC2-A4D1-40C0-BCD5-7FA8EC8319F6}"/>
    <cellStyle name="20% - Accent3 2 2 7 3" xfId="10820" xr:uid="{8D50F934-ACE3-452A-8558-26AADF993542}"/>
    <cellStyle name="20% - Accent3 2 2 8" xfId="4522" xr:uid="{00000000-0005-0000-0000-00006A010000}"/>
    <cellStyle name="20% - Accent3 2 2 8 2" xfId="12972" xr:uid="{871E5281-3743-45A0-86C2-11ADC019AFD2}"/>
    <cellStyle name="20% - Accent3 2 2 9" xfId="8754" xr:uid="{915DE950-B6F4-4C95-8C51-4991DA767E8B}"/>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0E7D24BD-F232-44EB-84EE-BB6E853455D5}"/>
    <cellStyle name="20% - Accent3 2 3 2 2 3" xfId="11315" xr:uid="{C948F21C-CF71-4239-B186-008EF085E234}"/>
    <cellStyle name="20% - Accent3 2 3 2 3" xfId="4938" xr:uid="{00000000-0005-0000-0000-00006F010000}"/>
    <cellStyle name="20% - Accent3 2 3 2 3 2" xfId="13388" xr:uid="{0AD75D5C-6A4F-4F9F-BC66-247D4B6C93A5}"/>
    <cellStyle name="20% - Accent3 2 3 2 4" xfId="9170" xr:uid="{40F09886-087B-49AE-9E7E-735ED461A4E3}"/>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652A3894-E2E8-45C5-82BA-E687017D58EA}"/>
    <cellStyle name="20% - Accent3 2 3 3 2 3" xfId="11728" xr:uid="{AFCA446B-A11C-4858-BDC4-832D936157BB}"/>
    <cellStyle name="20% - Accent3 2 3 3 3" xfId="5351" xr:uid="{00000000-0005-0000-0000-000073010000}"/>
    <cellStyle name="20% - Accent3 2 3 3 3 2" xfId="13801" xr:uid="{4332C03F-5F73-49F7-8270-E5850DC7FE0D}"/>
    <cellStyle name="20% - Accent3 2 3 3 4" xfId="9583" xr:uid="{ECCB05E8-CC29-4D68-9001-766EBF731D9E}"/>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6ADA1534-A51B-4787-95A5-7A14E43232AA}"/>
    <cellStyle name="20% - Accent3 2 3 4 2 3" xfId="12141" xr:uid="{6AFE1335-5003-4A1C-AB08-1E6D576B3D0D}"/>
    <cellStyle name="20% - Accent3 2 3 4 3" xfId="5764" xr:uid="{00000000-0005-0000-0000-000077010000}"/>
    <cellStyle name="20% - Accent3 2 3 4 3 2" xfId="14214" xr:uid="{EE273E49-3460-4399-9AEC-16CE7B9BF495}"/>
    <cellStyle name="20% - Accent3 2 3 4 4" xfId="9996" xr:uid="{5B4B0F13-D1F1-45B1-A16C-B8B8BCF84E03}"/>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0FE8A32B-9C53-419B-8756-AC7828F88646}"/>
    <cellStyle name="20% - Accent3 2 3 5 2 3" xfId="12554" xr:uid="{869B0F61-6AF0-4A0B-B29E-369EBCDCA026}"/>
    <cellStyle name="20% - Accent3 2 3 5 3" xfId="6177" xr:uid="{00000000-0005-0000-0000-00007B010000}"/>
    <cellStyle name="20% - Accent3 2 3 5 3 2" xfId="14627" xr:uid="{FD2A7DFE-7BE7-488B-A600-E66EC9DAC32A}"/>
    <cellStyle name="20% - Accent3 2 3 5 4" xfId="10409" xr:uid="{BDAC4500-F4D7-453C-B1C7-3EE3D65CB041}"/>
    <cellStyle name="20% - Accent3 2 3 6" xfId="2284" xr:uid="{00000000-0005-0000-0000-00007C010000}"/>
    <cellStyle name="20% - Accent3 2 3 6 2" xfId="6590" xr:uid="{00000000-0005-0000-0000-00007D010000}"/>
    <cellStyle name="20% - Accent3 2 3 6 2 2" xfId="15040" xr:uid="{40E5CDE2-6F84-4F1F-854A-73BBF30B5B4E}"/>
    <cellStyle name="20% - Accent3 2 3 6 3" xfId="10822" xr:uid="{59E2B1E8-E1CB-4D01-8D8F-B257CBE5CF58}"/>
    <cellStyle name="20% - Accent3 2 3 7" xfId="4524" xr:uid="{00000000-0005-0000-0000-00007E010000}"/>
    <cellStyle name="20% - Accent3 2 3 7 2" xfId="12974" xr:uid="{8A88324B-5CDD-4D48-BD0E-90B051CAA2E1}"/>
    <cellStyle name="20% - Accent3 2 3 8" xfId="8756" xr:uid="{F344A9AA-B2CF-4BD1-92F5-AE46BD7112E0}"/>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848C53B0-1349-4984-9443-3117E5B0C301}"/>
    <cellStyle name="20% - Accent3 2 4 2 3" xfId="11312" xr:uid="{EFA03FDD-78A6-4FF7-B50F-B66B94413B12}"/>
    <cellStyle name="20% - Accent3 2 4 3" xfId="4935" xr:uid="{00000000-0005-0000-0000-000082010000}"/>
    <cellStyle name="20% - Accent3 2 4 3 2" xfId="13385" xr:uid="{1DD62B09-5BA0-4127-8841-2DB2F20D963B}"/>
    <cellStyle name="20% - Accent3 2 4 4" xfId="9167" xr:uid="{2CB60BFA-ADDC-4C21-A512-CC9912C0A89F}"/>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172D5319-4CF8-4064-9CB4-B601AF8A4246}"/>
    <cellStyle name="20% - Accent3 2 5 2 3" xfId="11725" xr:uid="{EA610F83-CE1C-4C25-BF03-457635AACEF6}"/>
    <cellStyle name="20% - Accent3 2 5 3" xfId="5348" xr:uid="{00000000-0005-0000-0000-000086010000}"/>
    <cellStyle name="20% - Accent3 2 5 3 2" xfId="13798" xr:uid="{7D3DB1C6-BE2F-42F4-894B-1DC63232E35E}"/>
    <cellStyle name="20% - Accent3 2 5 4" xfId="9580" xr:uid="{87CEACE5-8FA1-4620-BA29-EDD4497201BE}"/>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A7642B14-6818-4AAC-8F27-2163CCFF1B1E}"/>
    <cellStyle name="20% - Accent3 2 6 2 3" xfId="12138" xr:uid="{17CFAF0E-53CD-4A10-BB36-EC60C70A43E6}"/>
    <cellStyle name="20% - Accent3 2 6 3" xfId="5761" xr:uid="{00000000-0005-0000-0000-00008A010000}"/>
    <cellStyle name="20% - Accent3 2 6 3 2" xfId="14211" xr:uid="{7B5B7CAE-B0A9-4888-BEA3-2D06BCD88E11}"/>
    <cellStyle name="20% - Accent3 2 6 4" xfId="9993" xr:uid="{651EC505-7353-4901-9209-412D04209DE2}"/>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FE80F594-4386-42DE-BF2C-8609CC6EB87E}"/>
    <cellStyle name="20% - Accent3 2 7 2 3" xfId="12551" xr:uid="{C694D0B9-805F-49DA-80D6-79569FD1F689}"/>
    <cellStyle name="20% - Accent3 2 7 3" xfId="6174" xr:uid="{00000000-0005-0000-0000-00008E010000}"/>
    <cellStyle name="20% - Accent3 2 7 3 2" xfId="14624" xr:uid="{B042EC62-DDB0-4875-9602-CBC18820196D}"/>
    <cellStyle name="20% - Accent3 2 7 4" xfId="10406" xr:uid="{9787CF16-48F4-42DC-AFD2-A2A9476EDB74}"/>
    <cellStyle name="20% - Accent3 2 8" xfId="2281" xr:uid="{00000000-0005-0000-0000-00008F010000}"/>
    <cellStyle name="20% - Accent3 2 8 2" xfId="6587" xr:uid="{00000000-0005-0000-0000-000090010000}"/>
    <cellStyle name="20% - Accent3 2 8 2 2" xfId="15037" xr:uid="{037CBE45-4F17-4EAC-92FF-E51DEED16835}"/>
    <cellStyle name="20% - Accent3 2 8 3" xfId="10819" xr:uid="{C96F68EB-8521-4A05-B839-9CFEAFF0D2AA}"/>
    <cellStyle name="20% - Accent3 2 9" xfId="4521" xr:uid="{00000000-0005-0000-0000-000091010000}"/>
    <cellStyle name="20% - Accent3 2 9 2" xfId="12971" xr:uid="{034C5DA4-F4C0-4598-8749-F4FF3177AB2D}"/>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C949AA91-F6D8-4790-964C-ACA23B9AB37E}"/>
    <cellStyle name="20% - Accent3 3 2 2 2 3" xfId="11317" xr:uid="{43041B3A-E563-470E-86CB-E84A36BE8D6E}"/>
    <cellStyle name="20% - Accent3 3 2 2 3" xfId="4940" xr:uid="{00000000-0005-0000-0000-000097010000}"/>
    <cellStyle name="20% - Accent3 3 2 2 3 2" xfId="13390" xr:uid="{AE7793DC-F749-4844-B552-F99907ECA254}"/>
    <cellStyle name="20% - Accent3 3 2 2 4" xfId="9172" xr:uid="{865EED3D-8387-43A6-94CE-B15D4D1483CE}"/>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15D3C0E3-82CD-431B-8284-FC9DF4B3ABF7}"/>
    <cellStyle name="20% - Accent3 3 2 3 2 3" xfId="11730" xr:uid="{F3C50AC1-1BEF-44BD-AF20-441A4D8F9764}"/>
    <cellStyle name="20% - Accent3 3 2 3 3" xfId="5353" xr:uid="{00000000-0005-0000-0000-00009B010000}"/>
    <cellStyle name="20% - Accent3 3 2 3 3 2" xfId="13803" xr:uid="{1EE3FE77-95ED-4D36-80DE-4F511A903E36}"/>
    <cellStyle name="20% - Accent3 3 2 3 4" xfId="9585" xr:uid="{A1ED0428-C369-4BC8-8F3F-8878642FBC74}"/>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9998C321-A9CF-4A4A-8CEE-B1C880B704D2}"/>
    <cellStyle name="20% - Accent3 3 2 4 2 3" xfId="12143" xr:uid="{34368428-9EC9-4B83-9212-3F8A69F451AF}"/>
    <cellStyle name="20% - Accent3 3 2 4 3" xfId="5766" xr:uid="{00000000-0005-0000-0000-00009F010000}"/>
    <cellStyle name="20% - Accent3 3 2 4 3 2" xfId="14216" xr:uid="{55FCB81F-C5E3-482E-80E0-B8B8C8167A4E}"/>
    <cellStyle name="20% - Accent3 3 2 4 4" xfId="9998" xr:uid="{75849AC1-361D-433A-8E37-77E7F6F14EFE}"/>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CCE7059B-AE97-4991-BDCD-AEE3829B7593}"/>
    <cellStyle name="20% - Accent3 3 2 5 2 3" xfId="12556" xr:uid="{E7FD9853-C3B2-4751-9A8A-CD6726F34651}"/>
    <cellStyle name="20% - Accent3 3 2 5 3" xfId="6179" xr:uid="{00000000-0005-0000-0000-0000A3010000}"/>
    <cellStyle name="20% - Accent3 3 2 5 3 2" xfId="14629" xr:uid="{84534070-06AB-406E-8E87-D79E0327199B}"/>
    <cellStyle name="20% - Accent3 3 2 5 4" xfId="10411" xr:uid="{A3019623-8C69-4768-85C3-83CB8D7240DC}"/>
    <cellStyle name="20% - Accent3 3 2 6" xfId="2286" xr:uid="{00000000-0005-0000-0000-0000A4010000}"/>
    <cellStyle name="20% - Accent3 3 2 6 2" xfId="6592" xr:uid="{00000000-0005-0000-0000-0000A5010000}"/>
    <cellStyle name="20% - Accent3 3 2 6 2 2" xfId="15042" xr:uid="{C13CFB6F-D68A-4D37-BEFB-6EC3D42EFA90}"/>
    <cellStyle name="20% - Accent3 3 2 6 3" xfId="10824" xr:uid="{5C9C491F-3C89-423D-9BB3-3177F67ADDD2}"/>
    <cellStyle name="20% - Accent3 3 2 7" xfId="4526" xr:uid="{00000000-0005-0000-0000-0000A6010000}"/>
    <cellStyle name="20% - Accent3 3 2 7 2" xfId="12976" xr:uid="{B23303F2-2743-4173-B038-4BBA83A75F6B}"/>
    <cellStyle name="20% - Accent3 3 2 8" xfId="8758" xr:uid="{C50F5C95-4733-47D7-B55C-A0EED3C226CE}"/>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6520FC4C-E8C5-4317-8C42-58092C95FE3D}"/>
    <cellStyle name="20% - Accent3 3 3 2 3" xfId="11316" xr:uid="{23E1A098-0117-45AA-9C50-714BF4083AE9}"/>
    <cellStyle name="20% - Accent3 3 3 3" xfId="4939" xr:uid="{00000000-0005-0000-0000-0000AA010000}"/>
    <cellStyle name="20% - Accent3 3 3 3 2" xfId="13389" xr:uid="{9F5C76EB-6529-47E6-B360-7DEF2AA8F36E}"/>
    <cellStyle name="20% - Accent3 3 3 4" xfId="9171" xr:uid="{E1211A91-E728-4696-820F-9F16B008A870}"/>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3D4C0C6A-77AB-45BE-B270-18DB5532337C}"/>
    <cellStyle name="20% - Accent3 3 4 2 3" xfId="11729" xr:uid="{DACE4D7E-A073-40A7-8160-11DC8BB3AB40}"/>
    <cellStyle name="20% - Accent3 3 4 3" xfId="5352" xr:uid="{00000000-0005-0000-0000-0000AE010000}"/>
    <cellStyle name="20% - Accent3 3 4 3 2" xfId="13802" xr:uid="{FB09C1B7-F423-414E-8A03-B34EB9301A6C}"/>
    <cellStyle name="20% - Accent3 3 4 4" xfId="9584" xr:uid="{44E4DA7B-7C0A-439D-BFE9-DC62A7024B0B}"/>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FA987A4D-62E6-43CB-8D04-6290660486CB}"/>
    <cellStyle name="20% - Accent3 3 5 2 3" xfId="12142" xr:uid="{FB3E1B16-6EFD-4C55-A682-50D38112B51F}"/>
    <cellStyle name="20% - Accent3 3 5 3" xfId="5765" xr:uid="{00000000-0005-0000-0000-0000B2010000}"/>
    <cellStyle name="20% - Accent3 3 5 3 2" xfId="14215" xr:uid="{A2EFB46E-CEC2-478F-B833-275A2606B701}"/>
    <cellStyle name="20% - Accent3 3 5 4" xfId="9997" xr:uid="{0D0377D1-79FA-422E-825D-DB43B2CCBCF6}"/>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9205F06D-BA6B-4242-93DB-F3131A43DFF3}"/>
    <cellStyle name="20% - Accent3 3 6 2 3" xfId="12555" xr:uid="{45BAC019-18C2-492F-B6A2-727F24A7F483}"/>
    <cellStyle name="20% - Accent3 3 6 3" xfId="6178" xr:uid="{00000000-0005-0000-0000-0000B6010000}"/>
    <cellStyle name="20% - Accent3 3 6 3 2" xfId="14628" xr:uid="{F499C5E9-FE4A-4887-B81C-F4C8AFD12E25}"/>
    <cellStyle name="20% - Accent3 3 6 4" xfId="10410" xr:uid="{E3E815B4-1ED5-4533-98B9-53DAF745C64D}"/>
    <cellStyle name="20% - Accent3 3 7" xfId="2285" xr:uid="{00000000-0005-0000-0000-0000B7010000}"/>
    <cellStyle name="20% - Accent3 3 7 2" xfId="6591" xr:uid="{00000000-0005-0000-0000-0000B8010000}"/>
    <cellStyle name="20% - Accent3 3 7 2 2" xfId="15041" xr:uid="{69AB14A0-BB7C-4A02-A737-54018A9EA997}"/>
    <cellStyle name="20% - Accent3 3 7 3" xfId="10823" xr:uid="{4E735AEF-8F9F-4EC2-92B7-BFED993321AA}"/>
    <cellStyle name="20% - Accent3 3 8" xfId="4525" xr:uid="{00000000-0005-0000-0000-0000B9010000}"/>
    <cellStyle name="20% - Accent3 3 8 2" xfId="12975" xr:uid="{1CB87640-121C-4C10-AABA-A04C8F9059AE}"/>
    <cellStyle name="20% - Accent3 3 9" xfId="8757" xr:uid="{5DBD53AC-0FB5-4714-9A2C-0CE896E89A0C}"/>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435E0104-1312-400B-B51B-F99EAE896FA3}"/>
    <cellStyle name="20% - Accent3 4 2 2 3" xfId="11318" xr:uid="{7AA0F41E-0A4F-408F-8B8C-5064EE67A0BA}"/>
    <cellStyle name="20% - Accent3 4 2 3" xfId="4941" xr:uid="{00000000-0005-0000-0000-0000BE010000}"/>
    <cellStyle name="20% - Accent3 4 2 3 2" xfId="13391" xr:uid="{EE6A93CC-2F1D-4B7C-904A-61939B2CBA02}"/>
    <cellStyle name="20% - Accent3 4 2 4" xfId="9173" xr:uid="{6D1B66A2-BC9B-46D9-930B-8C670AB20FB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54237444-2410-4211-9444-96B4CF40F143}"/>
    <cellStyle name="20% - Accent3 4 3 2 3" xfId="11731" xr:uid="{9DB54892-8632-44D0-8DCE-578F1BCDD0C6}"/>
    <cellStyle name="20% - Accent3 4 3 3" xfId="5354" xr:uid="{00000000-0005-0000-0000-0000C2010000}"/>
    <cellStyle name="20% - Accent3 4 3 3 2" xfId="13804" xr:uid="{0C7E9CE2-674F-4417-A46B-2D71441AAF3E}"/>
    <cellStyle name="20% - Accent3 4 3 4" xfId="9586" xr:uid="{D4F978B0-D7B1-4326-A0D4-600430D9F708}"/>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5BCCAACE-AC91-42D4-84CF-0903A7E3607F}"/>
    <cellStyle name="20% - Accent3 4 4 2 3" xfId="12144" xr:uid="{E5B97618-FF4A-4C15-B09F-2A04A6CE64AA}"/>
    <cellStyle name="20% - Accent3 4 4 3" xfId="5767" xr:uid="{00000000-0005-0000-0000-0000C6010000}"/>
    <cellStyle name="20% - Accent3 4 4 3 2" xfId="14217" xr:uid="{C7162AE7-F74E-4998-8A6C-7ACBF361C525}"/>
    <cellStyle name="20% - Accent3 4 4 4" xfId="9999" xr:uid="{CBC28EB3-8E11-42CF-8860-73D54D96B94C}"/>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2DF86E99-53F5-408E-A575-5D39BC6EBD39}"/>
    <cellStyle name="20% - Accent3 4 5 2 3" xfId="12557" xr:uid="{5A5DD1E5-B616-49BE-92DE-A6ED58544CD5}"/>
    <cellStyle name="20% - Accent3 4 5 3" xfId="6180" xr:uid="{00000000-0005-0000-0000-0000CA010000}"/>
    <cellStyle name="20% - Accent3 4 5 3 2" xfId="14630" xr:uid="{1A2A8305-D598-4DE0-AFCC-2248189C7168}"/>
    <cellStyle name="20% - Accent3 4 5 4" xfId="10412" xr:uid="{D38CC47D-984E-4971-99BF-ACDA66A2D008}"/>
    <cellStyle name="20% - Accent3 4 6" xfId="2287" xr:uid="{00000000-0005-0000-0000-0000CB010000}"/>
    <cellStyle name="20% - Accent3 4 6 2" xfId="6593" xr:uid="{00000000-0005-0000-0000-0000CC010000}"/>
    <cellStyle name="20% - Accent3 4 6 2 2" xfId="15043" xr:uid="{D69EA3ED-A89A-4047-90B9-4455B01A8B13}"/>
    <cellStyle name="20% - Accent3 4 6 3" xfId="10825" xr:uid="{CD532A5B-6942-4BBF-B4E1-A65E5882BB32}"/>
    <cellStyle name="20% - Accent3 4 7" xfId="4527" xr:uid="{00000000-0005-0000-0000-0000CD010000}"/>
    <cellStyle name="20% - Accent3 4 7 2" xfId="12977" xr:uid="{68FFF53D-D0EE-44D9-881F-AF4BCF72A9F6}"/>
    <cellStyle name="20% - Accent3 4 8" xfId="8759" xr:uid="{07A92532-CD4B-4946-B73B-23BA9EDE6594}"/>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2976600C-30E4-451E-B00F-E5F81E0CACB7}"/>
    <cellStyle name="20% - Accent3 5 2 3" xfId="11311" xr:uid="{946CD491-4852-4BAA-BE98-CF9A60E0CB62}"/>
    <cellStyle name="20% - Accent3 5 3" xfId="4934" xr:uid="{00000000-0005-0000-0000-0000D1010000}"/>
    <cellStyle name="20% - Accent3 5 3 2" xfId="13384" xr:uid="{E1EF666C-DAE4-4DF5-A8DB-3927B1E08CB5}"/>
    <cellStyle name="20% - Accent3 5 4" xfId="9166" xr:uid="{D5EE00E8-09E5-4812-A5F6-B7ED8C1898E1}"/>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9384D87A-0C29-4F17-91B7-B9200740233E}"/>
    <cellStyle name="20% - Accent3 6 2 3" xfId="11724" xr:uid="{4B86935F-C3F2-4236-9C3F-DB14A4B84964}"/>
    <cellStyle name="20% - Accent3 6 3" xfId="5347" xr:uid="{00000000-0005-0000-0000-0000D5010000}"/>
    <cellStyle name="20% - Accent3 6 3 2" xfId="13797" xr:uid="{34D86960-6915-44CE-936F-7640B97C8568}"/>
    <cellStyle name="20% - Accent3 6 4" xfId="9579" xr:uid="{B9A960D1-764E-4E85-ABBB-64B5BDFD5C67}"/>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D49456BF-69E5-4995-8B4D-D50207065FE6}"/>
    <cellStyle name="20% - Accent3 7 2 3" xfId="12137" xr:uid="{7690BAE0-6579-4D80-B812-C2CF46D16EA2}"/>
    <cellStyle name="20% - Accent3 7 3" xfId="5760" xr:uid="{00000000-0005-0000-0000-0000D9010000}"/>
    <cellStyle name="20% - Accent3 7 3 2" xfId="14210" xr:uid="{B0471D02-5801-4BC6-9416-EBA98AE6F009}"/>
    <cellStyle name="20% - Accent3 7 4" xfId="9992" xr:uid="{5F18FCBD-03EB-49EA-B9C1-076DDE18443F}"/>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B9C56EF9-8F70-49A3-B5D7-F06CEEAA07AE}"/>
    <cellStyle name="20% - Accent3 8 2 3" xfId="12550" xr:uid="{7373AF91-7C58-48B3-9F0B-03625E99DDC3}"/>
    <cellStyle name="20% - Accent3 8 3" xfId="6173" xr:uid="{00000000-0005-0000-0000-0000DD010000}"/>
    <cellStyle name="20% - Accent3 8 3 2" xfId="14623" xr:uid="{F1F31B18-C7C1-42CE-ABD5-E5DE239E8C9D}"/>
    <cellStyle name="20% - Accent3 8 4" xfId="10405" xr:uid="{F1BB0C66-47D6-4317-8F80-0F1953FA2294}"/>
    <cellStyle name="20% - Accent3 9" xfId="2280" xr:uid="{00000000-0005-0000-0000-0000DE010000}"/>
    <cellStyle name="20% - Accent3 9 2" xfId="6586" xr:uid="{00000000-0005-0000-0000-0000DF010000}"/>
    <cellStyle name="20% - Accent3 9 2 2" xfId="15036" xr:uid="{54E4C535-F2DD-4745-920D-157FF03DF7DC}"/>
    <cellStyle name="20% - Accent3 9 3" xfId="10818" xr:uid="{45EE432B-0B67-425C-B7E7-ED32C3ECD887}"/>
    <cellStyle name="20% - Accent4" xfId="25" builtinId="42" customBuiltin="1"/>
    <cellStyle name="20% - Accent4 10" xfId="4528" xr:uid="{00000000-0005-0000-0000-0000E1010000}"/>
    <cellStyle name="20% - Accent4 10 2" xfId="12978" xr:uid="{CDCC0D58-4778-46AD-99FB-0E086D9205BB}"/>
    <cellStyle name="20% - Accent4 11" xfId="8760" xr:uid="{C2C060B2-3C89-4BBF-8E0D-6681BF6D3F38}"/>
    <cellStyle name="20% - Accent4 2" xfId="26" xr:uid="{00000000-0005-0000-0000-0000E2010000}"/>
    <cellStyle name="20% - Accent4 2 10" xfId="8761" xr:uid="{D778C754-C70F-497B-8762-949818FEC493}"/>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557A3AF6-49B7-4F20-9E1B-A9CDB46FB230}"/>
    <cellStyle name="20% - Accent4 2 2 2 2 2 3" xfId="11322" xr:uid="{8142F626-0F91-4CF1-B1AD-F8B59808E19B}"/>
    <cellStyle name="20% - Accent4 2 2 2 2 3" xfId="4945" xr:uid="{00000000-0005-0000-0000-0000E8010000}"/>
    <cellStyle name="20% - Accent4 2 2 2 2 3 2" xfId="13395" xr:uid="{F1BCA5C5-76B0-444D-A72D-C4C8E3CAB1F7}"/>
    <cellStyle name="20% - Accent4 2 2 2 2 4" xfId="9177" xr:uid="{E3A45CDF-4EB1-4D70-99AB-17B2D947C8FA}"/>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4F201EE5-B01E-4BF5-B816-1059CF7F8218}"/>
    <cellStyle name="20% - Accent4 2 2 2 3 2 3" xfId="11735" xr:uid="{5AAFF699-AC9A-4186-AB24-785167EA28D2}"/>
    <cellStyle name="20% - Accent4 2 2 2 3 3" xfId="5358" xr:uid="{00000000-0005-0000-0000-0000EC010000}"/>
    <cellStyle name="20% - Accent4 2 2 2 3 3 2" xfId="13808" xr:uid="{617CC14C-B98B-4638-A543-E88A2E46E939}"/>
    <cellStyle name="20% - Accent4 2 2 2 3 4" xfId="9590" xr:uid="{1A1312B7-8B76-4A04-A21E-8A2191F81174}"/>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0CCB8603-C2AF-4E9E-8165-C64C1260F92C}"/>
    <cellStyle name="20% - Accent4 2 2 2 4 2 3" xfId="12148" xr:uid="{66094944-6150-4252-B467-BF1C8CFAF6EE}"/>
    <cellStyle name="20% - Accent4 2 2 2 4 3" xfId="5771" xr:uid="{00000000-0005-0000-0000-0000F0010000}"/>
    <cellStyle name="20% - Accent4 2 2 2 4 3 2" xfId="14221" xr:uid="{3FD48251-89D1-4587-8673-AE5272259F79}"/>
    <cellStyle name="20% - Accent4 2 2 2 4 4" xfId="10003" xr:uid="{1C2CB2DD-998F-420B-9715-83E3C6BAE8CC}"/>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D1FDF1BA-C316-427E-B246-80081F920FD6}"/>
    <cellStyle name="20% - Accent4 2 2 2 5 2 3" xfId="12561" xr:uid="{E7938A86-D7B3-489F-BB2C-4B3549B9CC38}"/>
    <cellStyle name="20% - Accent4 2 2 2 5 3" xfId="6184" xr:uid="{00000000-0005-0000-0000-0000F4010000}"/>
    <cellStyle name="20% - Accent4 2 2 2 5 3 2" xfId="14634" xr:uid="{5CBD36D9-4CB2-4D80-99B5-0B6BBA8C733C}"/>
    <cellStyle name="20% - Accent4 2 2 2 5 4" xfId="10416" xr:uid="{AF499C8D-3FB0-4A0C-A164-0DEBAF485E03}"/>
    <cellStyle name="20% - Accent4 2 2 2 6" xfId="2291" xr:uid="{00000000-0005-0000-0000-0000F5010000}"/>
    <cellStyle name="20% - Accent4 2 2 2 6 2" xfId="6597" xr:uid="{00000000-0005-0000-0000-0000F6010000}"/>
    <cellStyle name="20% - Accent4 2 2 2 6 2 2" xfId="15047" xr:uid="{301E07AC-6740-4683-8777-BBE8853ADBA6}"/>
    <cellStyle name="20% - Accent4 2 2 2 6 3" xfId="10829" xr:uid="{068FB556-CDD8-4659-B8E1-8DEB9F57D35E}"/>
    <cellStyle name="20% - Accent4 2 2 2 7" xfId="4531" xr:uid="{00000000-0005-0000-0000-0000F7010000}"/>
    <cellStyle name="20% - Accent4 2 2 2 7 2" xfId="12981" xr:uid="{9FDDBFEF-2192-4D43-9CEC-B5038DF81753}"/>
    <cellStyle name="20% - Accent4 2 2 2 8" xfId="8763" xr:uid="{B4D5CCA8-F6DF-45CA-BC1B-B9DFF1FF51D9}"/>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C8599AD4-CD97-477B-B580-CD59BE1D0405}"/>
    <cellStyle name="20% - Accent4 2 2 3 2 3" xfId="11321" xr:uid="{9330652E-F7B7-4669-B654-CB851F76344D}"/>
    <cellStyle name="20% - Accent4 2 2 3 3" xfId="4944" xr:uid="{00000000-0005-0000-0000-0000FB010000}"/>
    <cellStyle name="20% - Accent4 2 2 3 3 2" xfId="13394" xr:uid="{158FF31E-F841-4C83-858C-AFE22344D22F}"/>
    <cellStyle name="20% - Accent4 2 2 3 4" xfId="9176" xr:uid="{DDF25211-3BC3-45AF-9E3D-3EDCF02A0C14}"/>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8BD83D5E-9985-46C7-B255-D3AD83372DAC}"/>
    <cellStyle name="20% - Accent4 2 2 4 2 3" xfId="11734" xr:uid="{C2E98F79-59C6-45F2-9221-1D52BDCF966E}"/>
    <cellStyle name="20% - Accent4 2 2 4 3" xfId="5357" xr:uid="{00000000-0005-0000-0000-0000FF010000}"/>
    <cellStyle name="20% - Accent4 2 2 4 3 2" xfId="13807" xr:uid="{6EE17DF2-6169-4620-8539-1EE7544A6294}"/>
    <cellStyle name="20% - Accent4 2 2 4 4" xfId="9589" xr:uid="{45A4C9CB-5795-40E1-B3C9-0F0D909A1438}"/>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AA732F6D-29AB-4D42-8BE1-59E9AEC62C90}"/>
    <cellStyle name="20% - Accent4 2 2 5 2 3" xfId="12147" xr:uid="{AEE55B5E-05EA-40A2-8C9D-A4BC43BFC383}"/>
    <cellStyle name="20% - Accent4 2 2 5 3" xfId="5770" xr:uid="{00000000-0005-0000-0000-000003020000}"/>
    <cellStyle name="20% - Accent4 2 2 5 3 2" xfId="14220" xr:uid="{1A87DA63-2652-486E-B855-22E73B6C89DE}"/>
    <cellStyle name="20% - Accent4 2 2 5 4" xfId="10002" xr:uid="{16C36ABE-4182-4F00-96E2-6DE24D56E32E}"/>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82EFB8BD-BBB0-4893-BA74-65728C0CA7BB}"/>
    <cellStyle name="20% - Accent4 2 2 6 2 3" xfId="12560" xr:uid="{34749A3F-69D8-482E-BDAD-0469A06C9C3B}"/>
    <cellStyle name="20% - Accent4 2 2 6 3" xfId="6183" xr:uid="{00000000-0005-0000-0000-000007020000}"/>
    <cellStyle name="20% - Accent4 2 2 6 3 2" xfId="14633" xr:uid="{7DF789B4-329C-4FFC-A03D-EA28F977852E}"/>
    <cellStyle name="20% - Accent4 2 2 6 4" xfId="10415" xr:uid="{41ADD6D0-C5D8-486A-8A8B-6B7C037EF81E}"/>
    <cellStyle name="20% - Accent4 2 2 7" xfId="2290" xr:uid="{00000000-0005-0000-0000-000008020000}"/>
    <cellStyle name="20% - Accent4 2 2 7 2" xfId="6596" xr:uid="{00000000-0005-0000-0000-000009020000}"/>
    <cellStyle name="20% - Accent4 2 2 7 2 2" xfId="15046" xr:uid="{0D336C48-B262-4ACF-81D4-5476C11EF892}"/>
    <cellStyle name="20% - Accent4 2 2 7 3" xfId="10828" xr:uid="{441DEFD6-E181-4D3B-93DF-FE9DAEC80C58}"/>
    <cellStyle name="20% - Accent4 2 2 8" xfId="4530" xr:uid="{00000000-0005-0000-0000-00000A020000}"/>
    <cellStyle name="20% - Accent4 2 2 8 2" xfId="12980" xr:uid="{27B29C31-1CE9-4B14-BFA5-119BC476B560}"/>
    <cellStyle name="20% - Accent4 2 2 9" xfId="8762" xr:uid="{6E477EBF-9FA2-4331-A143-EBF3DC9F3ABD}"/>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5DFE2FFF-62D8-43DE-A702-D3E34279DDE7}"/>
    <cellStyle name="20% - Accent4 2 3 2 2 3" xfId="11323" xr:uid="{77BCD73C-2C62-4BD1-B5C4-532650FD9F95}"/>
    <cellStyle name="20% - Accent4 2 3 2 3" xfId="4946" xr:uid="{00000000-0005-0000-0000-00000F020000}"/>
    <cellStyle name="20% - Accent4 2 3 2 3 2" xfId="13396" xr:uid="{F59B42B7-E7FB-4288-973F-BC43EA5E6E53}"/>
    <cellStyle name="20% - Accent4 2 3 2 4" xfId="9178" xr:uid="{BB6AEC08-1D81-4EA1-AAF7-3D01CC524F59}"/>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F279E45F-B037-4003-8B44-F72553FA7DD5}"/>
    <cellStyle name="20% - Accent4 2 3 3 2 3" xfId="11736" xr:uid="{58F7A700-3183-4D77-A102-87E5F848BDE7}"/>
    <cellStyle name="20% - Accent4 2 3 3 3" xfId="5359" xr:uid="{00000000-0005-0000-0000-000013020000}"/>
    <cellStyle name="20% - Accent4 2 3 3 3 2" xfId="13809" xr:uid="{BD2A830E-E593-47F3-A8EA-F463D71B8A1E}"/>
    <cellStyle name="20% - Accent4 2 3 3 4" xfId="9591" xr:uid="{E7D5EEF0-E083-470B-8235-11C61B02B9F3}"/>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15FE4F31-D1BF-4258-8C59-94250BEC23A2}"/>
    <cellStyle name="20% - Accent4 2 3 4 2 3" xfId="12149" xr:uid="{2FFAB8B6-7401-4D36-AA3F-19CD986EAB05}"/>
    <cellStyle name="20% - Accent4 2 3 4 3" xfId="5772" xr:uid="{00000000-0005-0000-0000-000017020000}"/>
    <cellStyle name="20% - Accent4 2 3 4 3 2" xfId="14222" xr:uid="{23344A84-5931-415B-B4DE-826F614AD51B}"/>
    <cellStyle name="20% - Accent4 2 3 4 4" xfId="10004" xr:uid="{3F3C9AFA-ED7F-438A-A504-B65BA1937E67}"/>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C1D2EF4B-541A-4892-88AC-19CBCDF29A49}"/>
    <cellStyle name="20% - Accent4 2 3 5 2 3" xfId="12562" xr:uid="{B0EC5806-10E3-40B1-AC92-4D90C7022F8E}"/>
    <cellStyle name="20% - Accent4 2 3 5 3" xfId="6185" xr:uid="{00000000-0005-0000-0000-00001B020000}"/>
    <cellStyle name="20% - Accent4 2 3 5 3 2" xfId="14635" xr:uid="{D3AAEEE8-9334-4FBB-9E1C-880AA9A7E0A7}"/>
    <cellStyle name="20% - Accent4 2 3 5 4" xfId="10417" xr:uid="{86D97418-F30D-4A18-BF26-EFEAC31E2CD7}"/>
    <cellStyle name="20% - Accent4 2 3 6" xfId="2292" xr:uid="{00000000-0005-0000-0000-00001C020000}"/>
    <cellStyle name="20% - Accent4 2 3 6 2" xfId="6598" xr:uid="{00000000-0005-0000-0000-00001D020000}"/>
    <cellStyle name="20% - Accent4 2 3 6 2 2" xfId="15048" xr:uid="{69D71600-3E98-4F9D-A59F-A5C20C8B1299}"/>
    <cellStyle name="20% - Accent4 2 3 6 3" xfId="10830" xr:uid="{DEBFC5CF-363E-42F2-AA6E-CC3C1A3BC0C4}"/>
    <cellStyle name="20% - Accent4 2 3 7" xfId="4532" xr:uid="{00000000-0005-0000-0000-00001E020000}"/>
    <cellStyle name="20% - Accent4 2 3 7 2" xfId="12982" xr:uid="{A91CE2F9-96EA-455F-BA26-979DCE2E00A2}"/>
    <cellStyle name="20% - Accent4 2 3 8" xfId="8764" xr:uid="{566C2FE1-D5B0-42FC-98DB-BC84F36EC981}"/>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7C10A10A-7D19-4CB7-8355-BC8F8ABC5E12}"/>
    <cellStyle name="20% - Accent4 2 4 2 3" xfId="11320" xr:uid="{44512023-5DEB-4ABA-8DE3-133A2692218A}"/>
    <cellStyle name="20% - Accent4 2 4 3" xfId="4943" xr:uid="{00000000-0005-0000-0000-000022020000}"/>
    <cellStyle name="20% - Accent4 2 4 3 2" xfId="13393" xr:uid="{2831474A-BB94-417D-9135-0E49CC2AFECA}"/>
    <cellStyle name="20% - Accent4 2 4 4" xfId="9175" xr:uid="{B00C1031-D31A-4C84-8A4F-19E64D45C85C}"/>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8669986E-DB27-4759-8A98-8395AD972EF5}"/>
    <cellStyle name="20% - Accent4 2 5 2 3" xfId="11733" xr:uid="{903FC730-8DBA-4267-AFCC-AAB6EB2B725E}"/>
    <cellStyle name="20% - Accent4 2 5 3" xfId="5356" xr:uid="{00000000-0005-0000-0000-000026020000}"/>
    <cellStyle name="20% - Accent4 2 5 3 2" xfId="13806" xr:uid="{5AE9A156-8D38-4462-BE20-25E12CB75AA4}"/>
    <cellStyle name="20% - Accent4 2 5 4" xfId="9588" xr:uid="{99BA97C8-710C-4363-A8E8-263962CC3B1F}"/>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2D57A085-7216-43A8-9907-B7504199DC91}"/>
    <cellStyle name="20% - Accent4 2 6 2 3" xfId="12146" xr:uid="{B28CC65B-8D5A-4FDF-99E6-FEAACE28065E}"/>
    <cellStyle name="20% - Accent4 2 6 3" xfId="5769" xr:uid="{00000000-0005-0000-0000-00002A020000}"/>
    <cellStyle name="20% - Accent4 2 6 3 2" xfId="14219" xr:uid="{9F4B99E3-66F7-4AD9-86E7-DB61F4D94ED9}"/>
    <cellStyle name="20% - Accent4 2 6 4" xfId="10001" xr:uid="{3B223B1C-E826-4DDD-85AB-0408F79AEA87}"/>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5C529989-19C3-40DE-BE7D-FBF5B8B3720C}"/>
    <cellStyle name="20% - Accent4 2 7 2 3" xfId="12559" xr:uid="{1FC3DBA8-45D7-48B4-B34E-595A2438E058}"/>
    <cellStyle name="20% - Accent4 2 7 3" xfId="6182" xr:uid="{00000000-0005-0000-0000-00002E020000}"/>
    <cellStyle name="20% - Accent4 2 7 3 2" xfId="14632" xr:uid="{F579429E-3484-49FE-8F80-82244AE60D94}"/>
    <cellStyle name="20% - Accent4 2 7 4" xfId="10414" xr:uid="{AB992ACE-7B93-4542-B0FE-DC6D92CB3AF7}"/>
    <cellStyle name="20% - Accent4 2 8" xfId="2289" xr:uid="{00000000-0005-0000-0000-00002F020000}"/>
    <cellStyle name="20% - Accent4 2 8 2" xfId="6595" xr:uid="{00000000-0005-0000-0000-000030020000}"/>
    <cellStyle name="20% - Accent4 2 8 2 2" xfId="15045" xr:uid="{23285F69-1A8A-4D1E-AF22-F8891D8BDA88}"/>
    <cellStyle name="20% - Accent4 2 8 3" xfId="10827" xr:uid="{4A22AEFF-A9A8-48FE-B712-491306B54F34}"/>
    <cellStyle name="20% - Accent4 2 9" xfId="4529" xr:uid="{00000000-0005-0000-0000-000031020000}"/>
    <cellStyle name="20% - Accent4 2 9 2" xfId="12979" xr:uid="{E629EA60-6B46-4900-AFAE-69F187488B2A}"/>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BBB7468B-4853-4545-AF46-88D6ECCD7B5C}"/>
    <cellStyle name="20% - Accent4 3 2 2 2 3" xfId="11325" xr:uid="{ACBBA63B-79B6-49F7-9E5F-05E5A977F640}"/>
    <cellStyle name="20% - Accent4 3 2 2 3" xfId="4948" xr:uid="{00000000-0005-0000-0000-000037020000}"/>
    <cellStyle name="20% - Accent4 3 2 2 3 2" xfId="13398" xr:uid="{DB0AB07B-ED1D-4877-8A38-5AAF38C7FA14}"/>
    <cellStyle name="20% - Accent4 3 2 2 4" xfId="9180" xr:uid="{3AB90D19-E2F4-4EEE-8861-0C04CA4FB13B}"/>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6CC7EBAB-6770-4AE7-A190-EA021F25C4C9}"/>
    <cellStyle name="20% - Accent4 3 2 3 2 3" xfId="11738" xr:uid="{DA90B61C-01E6-47EC-B90E-60D3AB808FCA}"/>
    <cellStyle name="20% - Accent4 3 2 3 3" xfId="5361" xr:uid="{00000000-0005-0000-0000-00003B020000}"/>
    <cellStyle name="20% - Accent4 3 2 3 3 2" xfId="13811" xr:uid="{AD42BD4B-850D-4A89-B67D-A75868B582C9}"/>
    <cellStyle name="20% - Accent4 3 2 3 4" xfId="9593" xr:uid="{51B660CA-53BD-40B5-B343-6701C09455D3}"/>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C4CD1502-FF08-47AD-AACD-9905F11AB753}"/>
    <cellStyle name="20% - Accent4 3 2 4 2 3" xfId="12151" xr:uid="{F22F483C-13C3-4244-8F93-1FFEA56CEE8C}"/>
    <cellStyle name="20% - Accent4 3 2 4 3" xfId="5774" xr:uid="{00000000-0005-0000-0000-00003F020000}"/>
    <cellStyle name="20% - Accent4 3 2 4 3 2" xfId="14224" xr:uid="{A80F16BA-DA96-4E10-B39F-FE9340C266F7}"/>
    <cellStyle name="20% - Accent4 3 2 4 4" xfId="10006" xr:uid="{5C3E3229-D1EB-4573-8EA4-FBC757184729}"/>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7EA921EC-369A-4FD0-8B90-FB7849ED3E80}"/>
    <cellStyle name="20% - Accent4 3 2 5 2 3" xfId="12564" xr:uid="{DAF3000D-B5E8-428C-BB51-BBC751EDC5B6}"/>
    <cellStyle name="20% - Accent4 3 2 5 3" xfId="6187" xr:uid="{00000000-0005-0000-0000-000043020000}"/>
    <cellStyle name="20% - Accent4 3 2 5 3 2" xfId="14637" xr:uid="{15CFBD3A-49E6-424E-AB55-CBD12B5E4BC3}"/>
    <cellStyle name="20% - Accent4 3 2 5 4" xfId="10419" xr:uid="{2634D7E4-D21C-4DDF-8970-EA20951F1E17}"/>
    <cellStyle name="20% - Accent4 3 2 6" xfId="2294" xr:uid="{00000000-0005-0000-0000-000044020000}"/>
    <cellStyle name="20% - Accent4 3 2 6 2" xfId="6600" xr:uid="{00000000-0005-0000-0000-000045020000}"/>
    <cellStyle name="20% - Accent4 3 2 6 2 2" xfId="15050" xr:uid="{1A0A00EB-9B5B-4E48-986B-E6F2EC154683}"/>
    <cellStyle name="20% - Accent4 3 2 6 3" xfId="10832" xr:uid="{4B1F1464-0ABD-488F-AE74-D8D39D466FE3}"/>
    <cellStyle name="20% - Accent4 3 2 7" xfId="4534" xr:uid="{00000000-0005-0000-0000-000046020000}"/>
    <cellStyle name="20% - Accent4 3 2 7 2" xfId="12984" xr:uid="{D7EA311E-CE7D-44D8-9EAB-2A3C99805A84}"/>
    <cellStyle name="20% - Accent4 3 2 8" xfId="8766" xr:uid="{A0E1FD33-DA7B-4341-B4BF-6DB9DBEEF9A6}"/>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D5F94DD3-C06A-43DD-8802-18418C6DC014}"/>
    <cellStyle name="20% - Accent4 3 3 2 3" xfId="11324" xr:uid="{0AE554AD-FBB2-4627-8A7C-833BC4D698BA}"/>
    <cellStyle name="20% - Accent4 3 3 3" xfId="4947" xr:uid="{00000000-0005-0000-0000-00004A020000}"/>
    <cellStyle name="20% - Accent4 3 3 3 2" xfId="13397" xr:uid="{FCEBCA0C-D4E6-4CEB-B4CE-6CBF22D2D6EF}"/>
    <cellStyle name="20% - Accent4 3 3 4" xfId="9179" xr:uid="{8C8C4FFC-7979-4769-A8C3-64CA6CF5713A}"/>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84C445C0-5E20-4542-BE28-02021A30E5E2}"/>
    <cellStyle name="20% - Accent4 3 4 2 3" xfId="11737" xr:uid="{3CFB1EA4-38D1-4B71-BFEE-76C92243A6C7}"/>
    <cellStyle name="20% - Accent4 3 4 3" xfId="5360" xr:uid="{00000000-0005-0000-0000-00004E020000}"/>
    <cellStyle name="20% - Accent4 3 4 3 2" xfId="13810" xr:uid="{4524256F-DD38-4F40-9F37-DEFD56AC364A}"/>
    <cellStyle name="20% - Accent4 3 4 4" xfId="9592" xr:uid="{1AEC7C98-031F-4199-B706-18041D767A88}"/>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A28F8245-61E1-4135-B1A6-0B44F1743AE1}"/>
    <cellStyle name="20% - Accent4 3 5 2 3" xfId="12150" xr:uid="{0FCD2F57-5618-4ED7-A2B0-3F77F50304D0}"/>
    <cellStyle name="20% - Accent4 3 5 3" xfId="5773" xr:uid="{00000000-0005-0000-0000-000052020000}"/>
    <cellStyle name="20% - Accent4 3 5 3 2" xfId="14223" xr:uid="{C8851B41-57AB-477A-9D7C-D2F361F5802F}"/>
    <cellStyle name="20% - Accent4 3 5 4" xfId="10005" xr:uid="{DA2F9463-AD6A-42BA-9D5E-DD1F0DC8D55B}"/>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6FE60998-8E70-468A-8254-3570D69F9609}"/>
    <cellStyle name="20% - Accent4 3 6 2 3" xfId="12563" xr:uid="{D1264564-0E19-4D94-AFDE-C1C8B0CD2BB8}"/>
    <cellStyle name="20% - Accent4 3 6 3" xfId="6186" xr:uid="{00000000-0005-0000-0000-000056020000}"/>
    <cellStyle name="20% - Accent4 3 6 3 2" xfId="14636" xr:uid="{7CA9A552-842F-422A-848C-93C545DD774E}"/>
    <cellStyle name="20% - Accent4 3 6 4" xfId="10418" xr:uid="{7D2058AD-3721-4D1F-8EA7-EF755B782841}"/>
    <cellStyle name="20% - Accent4 3 7" xfId="2293" xr:uid="{00000000-0005-0000-0000-000057020000}"/>
    <cellStyle name="20% - Accent4 3 7 2" xfId="6599" xr:uid="{00000000-0005-0000-0000-000058020000}"/>
    <cellStyle name="20% - Accent4 3 7 2 2" xfId="15049" xr:uid="{8FDB9BAC-01CE-4707-BC1A-14A8CEF585A9}"/>
    <cellStyle name="20% - Accent4 3 7 3" xfId="10831" xr:uid="{E55C9FC0-AC77-473A-829C-424483BA4AE2}"/>
    <cellStyle name="20% - Accent4 3 8" xfId="4533" xr:uid="{00000000-0005-0000-0000-000059020000}"/>
    <cellStyle name="20% - Accent4 3 8 2" xfId="12983" xr:uid="{38B05470-6A18-46D1-ACC1-9ECBA4429D2C}"/>
    <cellStyle name="20% - Accent4 3 9" xfId="8765" xr:uid="{E3D4B151-7BC1-48D9-9540-5B56D1E9EC46}"/>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C9661D1B-A87E-4F03-B440-2D656B9AE5C2}"/>
    <cellStyle name="20% - Accent4 4 2 2 3" xfId="11326" xr:uid="{285A9315-A60A-4BF9-8A68-BB4D6E3A8F90}"/>
    <cellStyle name="20% - Accent4 4 2 3" xfId="4949" xr:uid="{00000000-0005-0000-0000-00005E020000}"/>
    <cellStyle name="20% - Accent4 4 2 3 2" xfId="13399" xr:uid="{BA7D37F7-5F73-4C8C-B489-4EAE88F6B0CE}"/>
    <cellStyle name="20% - Accent4 4 2 4" xfId="9181" xr:uid="{A92550E6-14B8-48F4-8F26-887C43D2A4C9}"/>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11FBCECA-56A8-4709-9500-F0DAE720DCDC}"/>
    <cellStyle name="20% - Accent4 4 3 2 3" xfId="11739" xr:uid="{3E04F6D6-3976-4CC4-9E3F-5C471C8148BB}"/>
    <cellStyle name="20% - Accent4 4 3 3" xfId="5362" xr:uid="{00000000-0005-0000-0000-000062020000}"/>
    <cellStyle name="20% - Accent4 4 3 3 2" xfId="13812" xr:uid="{9436EC6C-6231-4B23-8F70-88C7317ACCCE}"/>
    <cellStyle name="20% - Accent4 4 3 4" xfId="9594" xr:uid="{1AF0ACE3-4B04-4F31-8058-7F288CECB4AC}"/>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04C01AF3-8C25-4504-87EE-63F7FF597F03}"/>
    <cellStyle name="20% - Accent4 4 4 2 3" xfId="12152" xr:uid="{C91B3FBD-E603-46DD-9219-8A5B07550FBF}"/>
    <cellStyle name="20% - Accent4 4 4 3" xfId="5775" xr:uid="{00000000-0005-0000-0000-000066020000}"/>
    <cellStyle name="20% - Accent4 4 4 3 2" xfId="14225" xr:uid="{EB937551-46DC-442B-94A6-F7792E7939E5}"/>
    <cellStyle name="20% - Accent4 4 4 4" xfId="10007" xr:uid="{E56492FC-14A7-4B8B-ABFE-9DAE4283C2EA}"/>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DFD3330E-0AD6-4EE4-BD6C-0523CD33C384}"/>
    <cellStyle name="20% - Accent4 4 5 2 3" xfId="12565" xr:uid="{E9994A55-8E8E-4E59-A931-088ED7F140AA}"/>
    <cellStyle name="20% - Accent4 4 5 3" xfId="6188" xr:uid="{00000000-0005-0000-0000-00006A020000}"/>
    <cellStyle name="20% - Accent4 4 5 3 2" xfId="14638" xr:uid="{D299BE14-14DE-485B-BB91-9EDF88773D08}"/>
    <cellStyle name="20% - Accent4 4 5 4" xfId="10420" xr:uid="{5B7D4FBF-3F58-4D1C-AF6E-03463F0FAE4C}"/>
    <cellStyle name="20% - Accent4 4 6" xfId="2295" xr:uid="{00000000-0005-0000-0000-00006B020000}"/>
    <cellStyle name="20% - Accent4 4 6 2" xfId="6601" xr:uid="{00000000-0005-0000-0000-00006C020000}"/>
    <cellStyle name="20% - Accent4 4 6 2 2" xfId="15051" xr:uid="{0A0952C3-C173-412F-8AA1-F35CDC884B26}"/>
    <cellStyle name="20% - Accent4 4 6 3" xfId="10833" xr:uid="{A21077A7-9B3C-4968-9A1A-3DB2DD9CFD40}"/>
    <cellStyle name="20% - Accent4 4 7" xfId="4535" xr:uid="{00000000-0005-0000-0000-00006D020000}"/>
    <cellStyle name="20% - Accent4 4 7 2" xfId="12985" xr:uid="{FA4924CC-7DC7-4208-B629-AEB610A09332}"/>
    <cellStyle name="20% - Accent4 4 8" xfId="8767" xr:uid="{E7F5F6C6-0A45-4D2B-8E1C-DA00D32500EB}"/>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7048FCBD-76A6-4889-8730-A0D86C6ACC94}"/>
    <cellStyle name="20% - Accent4 5 2 3" xfId="11319" xr:uid="{AFABF49E-E7AA-4141-80CE-19AEB5B82CBD}"/>
    <cellStyle name="20% - Accent4 5 3" xfId="4942" xr:uid="{00000000-0005-0000-0000-000071020000}"/>
    <cellStyle name="20% - Accent4 5 3 2" xfId="13392" xr:uid="{F2B90A32-0CE5-4BC6-B889-35ADD36F5C6C}"/>
    <cellStyle name="20% - Accent4 5 4" xfId="9174" xr:uid="{311AA878-9555-4C8C-B43A-1AC81C018D48}"/>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0E5CBC3F-31C8-4CFC-B01E-66996AAD6F04}"/>
    <cellStyle name="20% - Accent4 6 2 3" xfId="11732" xr:uid="{D8477AA1-D906-4C77-8C52-67EC8DB839AF}"/>
    <cellStyle name="20% - Accent4 6 3" xfId="5355" xr:uid="{00000000-0005-0000-0000-000075020000}"/>
    <cellStyle name="20% - Accent4 6 3 2" xfId="13805" xr:uid="{65437FF5-3C7A-4B34-B2BA-CFCF2184643F}"/>
    <cellStyle name="20% - Accent4 6 4" xfId="9587" xr:uid="{58FB5891-707B-4668-AC0B-E23AA0FBB4D4}"/>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32DA57C3-8769-4045-94AC-23C151592EF7}"/>
    <cellStyle name="20% - Accent4 7 2 3" xfId="12145" xr:uid="{434F5324-F340-4903-B66E-022C2EB16AD8}"/>
    <cellStyle name="20% - Accent4 7 3" xfId="5768" xr:uid="{00000000-0005-0000-0000-000079020000}"/>
    <cellStyle name="20% - Accent4 7 3 2" xfId="14218" xr:uid="{F760242C-9A06-4473-B8AF-2912A30BACDB}"/>
    <cellStyle name="20% - Accent4 7 4" xfId="10000" xr:uid="{972F3445-2A34-4F24-BD5E-FBBEB26CEF53}"/>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80033042-7837-45BA-92BA-D014CA7E7C83}"/>
    <cellStyle name="20% - Accent4 8 2 3" xfId="12558" xr:uid="{671A08CF-AA26-44BB-9785-9C0285051EF1}"/>
    <cellStyle name="20% - Accent4 8 3" xfId="6181" xr:uid="{00000000-0005-0000-0000-00007D020000}"/>
    <cellStyle name="20% - Accent4 8 3 2" xfId="14631" xr:uid="{AD516D83-18E4-40A1-9393-09178D0D66D8}"/>
    <cellStyle name="20% - Accent4 8 4" xfId="10413" xr:uid="{C452CF03-EEEF-49C3-9D77-FC56A1008C6E}"/>
    <cellStyle name="20% - Accent4 9" xfId="2288" xr:uid="{00000000-0005-0000-0000-00007E020000}"/>
    <cellStyle name="20% - Accent4 9 2" xfId="6594" xr:uid="{00000000-0005-0000-0000-00007F020000}"/>
    <cellStyle name="20% - Accent4 9 2 2" xfId="15044" xr:uid="{A8B0144C-A5B7-4013-B680-0CF04CCA6175}"/>
    <cellStyle name="20% - Accent4 9 3" xfId="10826" xr:uid="{576B3A61-28A5-464F-87E1-7730280C1A74}"/>
    <cellStyle name="20% - Accent5" xfId="33" builtinId="46" customBuiltin="1"/>
    <cellStyle name="20% - Accent5 10" xfId="4536" xr:uid="{00000000-0005-0000-0000-000081020000}"/>
    <cellStyle name="20% - Accent5 10 2" xfId="12986" xr:uid="{CC695948-D332-4A26-9E12-4AB1194B99A5}"/>
    <cellStyle name="20% - Accent5 11" xfId="8768" xr:uid="{A3B18503-D0EC-4494-A300-E8A81BD68D07}"/>
    <cellStyle name="20% - Accent5 2" xfId="34" xr:uid="{00000000-0005-0000-0000-000082020000}"/>
    <cellStyle name="20% - Accent5 2 10" xfId="8769" xr:uid="{A26C9D15-378B-4866-B69B-0FC85BD37747}"/>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13E64BA1-5A64-4813-AF49-D6F64C0C364E}"/>
    <cellStyle name="20% - Accent5 2 2 2 2 2 3" xfId="11330" xr:uid="{A345C4C3-8DB1-4F4D-AE43-334A4F919874}"/>
    <cellStyle name="20% - Accent5 2 2 2 2 3" xfId="4953" xr:uid="{00000000-0005-0000-0000-000088020000}"/>
    <cellStyle name="20% - Accent5 2 2 2 2 3 2" xfId="13403" xr:uid="{6F28106E-1E3E-471F-9BC0-D915C7963FB2}"/>
    <cellStyle name="20% - Accent5 2 2 2 2 4" xfId="9185" xr:uid="{C41F2CC7-0EC3-4B3C-A076-10709C19FD6E}"/>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A52BEF25-5F5F-4534-BCDF-51FEFE98E05D}"/>
    <cellStyle name="20% - Accent5 2 2 2 3 2 3" xfId="11743" xr:uid="{7D21CFAA-9E32-4A58-98A4-283B6E71C5F8}"/>
    <cellStyle name="20% - Accent5 2 2 2 3 3" xfId="5366" xr:uid="{00000000-0005-0000-0000-00008C020000}"/>
    <cellStyle name="20% - Accent5 2 2 2 3 3 2" xfId="13816" xr:uid="{7C696BFA-EFB3-40C9-BADE-EF86E67D2A0E}"/>
    <cellStyle name="20% - Accent5 2 2 2 3 4" xfId="9598" xr:uid="{8B843544-5722-43A2-BD03-B608BF6C4195}"/>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499C0922-8BF3-4911-8C68-9D0A41CBB1F3}"/>
    <cellStyle name="20% - Accent5 2 2 2 4 2 3" xfId="12156" xr:uid="{CE066EB5-7653-4227-8A22-C5EAA0B541C3}"/>
    <cellStyle name="20% - Accent5 2 2 2 4 3" xfId="5779" xr:uid="{00000000-0005-0000-0000-000090020000}"/>
    <cellStyle name="20% - Accent5 2 2 2 4 3 2" xfId="14229" xr:uid="{8300E15F-A30D-4081-B611-C869BCD756D5}"/>
    <cellStyle name="20% - Accent5 2 2 2 4 4" xfId="10011" xr:uid="{E6116144-4785-4AE4-A998-16DF0F0B8D0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E60E44AF-E9CB-43C6-BB71-04BC3BC965BA}"/>
    <cellStyle name="20% - Accent5 2 2 2 5 2 3" xfId="12569" xr:uid="{728B8136-51FF-4B13-8BB7-A287D0725956}"/>
    <cellStyle name="20% - Accent5 2 2 2 5 3" xfId="6192" xr:uid="{00000000-0005-0000-0000-000094020000}"/>
    <cellStyle name="20% - Accent5 2 2 2 5 3 2" xfId="14642" xr:uid="{EDA458BC-4601-47BC-BD1A-9D839E574786}"/>
    <cellStyle name="20% - Accent5 2 2 2 5 4" xfId="10424" xr:uid="{3CEB6197-360D-44E1-B616-3EEE2405EDBA}"/>
    <cellStyle name="20% - Accent5 2 2 2 6" xfId="2299" xr:uid="{00000000-0005-0000-0000-000095020000}"/>
    <cellStyle name="20% - Accent5 2 2 2 6 2" xfId="6605" xr:uid="{00000000-0005-0000-0000-000096020000}"/>
    <cellStyle name="20% - Accent5 2 2 2 6 2 2" xfId="15055" xr:uid="{45257A08-0EF9-4C84-A642-F4A9C858DBAA}"/>
    <cellStyle name="20% - Accent5 2 2 2 6 3" xfId="10837" xr:uid="{D641D9E7-78E5-40DA-BB79-60659BF0B187}"/>
    <cellStyle name="20% - Accent5 2 2 2 7" xfId="4539" xr:uid="{00000000-0005-0000-0000-000097020000}"/>
    <cellStyle name="20% - Accent5 2 2 2 7 2" xfId="12989" xr:uid="{57CEDA03-9883-432C-907A-82D5E3C62045}"/>
    <cellStyle name="20% - Accent5 2 2 2 8" xfId="8771" xr:uid="{A404E28D-C612-45E4-8761-513CCC4B1784}"/>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545E4E25-7484-4C79-8D0A-D2A1E316E312}"/>
    <cellStyle name="20% - Accent5 2 2 3 2 3" xfId="11329" xr:uid="{18650637-A3B7-4007-934C-ACF8E34FBB48}"/>
    <cellStyle name="20% - Accent5 2 2 3 3" xfId="4952" xr:uid="{00000000-0005-0000-0000-00009B020000}"/>
    <cellStyle name="20% - Accent5 2 2 3 3 2" xfId="13402" xr:uid="{8F7BFAF5-9DE4-4DD1-BD4B-26C1AB0BFAD0}"/>
    <cellStyle name="20% - Accent5 2 2 3 4" xfId="9184" xr:uid="{BDECC743-B55C-4F84-A854-E401379EB044}"/>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62635B6C-8F7A-45E0-A53B-059639844D26}"/>
    <cellStyle name="20% - Accent5 2 2 4 2 3" xfId="11742" xr:uid="{2C9D1858-192A-4283-843E-47B142C50B8C}"/>
    <cellStyle name="20% - Accent5 2 2 4 3" xfId="5365" xr:uid="{00000000-0005-0000-0000-00009F020000}"/>
    <cellStyle name="20% - Accent5 2 2 4 3 2" xfId="13815" xr:uid="{6C6BD34B-0B7C-46F0-BDC3-E615D82ACF46}"/>
    <cellStyle name="20% - Accent5 2 2 4 4" xfId="9597" xr:uid="{E22CF026-DD11-421E-A25D-E386AB7F82BF}"/>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20DAAEB2-02E0-4206-9AA1-E6545244A78D}"/>
    <cellStyle name="20% - Accent5 2 2 5 2 3" xfId="12155" xr:uid="{D2AA4055-A50F-4E67-88DE-AE44D29E5752}"/>
    <cellStyle name="20% - Accent5 2 2 5 3" xfId="5778" xr:uid="{00000000-0005-0000-0000-0000A3020000}"/>
    <cellStyle name="20% - Accent5 2 2 5 3 2" xfId="14228" xr:uid="{C7D0AC41-A4FD-414F-B151-B8F692EB72A6}"/>
    <cellStyle name="20% - Accent5 2 2 5 4" xfId="10010" xr:uid="{4A3D3FD7-D443-4311-A10D-BDB3B55B264C}"/>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9400FAA1-08ED-45FB-A365-C90AEFBBA9F9}"/>
    <cellStyle name="20% - Accent5 2 2 6 2 3" xfId="12568" xr:uid="{C85454ED-92D3-477A-8B5E-4B736BEFB7FC}"/>
    <cellStyle name="20% - Accent5 2 2 6 3" xfId="6191" xr:uid="{00000000-0005-0000-0000-0000A7020000}"/>
    <cellStyle name="20% - Accent5 2 2 6 3 2" xfId="14641" xr:uid="{A07A5B75-7539-4231-B23E-29EC4EFFFCD3}"/>
    <cellStyle name="20% - Accent5 2 2 6 4" xfId="10423" xr:uid="{7B54E7C1-7DC7-4265-B97B-F53C07477E38}"/>
    <cellStyle name="20% - Accent5 2 2 7" xfId="2298" xr:uid="{00000000-0005-0000-0000-0000A8020000}"/>
    <cellStyle name="20% - Accent5 2 2 7 2" xfId="6604" xr:uid="{00000000-0005-0000-0000-0000A9020000}"/>
    <cellStyle name="20% - Accent5 2 2 7 2 2" xfId="15054" xr:uid="{03ABC7DF-B6CB-4B78-8B34-56768872E237}"/>
    <cellStyle name="20% - Accent5 2 2 7 3" xfId="10836" xr:uid="{F9A052BE-CF76-43AA-852A-AC054E057848}"/>
    <cellStyle name="20% - Accent5 2 2 8" xfId="4538" xr:uid="{00000000-0005-0000-0000-0000AA020000}"/>
    <cellStyle name="20% - Accent5 2 2 8 2" xfId="12988" xr:uid="{FB28BEBF-3768-428D-B1DE-EAC37CE3BFC4}"/>
    <cellStyle name="20% - Accent5 2 2 9" xfId="8770" xr:uid="{703C4E58-A33C-4988-BF9E-2EB8754EED74}"/>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16D8CE3A-3DA4-4BEE-9546-BAE204DBDC1A}"/>
    <cellStyle name="20% - Accent5 2 3 2 2 3" xfId="11331" xr:uid="{4F75F3F6-2605-4EDF-9459-5CA10C90A75A}"/>
    <cellStyle name="20% - Accent5 2 3 2 3" xfId="4954" xr:uid="{00000000-0005-0000-0000-0000AF020000}"/>
    <cellStyle name="20% - Accent5 2 3 2 3 2" xfId="13404" xr:uid="{35FC4FB0-AAEC-4674-8856-B882C8050297}"/>
    <cellStyle name="20% - Accent5 2 3 2 4" xfId="9186" xr:uid="{245CA063-A0D5-4C51-9924-6E37F4031E25}"/>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45A292F9-890C-42EC-A5DA-FBF09A58E843}"/>
    <cellStyle name="20% - Accent5 2 3 3 2 3" xfId="11744" xr:uid="{128410DD-8A06-4D23-866E-F477FBF50A03}"/>
    <cellStyle name="20% - Accent5 2 3 3 3" xfId="5367" xr:uid="{00000000-0005-0000-0000-0000B3020000}"/>
    <cellStyle name="20% - Accent5 2 3 3 3 2" xfId="13817" xr:uid="{2A8E5D55-A60B-487C-AD72-6FA5136CDFBB}"/>
    <cellStyle name="20% - Accent5 2 3 3 4" xfId="9599" xr:uid="{58A53AFC-CC35-40B4-9E41-1807EE0BCEDB}"/>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3737EC9F-5226-426B-A89F-EDA65D7CB882}"/>
    <cellStyle name="20% - Accent5 2 3 4 2 3" xfId="12157" xr:uid="{56FE7F80-5A2B-45B8-81D2-19EE461FB7B9}"/>
    <cellStyle name="20% - Accent5 2 3 4 3" xfId="5780" xr:uid="{00000000-0005-0000-0000-0000B7020000}"/>
    <cellStyle name="20% - Accent5 2 3 4 3 2" xfId="14230" xr:uid="{E8C4C336-C9C7-4399-A3C0-54BD2288D186}"/>
    <cellStyle name="20% - Accent5 2 3 4 4" xfId="10012" xr:uid="{FD4BAC4C-E788-435B-93C0-8E09A8DCB8DD}"/>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AFF68744-8677-4A0A-AD8F-50CAE612F736}"/>
    <cellStyle name="20% - Accent5 2 3 5 2 3" xfId="12570" xr:uid="{BF0CD20F-610F-4C20-A669-70181D12C11F}"/>
    <cellStyle name="20% - Accent5 2 3 5 3" xfId="6193" xr:uid="{00000000-0005-0000-0000-0000BB020000}"/>
    <cellStyle name="20% - Accent5 2 3 5 3 2" xfId="14643" xr:uid="{DEFCF600-00FA-4669-840B-F6B3B8055AE9}"/>
    <cellStyle name="20% - Accent5 2 3 5 4" xfId="10425" xr:uid="{62377125-5526-4399-98BC-B3DE6324EEEB}"/>
    <cellStyle name="20% - Accent5 2 3 6" xfId="2300" xr:uid="{00000000-0005-0000-0000-0000BC020000}"/>
    <cellStyle name="20% - Accent5 2 3 6 2" xfId="6606" xr:uid="{00000000-0005-0000-0000-0000BD020000}"/>
    <cellStyle name="20% - Accent5 2 3 6 2 2" xfId="15056" xr:uid="{585E96EF-EF60-46C3-9D5A-0AF829E5155A}"/>
    <cellStyle name="20% - Accent5 2 3 6 3" xfId="10838" xr:uid="{ED98F4C7-004D-4D97-A537-5A091C58ADAF}"/>
    <cellStyle name="20% - Accent5 2 3 7" xfId="4540" xr:uid="{00000000-0005-0000-0000-0000BE020000}"/>
    <cellStyle name="20% - Accent5 2 3 7 2" xfId="12990" xr:uid="{CB2244D0-C73A-4C88-9843-600F492D7165}"/>
    <cellStyle name="20% - Accent5 2 3 8" xfId="8772" xr:uid="{804EB4F3-82CD-42D8-94A2-4C1CC1764F2C}"/>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D4813ED4-A141-4A4F-9B82-91681AB127AE}"/>
    <cellStyle name="20% - Accent5 2 4 2 3" xfId="11328" xr:uid="{70BABCC6-55A5-44D7-BCEE-D570340F9B72}"/>
    <cellStyle name="20% - Accent5 2 4 3" xfId="4951" xr:uid="{00000000-0005-0000-0000-0000C2020000}"/>
    <cellStyle name="20% - Accent5 2 4 3 2" xfId="13401" xr:uid="{02B5FB8F-BD3C-4D7F-9970-EE44C3AA318A}"/>
    <cellStyle name="20% - Accent5 2 4 4" xfId="9183" xr:uid="{09FB8063-3B24-4A1F-9106-4145F64E2B8B}"/>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E7408DC4-489A-4684-BDB5-4461DD51CC43}"/>
    <cellStyle name="20% - Accent5 2 5 2 3" xfId="11741" xr:uid="{AC4AE69B-1733-459C-B9B3-7C6AB61BB73A}"/>
    <cellStyle name="20% - Accent5 2 5 3" xfId="5364" xr:uid="{00000000-0005-0000-0000-0000C6020000}"/>
    <cellStyle name="20% - Accent5 2 5 3 2" xfId="13814" xr:uid="{125C615F-52EE-4D45-8297-DE9C03F5B818}"/>
    <cellStyle name="20% - Accent5 2 5 4" xfId="9596" xr:uid="{57090947-95DA-4FAD-AAFD-6E4669C174E9}"/>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E6EBCE33-F344-4CA6-AA79-107654AD4BBF}"/>
    <cellStyle name="20% - Accent5 2 6 2 3" xfId="12154" xr:uid="{A1C3CA3E-CECA-42F7-8280-619AFF55B6FF}"/>
    <cellStyle name="20% - Accent5 2 6 3" xfId="5777" xr:uid="{00000000-0005-0000-0000-0000CA020000}"/>
    <cellStyle name="20% - Accent5 2 6 3 2" xfId="14227" xr:uid="{EE6FE182-B084-41EA-8909-ACE5A4972080}"/>
    <cellStyle name="20% - Accent5 2 6 4" xfId="10009" xr:uid="{843485FB-8C81-4BA2-8191-9BB23F2437FA}"/>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3C2FF4BA-8231-4094-BD9E-FA2710E42A34}"/>
    <cellStyle name="20% - Accent5 2 7 2 3" xfId="12567" xr:uid="{AFA08EC3-E191-4E34-9E32-A2398F7D3DBF}"/>
    <cellStyle name="20% - Accent5 2 7 3" xfId="6190" xr:uid="{00000000-0005-0000-0000-0000CE020000}"/>
    <cellStyle name="20% - Accent5 2 7 3 2" xfId="14640" xr:uid="{383A1B40-BBAC-4B7F-8732-8EFDD72AFD7D}"/>
    <cellStyle name="20% - Accent5 2 7 4" xfId="10422" xr:uid="{431EEE85-FF1F-4F40-8E60-C3B6AF9CE77C}"/>
    <cellStyle name="20% - Accent5 2 8" xfId="2297" xr:uid="{00000000-0005-0000-0000-0000CF020000}"/>
    <cellStyle name="20% - Accent5 2 8 2" xfId="6603" xr:uid="{00000000-0005-0000-0000-0000D0020000}"/>
    <cellStyle name="20% - Accent5 2 8 2 2" xfId="15053" xr:uid="{FC9BD747-D032-4E24-A1EC-9CDC72EA458D}"/>
    <cellStyle name="20% - Accent5 2 8 3" xfId="10835" xr:uid="{EB9871E1-DC6A-40EB-86A5-098BAAB27A30}"/>
    <cellStyle name="20% - Accent5 2 9" xfId="4537" xr:uid="{00000000-0005-0000-0000-0000D1020000}"/>
    <cellStyle name="20% - Accent5 2 9 2" xfId="12987" xr:uid="{E92B7C8F-5D8D-422D-B59F-46C214AC13B2}"/>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D72C3663-CE20-45CF-A9A0-28A633F55F66}"/>
    <cellStyle name="20% - Accent5 3 2 2 2 3" xfId="11333" xr:uid="{2BDFDF90-5D13-44F7-BFDA-82EEE1014F67}"/>
    <cellStyle name="20% - Accent5 3 2 2 3" xfId="4956" xr:uid="{00000000-0005-0000-0000-0000D7020000}"/>
    <cellStyle name="20% - Accent5 3 2 2 3 2" xfId="13406" xr:uid="{E5E969E1-77A9-4569-B655-D4A50512404D}"/>
    <cellStyle name="20% - Accent5 3 2 2 4" xfId="9188" xr:uid="{4C21098E-9941-406E-836F-E857CC2B367C}"/>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12D252B3-2E14-406B-B0B1-E31C97D36CB6}"/>
    <cellStyle name="20% - Accent5 3 2 3 2 3" xfId="11746" xr:uid="{EBFA80E8-6930-4FA7-B410-56D9EACC0520}"/>
    <cellStyle name="20% - Accent5 3 2 3 3" xfId="5369" xr:uid="{00000000-0005-0000-0000-0000DB020000}"/>
    <cellStyle name="20% - Accent5 3 2 3 3 2" xfId="13819" xr:uid="{E59E7264-B6AB-475B-8417-DD338BB866F4}"/>
    <cellStyle name="20% - Accent5 3 2 3 4" xfId="9601" xr:uid="{C97E8793-24E0-4FED-BBE0-11B447D39234}"/>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8D352640-3E30-447A-8E7F-5A17EBAF300F}"/>
    <cellStyle name="20% - Accent5 3 2 4 2 3" xfId="12159" xr:uid="{4EB330F6-A4CD-408E-A0A5-50A56FC733E1}"/>
    <cellStyle name="20% - Accent5 3 2 4 3" xfId="5782" xr:uid="{00000000-0005-0000-0000-0000DF020000}"/>
    <cellStyle name="20% - Accent5 3 2 4 3 2" xfId="14232" xr:uid="{890D63A2-0046-4E2F-91D9-6DD541AFBDA1}"/>
    <cellStyle name="20% - Accent5 3 2 4 4" xfId="10014" xr:uid="{6AEBCD31-5B3F-44FF-BF43-73311860AC5D}"/>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BB9DEB1E-28FE-4B60-9BC0-49A524C6AE9B}"/>
    <cellStyle name="20% - Accent5 3 2 5 2 3" xfId="12572" xr:uid="{6274465D-0A98-4CE3-AA37-63AFA5E04C2F}"/>
    <cellStyle name="20% - Accent5 3 2 5 3" xfId="6195" xr:uid="{00000000-0005-0000-0000-0000E3020000}"/>
    <cellStyle name="20% - Accent5 3 2 5 3 2" xfId="14645" xr:uid="{F465974A-A654-428B-9BC7-C3139185B11A}"/>
    <cellStyle name="20% - Accent5 3 2 5 4" xfId="10427" xr:uid="{C3FD4A53-E197-4671-AF23-4EFA9627A2E7}"/>
    <cellStyle name="20% - Accent5 3 2 6" xfId="2302" xr:uid="{00000000-0005-0000-0000-0000E4020000}"/>
    <cellStyle name="20% - Accent5 3 2 6 2" xfId="6608" xr:uid="{00000000-0005-0000-0000-0000E5020000}"/>
    <cellStyle name="20% - Accent5 3 2 6 2 2" xfId="15058" xr:uid="{64CE5CA6-C64F-4E6F-96BA-3EABF0B288A0}"/>
    <cellStyle name="20% - Accent5 3 2 6 3" xfId="10840" xr:uid="{4C8714DB-5272-42A1-823D-C084592701A2}"/>
    <cellStyle name="20% - Accent5 3 2 7" xfId="4542" xr:uid="{00000000-0005-0000-0000-0000E6020000}"/>
    <cellStyle name="20% - Accent5 3 2 7 2" xfId="12992" xr:uid="{502D8850-A9DB-4718-89B2-51D84F0D0D96}"/>
    <cellStyle name="20% - Accent5 3 2 8" xfId="8774" xr:uid="{4B2CE922-758B-4DBE-82C1-A5BF94647E7F}"/>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09DBFEA2-AC76-42C6-93CA-5FEF0383EEC0}"/>
    <cellStyle name="20% - Accent5 3 3 2 3" xfId="11332" xr:uid="{DC9B6672-90EC-420F-83EF-2E0CDEBEA8E0}"/>
    <cellStyle name="20% - Accent5 3 3 3" xfId="4955" xr:uid="{00000000-0005-0000-0000-0000EA020000}"/>
    <cellStyle name="20% - Accent5 3 3 3 2" xfId="13405" xr:uid="{D77A9D23-0B4E-4014-9F85-80B841115195}"/>
    <cellStyle name="20% - Accent5 3 3 4" xfId="9187" xr:uid="{8FD6BA63-4CB6-4FBD-8975-993F14CF40EA}"/>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0BD51500-AE1C-4504-9BC6-CB4ACB3FC28A}"/>
    <cellStyle name="20% - Accent5 3 4 2 3" xfId="11745" xr:uid="{4BA39647-48CD-49A4-A86F-4BF04C620CD4}"/>
    <cellStyle name="20% - Accent5 3 4 3" xfId="5368" xr:uid="{00000000-0005-0000-0000-0000EE020000}"/>
    <cellStyle name="20% - Accent5 3 4 3 2" xfId="13818" xr:uid="{6B113775-C232-4934-9FCB-3CC4477DB60D}"/>
    <cellStyle name="20% - Accent5 3 4 4" xfId="9600" xr:uid="{7DE22FEB-ED0D-478F-8191-ADF7B72ABF05}"/>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9AA9EF97-48BC-41EE-AE92-C5791E8C2AEC}"/>
    <cellStyle name="20% - Accent5 3 5 2 3" xfId="12158" xr:uid="{0F94BA0D-F281-4E90-A3DF-3A0D4BB6F655}"/>
    <cellStyle name="20% - Accent5 3 5 3" xfId="5781" xr:uid="{00000000-0005-0000-0000-0000F2020000}"/>
    <cellStyle name="20% - Accent5 3 5 3 2" xfId="14231" xr:uid="{EB63DA3B-EB65-4633-8D26-1572B5E1453B}"/>
    <cellStyle name="20% - Accent5 3 5 4" xfId="10013" xr:uid="{0AF0139F-2666-4C0C-9974-8F356BDB480D}"/>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DF636AD2-F6EA-42CB-B2BB-B7B8B2725E34}"/>
    <cellStyle name="20% - Accent5 3 6 2 3" xfId="12571" xr:uid="{6779AD4B-0ABD-4313-88BC-0BB1A82D896D}"/>
    <cellStyle name="20% - Accent5 3 6 3" xfId="6194" xr:uid="{00000000-0005-0000-0000-0000F6020000}"/>
    <cellStyle name="20% - Accent5 3 6 3 2" xfId="14644" xr:uid="{D749478C-527A-4A71-A523-458E08BD0AF3}"/>
    <cellStyle name="20% - Accent5 3 6 4" xfId="10426" xr:uid="{7534087A-6492-4F3D-99BC-214EDD696417}"/>
    <cellStyle name="20% - Accent5 3 7" xfId="2301" xr:uid="{00000000-0005-0000-0000-0000F7020000}"/>
    <cellStyle name="20% - Accent5 3 7 2" xfId="6607" xr:uid="{00000000-0005-0000-0000-0000F8020000}"/>
    <cellStyle name="20% - Accent5 3 7 2 2" xfId="15057" xr:uid="{358912FF-6B04-4D41-987A-33AC0592C949}"/>
    <cellStyle name="20% - Accent5 3 7 3" xfId="10839" xr:uid="{2B4BAA6D-465F-4A45-A9E8-5E7BECE72EF5}"/>
    <cellStyle name="20% - Accent5 3 8" xfId="4541" xr:uid="{00000000-0005-0000-0000-0000F9020000}"/>
    <cellStyle name="20% - Accent5 3 8 2" xfId="12991" xr:uid="{B760FB36-600B-4F25-BA75-CA8295366EBA}"/>
    <cellStyle name="20% - Accent5 3 9" xfId="8773" xr:uid="{36C1A42A-257C-4616-9EDB-DC80BF44E173}"/>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A7A688A7-DDD7-4DCC-9CC9-20F3A1B667EF}"/>
    <cellStyle name="20% - Accent5 4 2 2 3" xfId="11334" xr:uid="{4FF8EFDD-0B79-4DA6-BD5D-7CFC99F0C113}"/>
    <cellStyle name="20% - Accent5 4 2 3" xfId="4957" xr:uid="{00000000-0005-0000-0000-0000FE020000}"/>
    <cellStyle name="20% - Accent5 4 2 3 2" xfId="13407" xr:uid="{21C6C252-E806-4AAD-8393-D3145663B403}"/>
    <cellStyle name="20% - Accent5 4 2 4" xfId="9189" xr:uid="{CCC90FE2-D38F-47A7-9EA5-9246E703D8B4}"/>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40605C5B-963D-45A4-89D9-043181D4FB1E}"/>
    <cellStyle name="20% - Accent5 4 3 2 3" xfId="11747" xr:uid="{CD100CE8-A2DD-435A-AAA3-8912A46E215E}"/>
    <cellStyle name="20% - Accent5 4 3 3" xfId="5370" xr:uid="{00000000-0005-0000-0000-000002030000}"/>
    <cellStyle name="20% - Accent5 4 3 3 2" xfId="13820" xr:uid="{1A851F59-6545-4C58-8A80-7B88714547FA}"/>
    <cellStyle name="20% - Accent5 4 3 4" xfId="9602" xr:uid="{C8598007-127C-4856-8894-337C987741D8}"/>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7D6CB6CD-7A70-4DAE-AB37-29180646459F}"/>
    <cellStyle name="20% - Accent5 4 4 2 3" xfId="12160" xr:uid="{FA4B02A2-B501-4F6C-B289-AD42D9CB40D9}"/>
    <cellStyle name="20% - Accent5 4 4 3" xfId="5783" xr:uid="{00000000-0005-0000-0000-000006030000}"/>
    <cellStyle name="20% - Accent5 4 4 3 2" xfId="14233" xr:uid="{B4D251F0-4017-48D6-9C1C-A83F2764791D}"/>
    <cellStyle name="20% - Accent5 4 4 4" xfId="10015" xr:uid="{5DD86839-9084-47D1-B66A-C856E55F99F8}"/>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A8F2B055-4B3F-4F6D-8D4A-AE181190FE7C}"/>
    <cellStyle name="20% - Accent5 4 5 2 3" xfId="12573" xr:uid="{CEAF1C42-384D-40FA-AAE9-562F14C4FA66}"/>
    <cellStyle name="20% - Accent5 4 5 3" xfId="6196" xr:uid="{00000000-0005-0000-0000-00000A030000}"/>
    <cellStyle name="20% - Accent5 4 5 3 2" xfId="14646" xr:uid="{1B4D150E-7F99-48BE-9273-377FF2627D7E}"/>
    <cellStyle name="20% - Accent5 4 5 4" xfId="10428" xr:uid="{BEB204A1-EAB8-4E12-BE25-D5FA31F47BEC}"/>
    <cellStyle name="20% - Accent5 4 6" xfId="2303" xr:uid="{00000000-0005-0000-0000-00000B030000}"/>
    <cellStyle name="20% - Accent5 4 6 2" xfId="6609" xr:uid="{00000000-0005-0000-0000-00000C030000}"/>
    <cellStyle name="20% - Accent5 4 6 2 2" xfId="15059" xr:uid="{340A7F03-8B88-4BAC-87FB-CDF0405ABE9E}"/>
    <cellStyle name="20% - Accent5 4 6 3" xfId="10841" xr:uid="{0EBE1998-9AAF-4D27-A9F4-FB5D92F4AAD1}"/>
    <cellStyle name="20% - Accent5 4 7" xfId="4543" xr:uid="{00000000-0005-0000-0000-00000D030000}"/>
    <cellStyle name="20% - Accent5 4 7 2" xfId="12993" xr:uid="{6DEB3CD8-51B4-42C9-B46B-391696AC4F28}"/>
    <cellStyle name="20% - Accent5 4 8" xfId="8775" xr:uid="{933DBCDF-4D50-49D3-BBDB-7EA07F3B8C44}"/>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8FBE7C83-CC6C-426A-B410-7F75C8FFB2DD}"/>
    <cellStyle name="20% - Accent5 5 2 3" xfId="11327" xr:uid="{B7907C20-2F71-46B0-8945-1FB167AE3EF6}"/>
    <cellStyle name="20% - Accent5 5 3" xfId="4950" xr:uid="{00000000-0005-0000-0000-000011030000}"/>
    <cellStyle name="20% - Accent5 5 3 2" xfId="13400" xr:uid="{60B8C36B-CE11-4708-ACB3-C550CA58077C}"/>
    <cellStyle name="20% - Accent5 5 4" xfId="9182" xr:uid="{7D3FB3DA-AEDD-44FE-AC1E-5820EBE72584}"/>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4E58E9E9-27D3-4D07-AB8A-F474A0B866F8}"/>
    <cellStyle name="20% - Accent5 6 2 3" xfId="11740" xr:uid="{FFDCE1F2-788C-4741-93C1-09299C046CD8}"/>
    <cellStyle name="20% - Accent5 6 3" xfId="5363" xr:uid="{00000000-0005-0000-0000-000015030000}"/>
    <cellStyle name="20% - Accent5 6 3 2" xfId="13813" xr:uid="{C4DA7961-F8CA-4A71-9EAB-02AC0779F4B0}"/>
    <cellStyle name="20% - Accent5 6 4" xfId="9595" xr:uid="{D2D622A1-4121-4B1E-B8CA-685C0952F516}"/>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BDEF5522-F5C4-41DE-B11A-43C21C97BC8D}"/>
    <cellStyle name="20% - Accent5 7 2 3" xfId="12153" xr:uid="{B4E1FDD9-799E-4659-8662-9F810BCF995D}"/>
    <cellStyle name="20% - Accent5 7 3" xfId="5776" xr:uid="{00000000-0005-0000-0000-000019030000}"/>
    <cellStyle name="20% - Accent5 7 3 2" xfId="14226" xr:uid="{4C642977-7B31-4824-956C-4325FBB59A67}"/>
    <cellStyle name="20% - Accent5 7 4" xfId="10008" xr:uid="{50E9EC40-CDAA-42D3-ABFC-61CBAA9515A2}"/>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F4AE9464-EB90-41C9-9E59-B5E42A2D49E2}"/>
    <cellStyle name="20% - Accent5 8 2 3" xfId="12566" xr:uid="{E777F722-7DFB-4823-9289-A68C4C9D0AE8}"/>
    <cellStyle name="20% - Accent5 8 3" xfId="6189" xr:uid="{00000000-0005-0000-0000-00001D030000}"/>
    <cellStyle name="20% - Accent5 8 3 2" xfId="14639" xr:uid="{B40D51CE-B9CC-4BED-AA10-EAED9F198A6F}"/>
    <cellStyle name="20% - Accent5 8 4" xfId="10421" xr:uid="{D7B9087B-C1CF-4908-BCE0-244E91FA7EA9}"/>
    <cellStyle name="20% - Accent5 9" xfId="2296" xr:uid="{00000000-0005-0000-0000-00001E030000}"/>
    <cellStyle name="20% - Accent5 9 2" xfId="6602" xr:uid="{00000000-0005-0000-0000-00001F030000}"/>
    <cellStyle name="20% - Accent5 9 2 2" xfId="15052" xr:uid="{D9FDA7F7-B183-4CDB-AC50-C074EF386ECA}"/>
    <cellStyle name="20% - Accent5 9 3" xfId="10834" xr:uid="{328A5F69-3E4E-420A-9F2A-931BE3B187E3}"/>
    <cellStyle name="20% - Accent6" xfId="41" builtinId="50" customBuiltin="1"/>
    <cellStyle name="20% - Accent6 10" xfId="4544" xr:uid="{00000000-0005-0000-0000-000021030000}"/>
    <cellStyle name="20% - Accent6 10 2" xfId="12994" xr:uid="{85143936-2AF0-4DD3-83B1-C7F6A5FBCE85}"/>
    <cellStyle name="20% - Accent6 11" xfId="8776" xr:uid="{A5728FDD-6364-430C-93FF-FE80BB01176E}"/>
    <cellStyle name="20% - Accent6 2" xfId="42" xr:uid="{00000000-0005-0000-0000-000022030000}"/>
    <cellStyle name="20% - Accent6 2 10" xfId="8777" xr:uid="{A255FFCC-B69C-452C-9620-248686D426C5}"/>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26C5E031-F4E9-40F2-AD1E-CE997084D926}"/>
    <cellStyle name="20% - Accent6 2 2 2 2 2 3" xfId="11338" xr:uid="{38822C02-4407-4DE4-AD97-708E135829C4}"/>
    <cellStyle name="20% - Accent6 2 2 2 2 3" xfId="4961" xr:uid="{00000000-0005-0000-0000-000028030000}"/>
    <cellStyle name="20% - Accent6 2 2 2 2 3 2" xfId="13411" xr:uid="{750183F4-CB6E-48A3-B6FA-D639B2ABF7DF}"/>
    <cellStyle name="20% - Accent6 2 2 2 2 4" xfId="9193" xr:uid="{C9BC8169-49F2-4ED8-BEE6-682ABDAE818E}"/>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E75A6654-C911-4183-B1AE-1B65D4887B82}"/>
    <cellStyle name="20% - Accent6 2 2 2 3 2 3" xfId="11751" xr:uid="{95C2A708-A2A4-4B6F-88AC-5FAD885F3CDA}"/>
    <cellStyle name="20% - Accent6 2 2 2 3 3" xfId="5374" xr:uid="{00000000-0005-0000-0000-00002C030000}"/>
    <cellStyle name="20% - Accent6 2 2 2 3 3 2" xfId="13824" xr:uid="{13A096A5-A9AC-420B-9DDD-1EC16D71734D}"/>
    <cellStyle name="20% - Accent6 2 2 2 3 4" xfId="9606" xr:uid="{5E88731E-246E-4928-93E6-DCEEDA6BD119}"/>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7B2D370B-FE10-4243-B851-64F5905ED7F6}"/>
    <cellStyle name="20% - Accent6 2 2 2 4 2 3" xfId="12164" xr:uid="{38953F4D-55D8-47DB-92F3-ECD0AE3103D1}"/>
    <cellStyle name="20% - Accent6 2 2 2 4 3" xfId="5787" xr:uid="{00000000-0005-0000-0000-000030030000}"/>
    <cellStyle name="20% - Accent6 2 2 2 4 3 2" xfId="14237" xr:uid="{604EA91E-6C5A-4BC7-84DA-6A7F5F35B49D}"/>
    <cellStyle name="20% - Accent6 2 2 2 4 4" xfId="10019" xr:uid="{9A4B085D-DAA2-4F5B-AD73-AFA83E5B841B}"/>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40565F74-622B-49CA-8DA7-4F1C6B6043AC}"/>
    <cellStyle name="20% - Accent6 2 2 2 5 2 3" xfId="12577" xr:uid="{75ADDE06-45F1-40EC-913B-750C1C092FA2}"/>
    <cellStyle name="20% - Accent6 2 2 2 5 3" xfId="6200" xr:uid="{00000000-0005-0000-0000-000034030000}"/>
    <cellStyle name="20% - Accent6 2 2 2 5 3 2" xfId="14650" xr:uid="{82FA0E7A-2976-4E50-8535-F4983726F026}"/>
    <cellStyle name="20% - Accent6 2 2 2 5 4" xfId="10432" xr:uid="{4DC8697B-03EC-4441-A319-16A5052AA470}"/>
    <cellStyle name="20% - Accent6 2 2 2 6" xfId="2307" xr:uid="{00000000-0005-0000-0000-000035030000}"/>
    <cellStyle name="20% - Accent6 2 2 2 6 2" xfId="6613" xr:uid="{00000000-0005-0000-0000-000036030000}"/>
    <cellStyle name="20% - Accent6 2 2 2 6 2 2" xfId="15063" xr:uid="{1B83030D-D6FB-4089-82FA-BE8027BE6FBD}"/>
    <cellStyle name="20% - Accent6 2 2 2 6 3" xfId="10845" xr:uid="{7A239DF0-8157-4E49-8712-E434C9320D86}"/>
    <cellStyle name="20% - Accent6 2 2 2 7" xfId="4547" xr:uid="{00000000-0005-0000-0000-000037030000}"/>
    <cellStyle name="20% - Accent6 2 2 2 7 2" xfId="12997" xr:uid="{0428EFC6-DDA7-430E-92BF-168BD277887C}"/>
    <cellStyle name="20% - Accent6 2 2 2 8" xfId="8779" xr:uid="{B82864A6-8500-4715-BF94-01ED17C2347D}"/>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C79A0C0A-5045-4C12-AD8A-6BD60D35E209}"/>
    <cellStyle name="20% - Accent6 2 2 3 2 3" xfId="11337" xr:uid="{406E0C92-D46D-48DE-997A-30161E2E5B46}"/>
    <cellStyle name="20% - Accent6 2 2 3 3" xfId="4960" xr:uid="{00000000-0005-0000-0000-00003B030000}"/>
    <cellStyle name="20% - Accent6 2 2 3 3 2" xfId="13410" xr:uid="{1D0EE987-8725-4520-B72A-209CCED0FD18}"/>
    <cellStyle name="20% - Accent6 2 2 3 4" xfId="9192" xr:uid="{60886A15-28EF-41BD-9816-EBB92D1E5AC2}"/>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8EF0D282-3BF8-40E8-81CB-BDAFB5C7B68B}"/>
    <cellStyle name="20% - Accent6 2 2 4 2 3" xfId="11750" xr:uid="{73E5F899-04C5-4541-88BE-4D1A5D8E7020}"/>
    <cellStyle name="20% - Accent6 2 2 4 3" xfId="5373" xr:uid="{00000000-0005-0000-0000-00003F030000}"/>
    <cellStyle name="20% - Accent6 2 2 4 3 2" xfId="13823" xr:uid="{38091FCA-963A-4092-ACCA-015740DB19A5}"/>
    <cellStyle name="20% - Accent6 2 2 4 4" xfId="9605" xr:uid="{A3AE7076-8659-4271-AB88-B9DE15D2847E}"/>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BD5E31D1-42C7-4726-951D-845728577D71}"/>
    <cellStyle name="20% - Accent6 2 2 5 2 3" xfId="12163" xr:uid="{1A2B1E0A-E03D-4157-A3BE-5355710AA5A7}"/>
    <cellStyle name="20% - Accent6 2 2 5 3" xfId="5786" xr:uid="{00000000-0005-0000-0000-000043030000}"/>
    <cellStyle name="20% - Accent6 2 2 5 3 2" xfId="14236" xr:uid="{58AB820E-93F5-4C62-A56E-C70FFB1A9C27}"/>
    <cellStyle name="20% - Accent6 2 2 5 4" xfId="10018" xr:uid="{55B083BD-948D-4D7B-81DC-0B94CCC37CB3}"/>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81B37F9F-2F78-4002-BA8A-98096343DB6D}"/>
    <cellStyle name="20% - Accent6 2 2 6 2 3" xfId="12576" xr:uid="{97EE16E4-87F2-4DC8-8170-5668183D87E3}"/>
    <cellStyle name="20% - Accent6 2 2 6 3" xfId="6199" xr:uid="{00000000-0005-0000-0000-000047030000}"/>
    <cellStyle name="20% - Accent6 2 2 6 3 2" xfId="14649" xr:uid="{B9E44CD3-FC87-4468-AE7A-A480CC40C7B9}"/>
    <cellStyle name="20% - Accent6 2 2 6 4" xfId="10431" xr:uid="{BFE31E4C-E3F2-4E2B-B868-5715DEC92ED3}"/>
    <cellStyle name="20% - Accent6 2 2 7" xfId="2306" xr:uid="{00000000-0005-0000-0000-000048030000}"/>
    <cellStyle name="20% - Accent6 2 2 7 2" xfId="6612" xr:uid="{00000000-0005-0000-0000-000049030000}"/>
    <cellStyle name="20% - Accent6 2 2 7 2 2" xfId="15062" xr:uid="{8BD0318F-DFED-441F-89C8-C5CACB38E17A}"/>
    <cellStyle name="20% - Accent6 2 2 7 3" xfId="10844" xr:uid="{3911CCFB-295F-45D4-A9F6-CE99BEE30B98}"/>
    <cellStyle name="20% - Accent6 2 2 8" xfId="4546" xr:uid="{00000000-0005-0000-0000-00004A030000}"/>
    <cellStyle name="20% - Accent6 2 2 8 2" xfId="12996" xr:uid="{70CA06C2-F30B-48E4-A349-3E4D8224D723}"/>
    <cellStyle name="20% - Accent6 2 2 9" xfId="8778" xr:uid="{3877D09A-FC8C-47E2-8432-C6AFDFCEE479}"/>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92D4BD3E-5D25-4AA9-9C99-6335E01A5C56}"/>
    <cellStyle name="20% - Accent6 2 3 2 2 3" xfId="11339" xr:uid="{15D6FDEA-0F85-4975-8179-501B886D2E86}"/>
    <cellStyle name="20% - Accent6 2 3 2 3" xfId="4962" xr:uid="{00000000-0005-0000-0000-00004F030000}"/>
    <cellStyle name="20% - Accent6 2 3 2 3 2" xfId="13412" xr:uid="{9F8CA875-86D1-42F0-BC33-E52349364972}"/>
    <cellStyle name="20% - Accent6 2 3 2 4" xfId="9194" xr:uid="{ED92BFAE-CCF7-40DC-A5C6-8BD83011EBD1}"/>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113B8E2B-DE0D-47BF-AAD0-66CF87990661}"/>
    <cellStyle name="20% - Accent6 2 3 3 2 3" xfId="11752" xr:uid="{8D74B0BB-6132-497C-98A3-BEE13BE221D2}"/>
    <cellStyle name="20% - Accent6 2 3 3 3" xfId="5375" xr:uid="{00000000-0005-0000-0000-000053030000}"/>
    <cellStyle name="20% - Accent6 2 3 3 3 2" xfId="13825" xr:uid="{227B4997-83B0-4A36-9615-5B83DE4D9061}"/>
    <cellStyle name="20% - Accent6 2 3 3 4" xfId="9607" xr:uid="{F67511F8-8355-40C2-8A3E-F712D2240EDA}"/>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B8745056-258F-4F7C-B673-17483007E46B}"/>
    <cellStyle name="20% - Accent6 2 3 4 2 3" xfId="12165" xr:uid="{F64970AE-A3C1-46EA-876E-0B83B057E74C}"/>
    <cellStyle name="20% - Accent6 2 3 4 3" xfId="5788" xr:uid="{00000000-0005-0000-0000-000057030000}"/>
    <cellStyle name="20% - Accent6 2 3 4 3 2" xfId="14238" xr:uid="{EB61CA1B-CB18-4B6C-8BC3-7F04B3C8F163}"/>
    <cellStyle name="20% - Accent6 2 3 4 4" xfId="10020" xr:uid="{DAF7C030-BB4B-4B05-9D3C-ACEA8B833417}"/>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D391483B-B02F-4078-8FF9-168AD53D930E}"/>
    <cellStyle name="20% - Accent6 2 3 5 2 3" xfId="12578" xr:uid="{2854B82C-14D2-4494-BE20-9BFF03998611}"/>
    <cellStyle name="20% - Accent6 2 3 5 3" xfId="6201" xr:uid="{00000000-0005-0000-0000-00005B030000}"/>
    <cellStyle name="20% - Accent6 2 3 5 3 2" xfId="14651" xr:uid="{521AEEE3-00E6-460B-9976-A223E6394E85}"/>
    <cellStyle name="20% - Accent6 2 3 5 4" xfId="10433" xr:uid="{5AB89756-7427-4659-B9BC-A50C4CA297B3}"/>
    <cellStyle name="20% - Accent6 2 3 6" xfId="2308" xr:uid="{00000000-0005-0000-0000-00005C030000}"/>
    <cellStyle name="20% - Accent6 2 3 6 2" xfId="6614" xr:uid="{00000000-0005-0000-0000-00005D030000}"/>
    <cellStyle name="20% - Accent6 2 3 6 2 2" xfId="15064" xr:uid="{A89211DF-0B4A-4EBF-B9B4-7D0E29EFA02D}"/>
    <cellStyle name="20% - Accent6 2 3 6 3" xfId="10846" xr:uid="{641CA9D8-C09B-420E-ABEE-F6BBD6334645}"/>
    <cellStyle name="20% - Accent6 2 3 7" xfId="4548" xr:uid="{00000000-0005-0000-0000-00005E030000}"/>
    <cellStyle name="20% - Accent6 2 3 7 2" xfId="12998" xr:uid="{29523342-969D-46F1-87ED-EDAAA82DB930}"/>
    <cellStyle name="20% - Accent6 2 3 8" xfId="8780" xr:uid="{63296351-F6EC-4E44-8FEC-5ED640F699E5}"/>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42D6ED78-1AA8-4D7E-8AE3-E7596F3401DE}"/>
    <cellStyle name="20% - Accent6 2 4 2 3" xfId="11336" xr:uid="{137C8A4A-9A51-413B-830E-92329EFE1A2B}"/>
    <cellStyle name="20% - Accent6 2 4 3" xfId="4959" xr:uid="{00000000-0005-0000-0000-000062030000}"/>
    <cellStyle name="20% - Accent6 2 4 3 2" xfId="13409" xr:uid="{125B6EB2-C01E-45F5-81DA-C02999FAB4D1}"/>
    <cellStyle name="20% - Accent6 2 4 4" xfId="9191" xr:uid="{2A253822-EFFC-4A63-8808-39FC0D723DE0}"/>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683C403E-9C19-4963-B296-4FF8D6D33F2C}"/>
    <cellStyle name="20% - Accent6 2 5 2 3" xfId="11749" xr:uid="{B8B4F74F-AD11-4F64-B25A-4841DD68845F}"/>
    <cellStyle name="20% - Accent6 2 5 3" xfId="5372" xr:uid="{00000000-0005-0000-0000-000066030000}"/>
    <cellStyle name="20% - Accent6 2 5 3 2" xfId="13822" xr:uid="{81E1533A-CA87-4701-A52F-6A79908FA411}"/>
    <cellStyle name="20% - Accent6 2 5 4" xfId="9604" xr:uid="{A6BB8B9C-8385-47CB-9C1B-6BE0254B735F}"/>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5A4D8AB0-AFF6-44B9-8E33-206BA2081530}"/>
    <cellStyle name="20% - Accent6 2 6 2 3" xfId="12162" xr:uid="{9CE16A5E-64CE-49D4-A94F-60DFED1257DF}"/>
    <cellStyle name="20% - Accent6 2 6 3" xfId="5785" xr:uid="{00000000-0005-0000-0000-00006A030000}"/>
    <cellStyle name="20% - Accent6 2 6 3 2" xfId="14235" xr:uid="{BDD1795D-6D0D-491B-A309-67D58250097C}"/>
    <cellStyle name="20% - Accent6 2 6 4" xfId="10017" xr:uid="{5394BBDB-3979-484A-BA21-AEECBED27BB1}"/>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F55C57F2-B77C-4421-B195-DE3DCC2C5C05}"/>
    <cellStyle name="20% - Accent6 2 7 2 3" xfId="12575" xr:uid="{85109340-59C8-49E0-AD9A-DB35F497EF63}"/>
    <cellStyle name="20% - Accent6 2 7 3" xfId="6198" xr:uid="{00000000-0005-0000-0000-00006E030000}"/>
    <cellStyle name="20% - Accent6 2 7 3 2" xfId="14648" xr:uid="{94123FA4-CF40-4728-A828-C13B4A15A69C}"/>
    <cellStyle name="20% - Accent6 2 7 4" xfId="10430" xr:uid="{815FE283-3E08-47BF-BC21-16962C26EE65}"/>
    <cellStyle name="20% - Accent6 2 8" xfId="2305" xr:uid="{00000000-0005-0000-0000-00006F030000}"/>
    <cellStyle name="20% - Accent6 2 8 2" xfId="6611" xr:uid="{00000000-0005-0000-0000-000070030000}"/>
    <cellStyle name="20% - Accent6 2 8 2 2" xfId="15061" xr:uid="{4644581F-6322-4D76-814E-5E7B5ED39769}"/>
    <cellStyle name="20% - Accent6 2 8 3" xfId="10843" xr:uid="{0D013D05-7FAD-4324-A3DA-4DF6C0DD82D6}"/>
    <cellStyle name="20% - Accent6 2 9" xfId="4545" xr:uid="{00000000-0005-0000-0000-000071030000}"/>
    <cellStyle name="20% - Accent6 2 9 2" xfId="12995" xr:uid="{60F116EF-A070-4D2B-A09C-D3DABC27B5FC}"/>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942E5EB0-E1EF-44FE-A1D0-C30454EF12F7}"/>
    <cellStyle name="20% - Accent6 3 2 2 2 3" xfId="11341" xr:uid="{7943F167-14DF-4A97-99FD-568F3AF9C39B}"/>
    <cellStyle name="20% - Accent6 3 2 2 3" xfId="4964" xr:uid="{00000000-0005-0000-0000-000077030000}"/>
    <cellStyle name="20% - Accent6 3 2 2 3 2" xfId="13414" xr:uid="{1DE228C3-21B3-469D-938F-5A67D204DD97}"/>
    <cellStyle name="20% - Accent6 3 2 2 4" xfId="9196" xr:uid="{B6FC19B7-3E06-4E6D-8187-793A6383BD38}"/>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50963A32-3A97-4E11-88E1-E1E3F11C5E6C}"/>
    <cellStyle name="20% - Accent6 3 2 3 2 3" xfId="11754" xr:uid="{CA47412F-8468-43DE-A371-80E01B698B3A}"/>
    <cellStyle name="20% - Accent6 3 2 3 3" xfId="5377" xr:uid="{00000000-0005-0000-0000-00007B030000}"/>
    <cellStyle name="20% - Accent6 3 2 3 3 2" xfId="13827" xr:uid="{C01D93E2-C48F-4775-95E4-0B2E0A342144}"/>
    <cellStyle name="20% - Accent6 3 2 3 4" xfId="9609" xr:uid="{E5343397-2715-4AA5-B793-22D6554BF411}"/>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AEB64AEB-E20F-4CB7-B65E-5EB07AC5EE3C}"/>
    <cellStyle name="20% - Accent6 3 2 4 2 3" xfId="12167" xr:uid="{847A3F80-0BE2-4D2E-90D7-2E300B107FF3}"/>
    <cellStyle name="20% - Accent6 3 2 4 3" xfId="5790" xr:uid="{00000000-0005-0000-0000-00007F030000}"/>
    <cellStyle name="20% - Accent6 3 2 4 3 2" xfId="14240" xr:uid="{750D003A-8B1C-48F1-8C0F-6EB1D8DEC3BC}"/>
    <cellStyle name="20% - Accent6 3 2 4 4" xfId="10022" xr:uid="{4390DFC4-BBD2-4C13-AD6A-190EA3106FEA}"/>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2F37754C-7BB4-4499-BD29-FAC778240ED9}"/>
    <cellStyle name="20% - Accent6 3 2 5 2 3" xfId="12580" xr:uid="{204C2AC4-0631-414B-83F2-61ADF83B6195}"/>
    <cellStyle name="20% - Accent6 3 2 5 3" xfId="6203" xr:uid="{00000000-0005-0000-0000-000083030000}"/>
    <cellStyle name="20% - Accent6 3 2 5 3 2" xfId="14653" xr:uid="{43EE1943-3EB8-42CE-B141-468A936D42A4}"/>
    <cellStyle name="20% - Accent6 3 2 5 4" xfId="10435" xr:uid="{EA1AE362-2CF6-4C93-B5EB-F919119BCCF4}"/>
    <cellStyle name="20% - Accent6 3 2 6" xfId="2310" xr:uid="{00000000-0005-0000-0000-000084030000}"/>
    <cellStyle name="20% - Accent6 3 2 6 2" xfId="6616" xr:uid="{00000000-0005-0000-0000-000085030000}"/>
    <cellStyle name="20% - Accent6 3 2 6 2 2" xfId="15066" xr:uid="{44241465-7E4A-42A9-9954-84E3BD0C4D83}"/>
    <cellStyle name="20% - Accent6 3 2 6 3" xfId="10848" xr:uid="{9FB4F491-A1EA-46BE-98D8-96FDCA507469}"/>
    <cellStyle name="20% - Accent6 3 2 7" xfId="4550" xr:uid="{00000000-0005-0000-0000-000086030000}"/>
    <cellStyle name="20% - Accent6 3 2 7 2" xfId="13000" xr:uid="{42A32CA7-84C6-401F-A683-BB488F087F30}"/>
    <cellStyle name="20% - Accent6 3 2 8" xfId="8782" xr:uid="{5DD0AF7E-226D-4B83-A63D-CF9E9DAD7565}"/>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CC048DC2-97C6-465A-A1F6-040E43F5C9CF}"/>
    <cellStyle name="20% - Accent6 3 3 2 3" xfId="11340" xr:uid="{C4874816-6421-4F16-A515-C5748F492517}"/>
    <cellStyle name="20% - Accent6 3 3 3" xfId="4963" xr:uid="{00000000-0005-0000-0000-00008A030000}"/>
    <cellStyle name="20% - Accent6 3 3 3 2" xfId="13413" xr:uid="{1B5DF5E9-784E-41E9-A440-2634BA247626}"/>
    <cellStyle name="20% - Accent6 3 3 4" xfId="9195" xr:uid="{3EC77A20-39C6-428D-AD9F-CF626D0B7570}"/>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D8CE5882-80CB-483E-BE78-6BCD36205ECA}"/>
    <cellStyle name="20% - Accent6 3 4 2 3" xfId="11753" xr:uid="{FB353118-9D9F-40E8-8A09-747B3111A6DB}"/>
    <cellStyle name="20% - Accent6 3 4 3" xfId="5376" xr:uid="{00000000-0005-0000-0000-00008E030000}"/>
    <cellStyle name="20% - Accent6 3 4 3 2" xfId="13826" xr:uid="{304563C1-420F-4C6C-AF81-87C0FC283F52}"/>
    <cellStyle name="20% - Accent6 3 4 4" xfId="9608" xr:uid="{5807D84C-E17A-47E9-A7C6-F6EEA5188BFD}"/>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CCB665DE-3248-440D-B5AE-DCDC955907E8}"/>
    <cellStyle name="20% - Accent6 3 5 2 3" xfId="12166" xr:uid="{06F21F18-21D1-4296-B264-FD1227DE8C91}"/>
    <cellStyle name="20% - Accent6 3 5 3" xfId="5789" xr:uid="{00000000-0005-0000-0000-000092030000}"/>
    <cellStyle name="20% - Accent6 3 5 3 2" xfId="14239" xr:uid="{D06D32BE-ACEB-4415-94E1-66AF86ED6513}"/>
    <cellStyle name="20% - Accent6 3 5 4" xfId="10021" xr:uid="{6E28FD25-B34C-43BD-97E1-9BC586FF512F}"/>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7AE701EE-00E7-4F7B-A6BF-52DBF782A338}"/>
    <cellStyle name="20% - Accent6 3 6 2 3" xfId="12579" xr:uid="{BC1D426A-27FF-4146-9BC9-D077EE0A589E}"/>
    <cellStyle name="20% - Accent6 3 6 3" xfId="6202" xr:uid="{00000000-0005-0000-0000-000096030000}"/>
    <cellStyle name="20% - Accent6 3 6 3 2" xfId="14652" xr:uid="{A05DD227-2E82-451F-88BB-D3E2399E04B0}"/>
    <cellStyle name="20% - Accent6 3 6 4" xfId="10434" xr:uid="{A24F6BEF-1614-469C-B5FD-D2AD415420E5}"/>
    <cellStyle name="20% - Accent6 3 7" xfId="2309" xr:uid="{00000000-0005-0000-0000-000097030000}"/>
    <cellStyle name="20% - Accent6 3 7 2" xfId="6615" xr:uid="{00000000-0005-0000-0000-000098030000}"/>
    <cellStyle name="20% - Accent6 3 7 2 2" xfId="15065" xr:uid="{63E0BF40-8239-47BC-9B9D-786138B14B4B}"/>
    <cellStyle name="20% - Accent6 3 7 3" xfId="10847" xr:uid="{1D0C67A6-8F50-4ACB-BC99-5EA897C1D1B7}"/>
    <cellStyle name="20% - Accent6 3 8" xfId="4549" xr:uid="{00000000-0005-0000-0000-000099030000}"/>
    <cellStyle name="20% - Accent6 3 8 2" xfId="12999" xr:uid="{ABF36568-817A-49BE-A8F7-2964FE430E92}"/>
    <cellStyle name="20% - Accent6 3 9" xfId="8781" xr:uid="{C73CA221-8930-459C-923F-AB9051458888}"/>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C67538ED-9194-4AAC-BE9C-B0CAE7D38AF6}"/>
    <cellStyle name="20% - Accent6 4 2 2 3" xfId="11342" xr:uid="{22663904-4F09-452F-9128-93B665C27E90}"/>
    <cellStyle name="20% - Accent6 4 2 3" xfId="4965" xr:uid="{00000000-0005-0000-0000-00009E030000}"/>
    <cellStyle name="20% - Accent6 4 2 3 2" xfId="13415" xr:uid="{FFE9CAF6-6671-4DC2-8198-37EF267D84A7}"/>
    <cellStyle name="20% - Accent6 4 2 4" xfId="9197" xr:uid="{31020F01-3E44-451F-9638-82946AB016C0}"/>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03D5C348-0502-42CE-B9C5-014A7E44DBA2}"/>
    <cellStyle name="20% - Accent6 4 3 2 3" xfId="11755" xr:uid="{2FF3EAAF-62C8-4EC8-9EAB-C12A8618C224}"/>
    <cellStyle name="20% - Accent6 4 3 3" xfId="5378" xr:uid="{00000000-0005-0000-0000-0000A2030000}"/>
    <cellStyle name="20% - Accent6 4 3 3 2" xfId="13828" xr:uid="{8768BCDF-C82E-4F73-A02A-6B36D8EE2631}"/>
    <cellStyle name="20% - Accent6 4 3 4" xfId="9610" xr:uid="{8BDE36F2-90CC-4D2B-84BA-6B05166D5173}"/>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A8E64E71-E913-45E0-998C-0F7298512D46}"/>
    <cellStyle name="20% - Accent6 4 4 2 3" xfId="12168" xr:uid="{7F08DF7E-4BA2-434D-8FE9-AEB12F0B7D8A}"/>
    <cellStyle name="20% - Accent6 4 4 3" xfId="5791" xr:uid="{00000000-0005-0000-0000-0000A6030000}"/>
    <cellStyle name="20% - Accent6 4 4 3 2" xfId="14241" xr:uid="{F81F50F9-F8DC-41D1-B13D-C7D71816AFF4}"/>
    <cellStyle name="20% - Accent6 4 4 4" xfId="10023" xr:uid="{128F7D97-87DC-439E-8482-74E4470C1C5D}"/>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11D0B543-7483-4711-8A7F-E59426C03EBB}"/>
    <cellStyle name="20% - Accent6 4 5 2 3" xfId="12581" xr:uid="{34CB3D01-9F6B-4ED6-AE18-36622DAA6BF7}"/>
    <cellStyle name="20% - Accent6 4 5 3" xfId="6204" xr:uid="{00000000-0005-0000-0000-0000AA030000}"/>
    <cellStyle name="20% - Accent6 4 5 3 2" xfId="14654" xr:uid="{8A6585C6-1897-48C9-9AC0-49F4E8CD09A8}"/>
    <cellStyle name="20% - Accent6 4 5 4" xfId="10436" xr:uid="{1A8C9B9B-FE2D-479B-8391-EF463355788F}"/>
    <cellStyle name="20% - Accent6 4 6" xfId="2311" xr:uid="{00000000-0005-0000-0000-0000AB030000}"/>
    <cellStyle name="20% - Accent6 4 6 2" xfId="6617" xr:uid="{00000000-0005-0000-0000-0000AC030000}"/>
    <cellStyle name="20% - Accent6 4 6 2 2" xfId="15067" xr:uid="{D83D823F-CEEB-43E6-9EF3-14C1FD722C4E}"/>
    <cellStyle name="20% - Accent6 4 6 3" xfId="10849" xr:uid="{1A55DBCE-524A-4DE5-B508-BB19E77A9963}"/>
    <cellStyle name="20% - Accent6 4 7" xfId="4551" xr:uid="{00000000-0005-0000-0000-0000AD030000}"/>
    <cellStyle name="20% - Accent6 4 7 2" xfId="13001" xr:uid="{3AB8C8FD-951E-4925-A243-CB7C1615F5A5}"/>
    <cellStyle name="20% - Accent6 4 8" xfId="8783" xr:uid="{6E89BDEA-8E83-4D5D-81E0-E0C698E9CBDD}"/>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D277EB20-FF95-46A7-B620-3B9365CD0228}"/>
    <cellStyle name="20% - Accent6 5 2 3" xfId="11335" xr:uid="{17A441C8-EBAB-4039-B661-10C1C76542BF}"/>
    <cellStyle name="20% - Accent6 5 3" xfId="4958" xr:uid="{00000000-0005-0000-0000-0000B1030000}"/>
    <cellStyle name="20% - Accent6 5 3 2" xfId="13408" xr:uid="{D49F00CB-A9FA-4869-A50F-CF70BEC02B98}"/>
    <cellStyle name="20% - Accent6 5 4" xfId="9190" xr:uid="{FE80F401-2348-4877-8111-77F9D5F9D25E}"/>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3A6B55C3-4575-429F-8BBC-ADC04465BCDD}"/>
    <cellStyle name="20% - Accent6 6 2 3" xfId="11748" xr:uid="{11C22DC4-9414-461A-9181-2DA49634329E}"/>
    <cellStyle name="20% - Accent6 6 3" xfId="5371" xr:uid="{00000000-0005-0000-0000-0000B5030000}"/>
    <cellStyle name="20% - Accent6 6 3 2" xfId="13821" xr:uid="{AD0B323D-6DE3-46B0-A71B-10D275A74993}"/>
    <cellStyle name="20% - Accent6 6 4" xfId="9603" xr:uid="{31724D1A-A7F2-4285-BD99-1E9D9010C93D}"/>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D34AD5CF-0579-4CE9-869A-B7B8743F5EA1}"/>
    <cellStyle name="20% - Accent6 7 2 3" xfId="12161" xr:uid="{23838D75-24AF-4AFE-8241-9ADAF6F37824}"/>
    <cellStyle name="20% - Accent6 7 3" xfId="5784" xr:uid="{00000000-0005-0000-0000-0000B9030000}"/>
    <cellStyle name="20% - Accent6 7 3 2" xfId="14234" xr:uid="{CE911063-89DC-4E57-9C15-E3EE96CA9F91}"/>
    <cellStyle name="20% - Accent6 7 4" xfId="10016" xr:uid="{4A210470-4711-4779-97B4-B72AE93ED27A}"/>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8690E894-1CB9-40FA-88C2-C41446E37DD8}"/>
    <cellStyle name="20% - Accent6 8 2 3" xfId="12574" xr:uid="{F4FC2E9A-5D7E-495E-BEAB-6D0687526AAF}"/>
    <cellStyle name="20% - Accent6 8 3" xfId="6197" xr:uid="{00000000-0005-0000-0000-0000BD030000}"/>
    <cellStyle name="20% - Accent6 8 3 2" xfId="14647" xr:uid="{3FC95F74-C34B-4187-8E40-6226CE424FED}"/>
    <cellStyle name="20% - Accent6 8 4" xfId="10429" xr:uid="{42460E54-88DF-4AF2-A895-838820AD9289}"/>
    <cellStyle name="20% - Accent6 9" xfId="2304" xr:uid="{00000000-0005-0000-0000-0000BE030000}"/>
    <cellStyle name="20% - Accent6 9 2" xfId="6610" xr:uid="{00000000-0005-0000-0000-0000BF030000}"/>
    <cellStyle name="20% - Accent6 9 2 2" xfId="15060" xr:uid="{7605015E-7F7D-448E-8047-4226B98E520D}"/>
    <cellStyle name="20% - Accent6 9 3" xfId="10842" xr:uid="{F4C0799D-7DD3-4BDF-A05D-851889497E8F}"/>
    <cellStyle name="40% - Accent1" xfId="49" builtinId="31" customBuiltin="1"/>
    <cellStyle name="40% - Accent1 10" xfId="4552" xr:uid="{00000000-0005-0000-0000-0000C1030000}"/>
    <cellStyle name="40% - Accent1 10 2" xfId="13002" xr:uid="{2D5F191C-1A83-47F9-9DC6-99D3F8E385DD}"/>
    <cellStyle name="40% - Accent1 11" xfId="8784" xr:uid="{7F913F18-4656-48D2-9A0C-D123E614A595}"/>
    <cellStyle name="40% - Accent1 2" xfId="50" xr:uid="{00000000-0005-0000-0000-0000C2030000}"/>
    <cellStyle name="40% - Accent1 2 10" xfId="8785" xr:uid="{3CE93EAE-B174-41DD-81E0-527840B10DC8}"/>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9D5F1BA7-A8DC-40DD-82BC-3C5B125B55A3}"/>
    <cellStyle name="40% - Accent1 2 2 2 2 2 3" xfId="11346" xr:uid="{BB63510F-36F7-4436-91AD-D10B5440D5B5}"/>
    <cellStyle name="40% - Accent1 2 2 2 2 3" xfId="4969" xr:uid="{00000000-0005-0000-0000-0000C8030000}"/>
    <cellStyle name="40% - Accent1 2 2 2 2 3 2" xfId="13419" xr:uid="{49BC89FD-661C-49E0-886F-61EC22C4BBD8}"/>
    <cellStyle name="40% - Accent1 2 2 2 2 4" xfId="9201" xr:uid="{2D36562B-14FD-4063-B412-363BE574B9A1}"/>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2DE50C5D-400E-4DF7-90B3-D94B43A05DB8}"/>
    <cellStyle name="40% - Accent1 2 2 2 3 2 3" xfId="11759" xr:uid="{32940A0D-2C81-4A09-BF38-F94D5FC10861}"/>
    <cellStyle name="40% - Accent1 2 2 2 3 3" xfId="5382" xr:uid="{00000000-0005-0000-0000-0000CC030000}"/>
    <cellStyle name="40% - Accent1 2 2 2 3 3 2" xfId="13832" xr:uid="{BFA89071-C892-4387-8DFB-78FA93CFBB42}"/>
    <cellStyle name="40% - Accent1 2 2 2 3 4" xfId="9614" xr:uid="{D8AF3923-31F8-4627-B623-F8FD1FA2F9BE}"/>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F53F4FFD-8F9E-411E-87BD-0D3C6F8ECC3C}"/>
    <cellStyle name="40% - Accent1 2 2 2 4 2 3" xfId="12172" xr:uid="{2910DE43-D425-44FF-824D-9006B767F4E3}"/>
    <cellStyle name="40% - Accent1 2 2 2 4 3" xfId="5795" xr:uid="{00000000-0005-0000-0000-0000D0030000}"/>
    <cellStyle name="40% - Accent1 2 2 2 4 3 2" xfId="14245" xr:uid="{1228ECD6-5E38-4F53-9178-707B4A97DD2F}"/>
    <cellStyle name="40% - Accent1 2 2 2 4 4" xfId="10027" xr:uid="{450D5461-78F3-4D87-B754-B087C2A88BBE}"/>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B0A0BCDC-EFE6-4036-B669-930AD9D7093B}"/>
    <cellStyle name="40% - Accent1 2 2 2 5 2 3" xfId="12585" xr:uid="{AEB07B56-B33D-48CF-BF1B-A945CB73A1FC}"/>
    <cellStyle name="40% - Accent1 2 2 2 5 3" xfId="6208" xr:uid="{00000000-0005-0000-0000-0000D4030000}"/>
    <cellStyle name="40% - Accent1 2 2 2 5 3 2" xfId="14658" xr:uid="{2E958905-D4EF-494C-8903-ADF4CB26D4D8}"/>
    <cellStyle name="40% - Accent1 2 2 2 5 4" xfId="10440" xr:uid="{FE3676CC-8981-4EB6-8343-AC542605ABFB}"/>
    <cellStyle name="40% - Accent1 2 2 2 6" xfId="2315" xr:uid="{00000000-0005-0000-0000-0000D5030000}"/>
    <cellStyle name="40% - Accent1 2 2 2 6 2" xfId="6621" xr:uid="{00000000-0005-0000-0000-0000D6030000}"/>
    <cellStyle name="40% - Accent1 2 2 2 6 2 2" xfId="15071" xr:uid="{55468A05-0EFC-4E83-AD3F-571A439E8445}"/>
    <cellStyle name="40% - Accent1 2 2 2 6 3" xfId="10853" xr:uid="{8ED0552C-DFB0-4181-BD1C-D7CCDF4B9F28}"/>
    <cellStyle name="40% - Accent1 2 2 2 7" xfId="4555" xr:uid="{00000000-0005-0000-0000-0000D7030000}"/>
    <cellStyle name="40% - Accent1 2 2 2 7 2" xfId="13005" xr:uid="{2E73F95E-C917-4226-8F23-D53C7534942E}"/>
    <cellStyle name="40% - Accent1 2 2 2 8" xfId="8787" xr:uid="{3A8A09D9-0CE0-4228-8D78-62B33778419C}"/>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513E6301-699C-4015-B186-8DB6B466FD91}"/>
    <cellStyle name="40% - Accent1 2 2 3 2 3" xfId="11345" xr:uid="{FD253862-B0BF-4482-B8E8-BC6C6A4D35F1}"/>
    <cellStyle name="40% - Accent1 2 2 3 3" xfId="4968" xr:uid="{00000000-0005-0000-0000-0000DB030000}"/>
    <cellStyle name="40% - Accent1 2 2 3 3 2" xfId="13418" xr:uid="{56B998D4-34AE-4A1D-93FC-E8A9699ECDBE}"/>
    <cellStyle name="40% - Accent1 2 2 3 4" xfId="9200" xr:uid="{B364FCF3-0301-45D7-9C4C-9B0E7C78EAC1}"/>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D0000878-8DD6-4545-B351-D51B6E50A4C8}"/>
    <cellStyle name="40% - Accent1 2 2 4 2 3" xfId="11758" xr:uid="{27E2ED05-F329-4254-9762-BD1947618BCC}"/>
    <cellStyle name="40% - Accent1 2 2 4 3" xfId="5381" xr:uid="{00000000-0005-0000-0000-0000DF030000}"/>
    <cellStyle name="40% - Accent1 2 2 4 3 2" xfId="13831" xr:uid="{626086B7-2267-43E8-A4EF-42A79AB0DB65}"/>
    <cellStyle name="40% - Accent1 2 2 4 4" xfId="9613" xr:uid="{EFF33782-9FB7-4FC5-B6E3-DAC8C41136EF}"/>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E4462CC2-A34B-44BB-8386-29DF24718A80}"/>
    <cellStyle name="40% - Accent1 2 2 5 2 3" xfId="12171" xr:uid="{48093089-E6D6-408C-B099-3431FF7D6A8F}"/>
    <cellStyle name="40% - Accent1 2 2 5 3" xfId="5794" xr:uid="{00000000-0005-0000-0000-0000E3030000}"/>
    <cellStyle name="40% - Accent1 2 2 5 3 2" xfId="14244" xr:uid="{BD075E1D-08EB-408F-9AC8-EC9B903A4859}"/>
    <cellStyle name="40% - Accent1 2 2 5 4" xfId="10026" xr:uid="{E0D48210-98DF-4ACB-8D49-DEC8E372D2AD}"/>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3A9B0E8A-DFF9-4ADA-9203-5B4FDF64A850}"/>
    <cellStyle name="40% - Accent1 2 2 6 2 3" xfId="12584" xr:uid="{C72CB8AE-7C51-4F67-B56E-442BCA3FDA0F}"/>
    <cellStyle name="40% - Accent1 2 2 6 3" xfId="6207" xr:uid="{00000000-0005-0000-0000-0000E7030000}"/>
    <cellStyle name="40% - Accent1 2 2 6 3 2" xfId="14657" xr:uid="{A26B55F5-F123-48AA-A955-F7BACEBD6107}"/>
    <cellStyle name="40% - Accent1 2 2 6 4" xfId="10439" xr:uid="{24BA6982-B34C-40CE-AEF1-B36EF2DBA3C8}"/>
    <cellStyle name="40% - Accent1 2 2 7" xfId="2314" xr:uid="{00000000-0005-0000-0000-0000E8030000}"/>
    <cellStyle name="40% - Accent1 2 2 7 2" xfId="6620" xr:uid="{00000000-0005-0000-0000-0000E9030000}"/>
    <cellStyle name="40% - Accent1 2 2 7 2 2" xfId="15070" xr:uid="{71681C6B-F464-42AB-AF2D-D43274F2F7EE}"/>
    <cellStyle name="40% - Accent1 2 2 7 3" xfId="10852" xr:uid="{84FB1618-8384-4A90-A1AC-766D708F137B}"/>
    <cellStyle name="40% - Accent1 2 2 8" xfId="4554" xr:uid="{00000000-0005-0000-0000-0000EA030000}"/>
    <cellStyle name="40% - Accent1 2 2 8 2" xfId="13004" xr:uid="{9F314CDD-8D61-4EEE-A350-CF6CE35B90E7}"/>
    <cellStyle name="40% - Accent1 2 2 9" xfId="8786" xr:uid="{30E7BE54-01AB-4C26-BCF1-F166F8D447DB}"/>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CD734BBF-FFF0-4912-9844-CB451BAC2161}"/>
    <cellStyle name="40% - Accent1 2 3 2 2 3" xfId="11347" xr:uid="{F858319D-24AE-4802-A02E-B241A77673EF}"/>
    <cellStyle name="40% - Accent1 2 3 2 3" xfId="4970" xr:uid="{00000000-0005-0000-0000-0000EF030000}"/>
    <cellStyle name="40% - Accent1 2 3 2 3 2" xfId="13420" xr:uid="{6C87769A-FFE2-4E82-AD8C-55DB2EE776B7}"/>
    <cellStyle name="40% - Accent1 2 3 2 4" xfId="9202" xr:uid="{650BA25A-0CAD-4751-9BE2-CBD332009EBC}"/>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FB23DBE7-B6C7-432D-8F0A-9A0BF6D0AC0A}"/>
    <cellStyle name="40% - Accent1 2 3 3 2 3" xfId="11760" xr:uid="{12BA4FE8-32CF-4F0E-8530-EE3F7858151E}"/>
    <cellStyle name="40% - Accent1 2 3 3 3" xfId="5383" xr:uid="{00000000-0005-0000-0000-0000F3030000}"/>
    <cellStyle name="40% - Accent1 2 3 3 3 2" xfId="13833" xr:uid="{F31F6043-8B53-454D-A79F-996AFF40C3C6}"/>
    <cellStyle name="40% - Accent1 2 3 3 4" xfId="9615" xr:uid="{3F3EA27F-31EF-4CE2-AB9B-4547B505E8B5}"/>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9F9B06B1-67A6-47E2-8470-B340C00317AC}"/>
    <cellStyle name="40% - Accent1 2 3 4 2 3" xfId="12173" xr:uid="{4C71066A-4798-4FA7-9E69-C005499E07DA}"/>
    <cellStyle name="40% - Accent1 2 3 4 3" xfId="5796" xr:uid="{00000000-0005-0000-0000-0000F7030000}"/>
    <cellStyle name="40% - Accent1 2 3 4 3 2" xfId="14246" xr:uid="{80DF99E1-593A-4C43-83BC-3ED3FB20DFE1}"/>
    <cellStyle name="40% - Accent1 2 3 4 4" xfId="10028" xr:uid="{1A36B5CB-56AF-41F4-ABB1-C6A37E8F30D2}"/>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71DFD4D8-E04F-4FC5-B3F6-35425C72D32B}"/>
    <cellStyle name="40% - Accent1 2 3 5 2 3" xfId="12586" xr:uid="{CD40F7B8-8387-4528-B7FD-3738C7FC5DB8}"/>
    <cellStyle name="40% - Accent1 2 3 5 3" xfId="6209" xr:uid="{00000000-0005-0000-0000-0000FB030000}"/>
    <cellStyle name="40% - Accent1 2 3 5 3 2" xfId="14659" xr:uid="{CA3F8230-A6BB-44D4-B2EE-166267F791EE}"/>
    <cellStyle name="40% - Accent1 2 3 5 4" xfId="10441" xr:uid="{B5685DDE-2E80-47B1-B57A-17C827A1846F}"/>
    <cellStyle name="40% - Accent1 2 3 6" xfId="2316" xr:uid="{00000000-0005-0000-0000-0000FC030000}"/>
    <cellStyle name="40% - Accent1 2 3 6 2" xfId="6622" xr:uid="{00000000-0005-0000-0000-0000FD030000}"/>
    <cellStyle name="40% - Accent1 2 3 6 2 2" xfId="15072" xr:uid="{4EE612F6-C047-484E-B503-CF9A93CCEE60}"/>
    <cellStyle name="40% - Accent1 2 3 6 3" xfId="10854" xr:uid="{D3FBC33B-D58E-4CCE-B365-C33BED1E6630}"/>
    <cellStyle name="40% - Accent1 2 3 7" xfId="4556" xr:uid="{00000000-0005-0000-0000-0000FE030000}"/>
    <cellStyle name="40% - Accent1 2 3 7 2" xfId="13006" xr:uid="{A6D666FE-0150-49CF-B5AC-70C73F19EB04}"/>
    <cellStyle name="40% - Accent1 2 3 8" xfId="8788" xr:uid="{ED5E6532-369D-41EA-808F-3721C7EECA05}"/>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6F244B1E-E4DE-4B3C-BBB8-4CFBE5FE7428}"/>
    <cellStyle name="40% - Accent1 2 4 2 3" xfId="11344" xr:uid="{D9842AF6-28CC-4C15-9990-90B540C17DB3}"/>
    <cellStyle name="40% - Accent1 2 4 3" xfId="4967" xr:uid="{00000000-0005-0000-0000-000002040000}"/>
    <cellStyle name="40% - Accent1 2 4 3 2" xfId="13417" xr:uid="{7F2C8C82-A716-426F-BE06-A580E3DDBA6E}"/>
    <cellStyle name="40% - Accent1 2 4 4" xfId="9199" xr:uid="{1D3699A3-660B-4D5C-BC55-BCE486DCB6C9}"/>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9C103844-FD4A-4FB8-9ED0-9BB7C23BFBAE}"/>
    <cellStyle name="40% - Accent1 2 5 2 3" xfId="11757" xr:uid="{641AEE3A-BAF7-424A-B948-B4BDEFDB1B39}"/>
    <cellStyle name="40% - Accent1 2 5 3" xfId="5380" xr:uid="{00000000-0005-0000-0000-000006040000}"/>
    <cellStyle name="40% - Accent1 2 5 3 2" xfId="13830" xr:uid="{36A38A4E-1F0F-4B94-B4F5-1110DAF74A74}"/>
    <cellStyle name="40% - Accent1 2 5 4" xfId="9612" xr:uid="{2CD33A75-AD28-47BB-A660-F23FD000F6B4}"/>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CE5824D3-E801-4CB2-8380-7864CFA15CE5}"/>
    <cellStyle name="40% - Accent1 2 6 2 3" xfId="12170" xr:uid="{1D924690-BA79-4EAF-B599-6050CC24552D}"/>
    <cellStyle name="40% - Accent1 2 6 3" xfId="5793" xr:uid="{00000000-0005-0000-0000-00000A040000}"/>
    <cellStyle name="40% - Accent1 2 6 3 2" xfId="14243" xr:uid="{AF7E2ABC-C633-4D05-B628-8BEA89E6DF98}"/>
    <cellStyle name="40% - Accent1 2 6 4" xfId="10025" xr:uid="{B2D5AFF7-C2A1-4F30-8014-BCABE216C07F}"/>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DB8AD99E-EBB5-45DB-B77C-4BDC3C4BE323}"/>
    <cellStyle name="40% - Accent1 2 7 2 3" xfId="12583" xr:uid="{6B5677E4-9409-4DFC-BDA1-A22A646EBE13}"/>
    <cellStyle name="40% - Accent1 2 7 3" xfId="6206" xr:uid="{00000000-0005-0000-0000-00000E040000}"/>
    <cellStyle name="40% - Accent1 2 7 3 2" xfId="14656" xr:uid="{89FBE291-A0DD-45F5-A9E8-C27446021C98}"/>
    <cellStyle name="40% - Accent1 2 7 4" xfId="10438" xr:uid="{1636B7C2-F847-41F1-9EDF-537D605929E6}"/>
    <cellStyle name="40% - Accent1 2 8" xfId="2313" xr:uid="{00000000-0005-0000-0000-00000F040000}"/>
    <cellStyle name="40% - Accent1 2 8 2" xfId="6619" xr:uid="{00000000-0005-0000-0000-000010040000}"/>
    <cellStyle name="40% - Accent1 2 8 2 2" xfId="15069" xr:uid="{667C3336-3FB3-4597-954E-88CD82354CEF}"/>
    <cellStyle name="40% - Accent1 2 8 3" xfId="10851" xr:uid="{29CDD553-7DAC-48BF-8915-61F58F487541}"/>
    <cellStyle name="40% - Accent1 2 9" xfId="4553" xr:uid="{00000000-0005-0000-0000-000011040000}"/>
    <cellStyle name="40% - Accent1 2 9 2" xfId="13003" xr:uid="{CB845A7B-0EC1-48DE-9CEB-932A1FB36049}"/>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9F2E92AE-C619-45E0-BDFE-9E8614BB03B0}"/>
    <cellStyle name="40% - Accent1 3 2 2 2 3" xfId="11349" xr:uid="{3FC50135-ECD9-4410-8B01-61B7A998D9C3}"/>
    <cellStyle name="40% - Accent1 3 2 2 3" xfId="4972" xr:uid="{00000000-0005-0000-0000-000017040000}"/>
    <cellStyle name="40% - Accent1 3 2 2 3 2" xfId="13422" xr:uid="{1CB974F9-3726-4B9C-9A24-7708FBA41F0F}"/>
    <cellStyle name="40% - Accent1 3 2 2 4" xfId="9204" xr:uid="{F37BFDB8-3358-4AD0-A827-08354A313BD7}"/>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2E9A6263-5168-4EF8-BB7E-350FAE745C9A}"/>
    <cellStyle name="40% - Accent1 3 2 3 2 3" xfId="11762" xr:uid="{D08C98AB-6553-4CD4-A191-60026C99803E}"/>
    <cellStyle name="40% - Accent1 3 2 3 3" xfId="5385" xr:uid="{00000000-0005-0000-0000-00001B040000}"/>
    <cellStyle name="40% - Accent1 3 2 3 3 2" xfId="13835" xr:uid="{74C2CC9C-4880-40C1-8918-83E91C1A5832}"/>
    <cellStyle name="40% - Accent1 3 2 3 4" xfId="9617" xr:uid="{7C18460B-3329-4647-9CA7-2ACF6946DF65}"/>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668D1177-B879-4188-BA7F-B8E487B47730}"/>
    <cellStyle name="40% - Accent1 3 2 4 2 3" xfId="12175" xr:uid="{5FD4B3C1-3423-4A4A-99B8-152B300D56CA}"/>
    <cellStyle name="40% - Accent1 3 2 4 3" xfId="5798" xr:uid="{00000000-0005-0000-0000-00001F040000}"/>
    <cellStyle name="40% - Accent1 3 2 4 3 2" xfId="14248" xr:uid="{2B28B2BA-E13B-4D7E-A5E5-FC47DCFB9C5C}"/>
    <cellStyle name="40% - Accent1 3 2 4 4" xfId="10030" xr:uid="{49F8B916-7331-403E-9B83-4506679E1A3B}"/>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50762FB4-D03E-43D2-A10A-A21B207D8241}"/>
    <cellStyle name="40% - Accent1 3 2 5 2 3" xfId="12588" xr:uid="{4A4D7A78-5D76-46CA-920A-1142E7B90859}"/>
    <cellStyle name="40% - Accent1 3 2 5 3" xfId="6211" xr:uid="{00000000-0005-0000-0000-000023040000}"/>
    <cellStyle name="40% - Accent1 3 2 5 3 2" xfId="14661" xr:uid="{B556647C-47FF-49F4-AA65-1504E43D0EA5}"/>
    <cellStyle name="40% - Accent1 3 2 5 4" xfId="10443" xr:uid="{51819B84-8725-49F6-BBD2-A3F7A136BC92}"/>
    <cellStyle name="40% - Accent1 3 2 6" xfId="2318" xr:uid="{00000000-0005-0000-0000-000024040000}"/>
    <cellStyle name="40% - Accent1 3 2 6 2" xfId="6624" xr:uid="{00000000-0005-0000-0000-000025040000}"/>
    <cellStyle name="40% - Accent1 3 2 6 2 2" xfId="15074" xr:uid="{68400B11-2A99-48F0-926B-252B080ED210}"/>
    <cellStyle name="40% - Accent1 3 2 6 3" xfId="10856" xr:uid="{C0184991-B4AE-461F-A169-89616675E74F}"/>
    <cellStyle name="40% - Accent1 3 2 7" xfId="4558" xr:uid="{00000000-0005-0000-0000-000026040000}"/>
    <cellStyle name="40% - Accent1 3 2 7 2" xfId="13008" xr:uid="{6D014565-68A1-4E68-B7F5-5285CFB35D65}"/>
    <cellStyle name="40% - Accent1 3 2 8" xfId="8790" xr:uid="{D930D16B-97B7-4EDF-82F5-3CEABA72987C}"/>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FD5B197B-7E3F-426D-8EF0-011E097E3E49}"/>
    <cellStyle name="40% - Accent1 3 3 2 3" xfId="11348" xr:uid="{5E479172-DA54-4575-A2C7-C4C31AB5CE9C}"/>
    <cellStyle name="40% - Accent1 3 3 3" xfId="4971" xr:uid="{00000000-0005-0000-0000-00002A040000}"/>
    <cellStyle name="40% - Accent1 3 3 3 2" xfId="13421" xr:uid="{B09BDBDC-EF1E-4004-ADC1-CED761C322D4}"/>
    <cellStyle name="40% - Accent1 3 3 4" xfId="9203" xr:uid="{B19AFD15-A4A5-467D-8F75-4BD1EFDFE14D}"/>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C93227D6-56E5-43EA-8D11-A59CDF031453}"/>
    <cellStyle name="40% - Accent1 3 4 2 3" xfId="11761" xr:uid="{5899F392-F0FE-471B-8A70-0B17CC067EA4}"/>
    <cellStyle name="40% - Accent1 3 4 3" xfId="5384" xr:uid="{00000000-0005-0000-0000-00002E040000}"/>
    <cellStyle name="40% - Accent1 3 4 3 2" xfId="13834" xr:uid="{6F638906-88DE-4790-915F-0A39220B80E8}"/>
    <cellStyle name="40% - Accent1 3 4 4" xfId="9616" xr:uid="{E18CD1E1-7928-42DD-BD71-CF5A6C6D3CAB}"/>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FE38BAEF-7BCA-4D46-8311-C7882C4E6A7E}"/>
    <cellStyle name="40% - Accent1 3 5 2 3" xfId="12174" xr:uid="{3B950978-F90F-4587-A8B5-9B3E94FD40B1}"/>
    <cellStyle name="40% - Accent1 3 5 3" xfId="5797" xr:uid="{00000000-0005-0000-0000-000032040000}"/>
    <cellStyle name="40% - Accent1 3 5 3 2" xfId="14247" xr:uid="{0498326F-7DF0-4995-BFD4-E1E7BD840ABB}"/>
    <cellStyle name="40% - Accent1 3 5 4" xfId="10029" xr:uid="{FBD94917-ACB4-44B6-8FB2-1B5C0805C04A}"/>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743F76D5-3AA7-4671-B9E8-6F1FB99EACAB}"/>
    <cellStyle name="40% - Accent1 3 6 2 3" xfId="12587" xr:uid="{2BC669AF-D13B-4DC3-AE1C-523F0B6E5C20}"/>
    <cellStyle name="40% - Accent1 3 6 3" xfId="6210" xr:uid="{00000000-0005-0000-0000-000036040000}"/>
    <cellStyle name="40% - Accent1 3 6 3 2" xfId="14660" xr:uid="{34FC28B7-CB4A-48BC-A407-FC0EFB35D6B5}"/>
    <cellStyle name="40% - Accent1 3 6 4" xfId="10442" xr:uid="{9304484D-18CC-44FA-8ACA-718472DC1B6B}"/>
    <cellStyle name="40% - Accent1 3 7" xfId="2317" xr:uid="{00000000-0005-0000-0000-000037040000}"/>
    <cellStyle name="40% - Accent1 3 7 2" xfId="6623" xr:uid="{00000000-0005-0000-0000-000038040000}"/>
    <cellStyle name="40% - Accent1 3 7 2 2" xfId="15073" xr:uid="{6088871C-85EF-473E-A6F6-7169DA7C3D6B}"/>
    <cellStyle name="40% - Accent1 3 7 3" xfId="10855" xr:uid="{A5D0A5DD-6CC3-4ED4-8253-8CB9EEBE54DF}"/>
    <cellStyle name="40% - Accent1 3 8" xfId="4557" xr:uid="{00000000-0005-0000-0000-000039040000}"/>
    <cellStyle name="40% - Accent1 3 8 2" xfId="13007" xr:uid="{5AE3E35F-7CCA-4BBD-8FF1-11C773EFC320}"/>
    <cellStyle name="40% - Accent1 3 9" xfId="8789" xr:uid="{E307BF04-771A-4829-B937-90DED81145F2}"/>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BDA2FD50-F41C-4264-B9C3-2AC091CBAC55}"/>
    <cellStyle name="40% - Accent1 4 2 2 3" xfId="11350" xr:uid="{C281818E-4FA2-498A-9292-F980375D721F}"/>
    <cellStyle name="40% - Accent1 4 2 3" xfId="4973" xr:uid="{00000000-0005-0000-0000-00003E040000}"/>
    <cellStyle name="40% - Accent1 4 2 3 2" xfId="13423" xr:uid="{C416B4F6-8D41-468C-83F6-46D6AEE5D372}"/>
    <cellStyle name="40% - Accent1 4 2 4" xfId="9205" xr:uid="{0D2E2A8B-4CB4-4D55-A1B5-AAD8C0B15B32}"/>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73482376-BC46-4681-BE31-BFF274A254F9}"/>
    <cellStyle name="40% - Accent1 4 3 2 3" xfId="11763" xr:uid="{6A933E7F-4B5C-4070-ACED-CA0DB04F8A24}"/>
    <cellStyle name="40% - Accent1 4 3 3" xfId="5386" xr:uid="{00000000-0005-0000-0000-000042040000}"/>
    <cellStyle name="40% - Accent1 4 3 3 2" xfId="13836" xr:uid="{4796BA5E-BBBD-4EFE-A177-87378CF83DA3}"/>
    <cellStyle name="40% - Accent1 4 3 4" xfId="9618" xr:uid="{CD1F98DE-5575-423D-B9A5-A3CA0AA7A0DE}"/>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24B1464B-B740-4382-913B-B6DEE63A6600}"/>
    <cellStyle name="40% - Accent1 4 4 2 3" xfId="12176" xr:uid="{E8CA5F28-9CB3-4C61-9AE8-459AB5B897DD}"/>
    <cellStyle name="40% - Accent1 4 4 3" xfId="5799" xr:uid="{00000000-0005-0000-0000-000046040000}"/>
    <cellStyle name="40% - Accent1 4 4 3 2" xfId="14249" xr:uid="{8577B8D4-2A92-4680-AFEE-CFCBBA3EFAF5}"/>
    <cellStyle name="40% - Accent1 4 4 4" xfId="10031" xr:uid="{E715F7D8-A282-44FB-9B71-68FD671DCD4A}"/>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477E43B3-2B6C-472A-82EA-88AD863185BB}"/>
    <cellStyle name="40% - Accent1 4 5 2 3" xfId="12589" xr:uid="{8A580596-ABA5-46C0-9D83-75D069CFF3B3}"/>
    <cellStyle name="40% - Accent1 4 5 3" xfId="6212" xr:uid="{00000000-0005-0000-0000-00004A040000}"/>
    <cellStyle name="40% - Accent1 4 5 3 2" xfId="14662" xr:uid="{44BEABB6-4E39-42B4-B264-7D7A0DA781DA}"/>
    <cellStyle name="40% - Accent1 4 5 4" xfId="10444" xr:uid="{A7724A57-8FE9-4189-B5B0-A24D4E0857FE}"/>
    <cellStyle name="40% - Accent1 4 6" xfId="2319" xr:uid="{00000000-0005-0000-0000-00004B040000}"/>
    <cellStyle name="40% - Accent1 4 6 2" xfId="6625" xr:uid="{00000000-0005-0000-0000-00004C040000}"/>
    <cellStyle name="40% - Accent1 4 6 2 2" xfId="15075" xr:uid="{3959B56A-3118-4A67-9D21-1BA3045EF9DF}"/>
    <cellStyle name="40% - Accent1 4 6 3" xfId="10857" xr:uid="{E3657312-1763-4C9A-8B28-DB23DEDFEAC4}"/>
    <cellStyle name="40% - Accent1 4 7" xfId="4559" xr:uid="{00000000-0005-0000-0000-00004D040000}"/>
    <cellStyle name="40% - Accent1 4 7 2" xfId="13009" xr:uid="{481A1E30-5B5C-4A8E-A598-2F829C477A79}"/>
    <cellStyle name="40% - Accent1 4 8" xfId="8791" xr:uid="{C3AE3E2F-4859-4C8D-8E02-E62EFD8D5BDF}"/>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94C418B7-F229-47BB-A2D5-EA79C4EB8D2F}"/>
    <cellStyle name="40% - Accent1 5 2 3" xfId="11343" xr:uid="{AB32A95C-92B6-4A96-A664-F1502A4F7DBE}"/>
    <cellStyle name="40% - Accent1 5 3" xfId="4966" xr:uid="{00000000-0005-0000-0000-000051040000}"/>
    <cellStyle name="40% - Accent1 5 3 2" xfId="13416" xr:uid="{1BA659BA-EBAA-496E-9580-61756DA60B09}"/>
    <cellStyle name="40% - Accent1 5 4" xfId="9198" xr:uid="{2ED6DE4F-AC9B-49CF-9D51-A98B9BEBCFA3}"/>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D117CC32-0EFD-4241-8665-968E9E12992B}"/>
    <cellStyle name="40% - Accent1 6 2 3" xfId="11756" xr:uid="{990274C4-38CC-4141-9ADA-CB037286992D}"/>
    <cellStyle name="40% - Accent1 6 3" xfId="5379" xr:uid="{00000000-0005-0000-0000-000055040000}"/>
    <cellStyle name="40% - Accent1 6 3 2" xfId="13829" xr:uid="{89C4FDDA-A051-4D79-8BB0-DF80B1BC979E}"/>
    <cellStyle name="40% - Accent1 6 4" xfId="9611" xr:uid="{9EAB14D4-754E-422D-8CDB-08BFC7DC2274}"/>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93CAC4FD-8D12-4751-A411-0D0A6FA76DDE}"/>
    <cellStyle name="40% - Accent1 7 2 3" xfId="12169" xr:uid="{18048322-5314-45B6-A8B9-6630EB61AE84}"/>
    <cellStyle name="40% - Accent1 7 3" xfId="5792" xr:uid="{00000000-0005-0000-0000-000059040000}"/>
    <cellStyle name="40% - Accent1 7 3 2" xfId="14242" xr:uid="{88B88578-EA1C-47A4-991A-A3BEEAC67552}"/>
    <cellStyle name="40% - Accent1 7 4" xfId="10024" xr:uid="{B9421314-78FD-4442-B1B6-28F6706D6FA7}"/>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F2C174C8-931F-4E17-A9CC-31BAF8424DD1}"/>
    <cellStyle name="40% - Accent1 8 2 3" xfId="12582" xr:uid="{1C41B0A9-9A12-4933-A10E-4E17E437C252}"/>
    <cellStyle name="40% - Accent1 8 3" xfId="6205" xr:uid="{00000000-0005-0000-0000-00005D040000}"/>
    <cellStyle name="40% - Accent1 8 3 2" xfId="14655" xr:uid="{0F525813-2D01-464B-9AFB-4083D975F019}"/>
    <cellStyle name="40% - Accent1 8 4" xfId="10437" xr:uid="{7CAA4159-94C3-4704-B83D-DA06358626E2}"/>
    <cellStyle name="40% - Accent1 9" xfId="2312" xr:uid="{00000000-0005-0000-0000-00005E040000}"/>
    <cellStyle name="40% - Accent1 9 2" xfId="6618" xr:uid="{00000000-0005-0000-0000-00005F040000}"/>
    <cellStyle name="40% - Accent1 9 2 2" xfId="15068" xr:uid="{67223F66-E798-4A87-A232-0C88276E2C0B}"/>
    <cellStyle name="40% - Accent1 9 3" xfId="10850" xr:uid="{8A95CF38-A7A4-4A01-98E2-6636AC21B0FC}"/>
    <cellStyle name="40% - Accent2" xfId="57" builtinId="35" customBuiltin="1"/>
    <cellStyle name="40% - Accent2 10" xfId="4560" xr:uid="{00000000-0005-0000-0000-000061040000}"/>
    <cellStyle name="40% - Accent2 10 2" xfId="13010" xr:uid="{1CB6FD3C-049D-4674-AE82-DC34BE9DAA06}"/>
    <cellStyle name="40% - Accent2 11" xfId="8792" xr:uid="{DC0EC057-0FBD-4399-99EE-AADCDEF2F027}"/>
    <cellStyle name="40% - Accent2 2" xfId="58" xr:uid="{00000000-0005-0000-0000-000062040000}"/>
    <cellStyle name="40% - Accent2 2 10" xfId="8793" xr:uid="{D3D6C188-6D92-4FA1-A1E8-4CAA429D38FE}"/>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C5459456-0FE6-46F1-A1CF-8A9532A32506}"/>
    <cellStyle name="40% - Accent2 2 2 2 2 2 3" xfId="11354" xr:uid="{D6799468-BAF4-4F35-B9C8-E078D06CF510}"/>
    <cellStyle name="40% - Accent2 2 2 2 2 3" xfId="4977" xr:uid="{00000000-0005-0000-0000-000068040000}"/>
    <cellStyle name="40% - Accent2 2 2 2 2 3 2" xfId="13427" xr:uid="{25970710-DDD3-43B3-97FF-345D73104A05}"/>
    <cellStyle name="40% - Accent2 2 2 2 2 4" xfId="9209" xr:uid="{1874FF3D-2A28-4FA6-B20C-F08A31B93762}"/>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237CC2F7-5D37-43DC-821E-D16A045FC86F}"/>
    <cellStyle name="40% - Accent2 2 2 2 3 2 3" xfId="11767" xr:uid="{5D5F01FD-7737-4E59-A5B7-2EC94EE27146}"/>
    <cellStyle name="40% - Accent2 2 2 2 3 3" xfId="5390" xr:uid="{00000000-0005-0000-0000-00006C040000}"/>
    <cellStyle name="40% - Accent2 2 2 2 3 3 2" xfId="13840" xr:uid="{9C3CE32B-402B-4AFB-A1EA-CBADAA821C20}"/>
    <cellStyle name="40% - Accent2 2 2 2 3 4" xfId="9622" xr:uid="{8DDBCA9A-BD77-4B65-80A4-5A58CC8BD7EC}"/>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D1FF24BB-6D29-4684-B9A5-8634C7B84725}"/>
    <cellStyle name="40% - Accent2 2 2 2 4 2 3" xfId="12180" xr:uid="{FA373D88-6F45-4F6B-9455-A5B4342ADA03}"/>
    <cellStyle name="40% - Accent2 2 2 2 4 3" xfId="5803" xr:uid="{00000000-0005-0000-0000-000070040000}"/>
    <cellStyle name="40% - Accent2 2 2 2 4 3 2" xfId="14253" xr:uid="{DDF5B962-59B5-4DE6-ADB4-CE4A4FE9A623}"/>
    <cellStyle name="40% - Accent2 2 2 2 4 4" xfId="10035" xr:uid="{281A9150-4EBE-4467-AB80-A44E2BC7B2B4}"/>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DB050C7C-5468-4333-BDB6-DDE87596C66F}"/>
    <cellStyle name="40% - Accent2 2 2 2 5 2 3" xfId="12593" xr:uid="{EBA06B6C-A0EB-4BF2-B7B3-C3DB057C4A1E}"/>
    <cellStyle name="40% - Accent2 2 2 2 5 3" xfId="6216" xr:uid="{00000000-0005-0000-0000-000074040000}"/>
    <cellStyle name="40% - Accent2 2 2 2 5 3 2" xfId="14666" xr:uid="{1AAEB8C8-B605-4EE8-919A-738FF3172115}"/>
    <cellStyle name="40% - Accent2 2 2 2 5 4" xfId="10448" xr:uid="{F9391382-5B02-4E94-8383-FFFA896034F9}"/>
    <cellStyle name="40% - Accent2 2 2 2 6" xfId="2323" xr:uid="{00000000-0005-0000-0000-000075040000}"/>
    <cellStyle name="40% - Accent2 2 2 2 6 2" xfId="6629" xr:uid="{00000000-0005-0000-0000-000076040000}"/>
    <cellStyle name="40% - Accent2 2 2 2 6 2 2" xfId="15079" xr:uid="{07705522-A652-466F-A920-9DC5D2324494}"/>
    <cellStyle name="40% - Accent2 2 2 2 6 3" xfId="10861" xr:uid="{78BB8709-05FA-4541-9068-321C42694AB7}"/>
    <cellStyle name="40% - Accent2 2 2 2 7" xfId="4563" xr:uid="{00000000-0005-0000-0000-000077040000}"/>
    <cellStyle name="40% - Accent2 2 2 2 7 2" xfId="13013" xr:uid="{BBE415D6-1BF0-44F0-846E-C4BFA867A858}"/>
    <cellStyle name="40% - Accent2 2 2 2 8" xfId="8795" xr:uid="{BDC7727A-AD4C-4ADB-B1F4-26EA2B19D5BC}"/>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42672217-A924-46FF-A47E-0A7A2E987EC4}"/>
    <cellStyle name="40% - Accent2 2 2 3 2 3" xfId="11353" xr:uid="{AB80304D-BD8B-4A28-9814-6FC51CD9B270}"/>
    <cellStyle name="40% - Accent2 2 2 3 3" xfId="4976" xr:uid="{00000000-0005-0000-0000-00007B040000}"/>
    <cellStyle name="40% - Accent2 2 2 3 3 2" xfId="13426" xr:uid="{9A1DA06A-60AF-4ACD-9FAA-C00BF14229DF}"/>
    <cellStyle name="40% - Accent2 2 2 3 4" xfId="9208" xr:uid="{D1E8E208-08B0-42D8-BB40-04B9B03C3451}"/>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9858044C-700D-42CA-918E-A565398C1E09}"/>
    <cellStyle name="40% - Accent2 2 2 4 2 3" xfId="11766" xr:uid="{061BAA8B-D5EB-4B9C-B53D-8B48234BA998}"/>
    <cellStyle name="40% - Accent2 2 2 4 3" xfId="5389" xr:uid="{00000000-0005-0000-0000-00007F040000}"/>
    <cellStyle name="40% - Accent2 2 2 4 3 2" xfId="13839" xr:uid="{4BF58C66-7201-4035-8674-BD463F37A90B}"/>
    <cellStyle name="40% - Accent2 2 2 4 4" xfId="9621" xr:uid="{515B5296-7AD5-43F7-8193-051537D6A93C}"/>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1A7EC2D4-597D-4E9E-A65C-86B83DC39778}"/>
    <cellStyle name="40% - Accent2 2 2 5 2 3" xfId="12179" xr:uid="{77891872-291F-4E70-B6AC-C3A2931BBFCC}"/>
    <cellStyle name="40% - Accent2 2 2 5 3" xfId="5802" xr:uid="{00000000-0005-0000-0000-000083040000}"/>
    <cellStyle name="40% - Accent2 2 2 5 3 2" xfId="14252" xr:uid="{8883B8A2-4022-4467-A823-4968F2F6CD1E}"/>
    <cellStyle name="40% - Accent2 2 2 5 4" xfId="10034" xr:uid="{69505302-36D3-4070-A22B-F1FB47E01867}"/>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B8B8C52A-0CAA-411F-AAB2-795995E973BB}"/>
    <cellStyle name="40% - Accent2 2 2 6 2 3" xfId="12592" xr:uid="{8E6DFFDF-8C3A-4C91-979C-28DBD5650454}"/>
    <cellStyle name="40% - Accent2 2 2 6 3" xfId="6215" xr:uid="{00000000-0005-0000-0000-000087040000}"/>
    <cellStyle name="40% - Accent2 2 2 6 3 2" xfId="14665" xr:uid="{D1D9596B-ADC3-471D-BAEB-0208562146C5}"/>
    <cellStyle name="40% - Accent2 2 2 6 4" xfId="10447" xr:uid="{FC6DA159-BE3D-45C2-A2B0-ED9C43154641}"/>
    <cellStyle name="40% - Accent2 2 2 7" xfId="2322" xr:uid="{00000000-0005-0000-0000-000088040000}"/>
    <cellStyle name="40% - Accent2 2 2 7 2" xfId="6628" xr:uid="{00000000-0005-0000-0000-000089040000}"/>
    <cellStyle name="40% - Accent2 2 2 7 2 2" xfId="15078" xr:uid="{36D9D26E-646E-4A21-B980-325D124848BE}"/>
    <cellStyle name="40% - Accent2 2 2 7 3" xfId="10860" xr:uid="{87D9DE2E-B0DE-48C5-AA5C-A443BE58F8E2}"/>
    <cellStyle name="40% - Accent2 2 2 8" xfId="4562" xr:uid="{00000000-0005-0000-0000-00008A040000}"/>
    <cellStyle name="40% - Accent2 2 2 8 2" xfId="13012" xr:uid="{4CB9C5BF-9D78-4F12-A40C-EA408EFE53ED}"/>
    <cellStyle name="40% - Accent2 2 2 9" xfId="8794" xr:uid="{D47A46F9-D325-4986-AE32-92AE385C85BE}"/>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2B548DA8-2C87-4F5A-A2CD-B2D5DEC94023}"/>
    <cellStyle name="40% - Accent2 2 3 2 2 3" xfId="11355" xr:uid="{55D8A346-232E-4EBC-8C7F-7FC3F304C99D}"/>
    <cellStyle name="40% - Accent2 2 3 2 3" xfId="4978" xr:uid="{00000000-0005-0000-0000-00008F040000}"/>
    <cellStyle name="40% - Accent2 2 3 2 3 2" xfId="13428" xr:uid="{3DC25163-553B-4023-9396-D480973F84E0}"/>
    <cellStyle name="40% - Accent2 2 3 2 4" xfId="9210" xr:uid="{D89352DC-2881-4BE4-9F7D-FDBDAC12B7C6}"/>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EBC455FC-2E35-474D-8B05-92355C3E2060}"/>
    <cellStyle name="40% - Accent2 2 3 3 2 3" xfId="11768" xr:uid="{3BBE950D-C1D2-4165-A445-6FC08663F962}"/>
    <cellStyle name="40% - Accent2 2 3 3 3" xfId="5391" xr:uid="{00000000-0005-0000-0000-000093040000}"/>
    <cellStyle name="40% - Accent2 2 3 3 3 2" xfId="13841" xr:uid="{89801C2E-7897-42BA-B471-08B85FFC6651}"/>
    <cellStyle name="40% - Accent2 2 3 3 4" xfId="9623" xr:uid="{9B55FF28-310D-41C7-96C3-9A46E90ABEA2}"/>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8B71DD85-5158-4F50-8D0A-9D293128BB94}"/>
    <cellStyle name="40% - Accent2 2 3 4 2 3" xfId="12181" xr:uid="{883CF8E9-E429-4193-852A-E0FA156F5541}"/>
    <cellStyle name="40% - Accent2 2 3 4 3" xfId="5804" xr:uid="{00000000-0005-0000-0000-000097040000}"/>
    <cellStyle name="40% - Accent2 2 3 4 3 2" xfId="14254" xr:uid="{BC5808EE-CCCE-4518-B742-9D4A165115F5}"/>
    <cellStyle name="40% - Accent2 2 3 4 4" xfId="10036" xr:uid="{2044BAC0-B76C-44DA-AF5D-0C4BDA430829}"/>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B89FF197-6AA4-4DD2-B588-7634277DD961}"/>
    <cellStyle name="40% - Accent2 2 3 5 2 3" xfId="12594" xr:uid="{49DF5356-800E-48DB-A12A-BF2839C9CE52}"/>
    <cellStyle name="40% - Accent2 2 3 5 3" xfId="6217" xr:uid="{00000000-0005-0000-0000-00009B040000}"/>
    <cellStyle name="40% - Accent2 2 3 5 3 2" xfId="14667" xr:uid="{35C6E7E3-75B0-4F6C-A410-4D65A5B9C1B0}"/>
    <cellStyle name="40% - Accent2 2 3 5 4" xfId="10449" xr:uid="{966FF116-FB4E-434F-AAC7-3075580CA8B1}"/>
    <cellStyle name="40% - Accent2 2 3 6" xfId="2324" xr:uid="{00000000-0005-0000-0000-00009C040000}"/>
    <cellStyle name="40% - Accent2 2 3 6 2" xfId="6630" xr:uid="{00000000-0005-0000-0000-00009D040000}"/>
    <cellStyle name="40% - Accent2 2 3 6 2 2" xfId="15080" xr:uid="{D3EE6438-B7E5-4024-B0D7-F32E38FE69F0}"/>
    <cellStyle name="40% - Accent2 2 3 6 3" xfId="10862" xr:uid="{CC7412E0-CBD7-4DE8-BFC6-D358D2587C51}"/>
    <cellStyle name="40% - Accent2 2 3 7" xfId="4564" xr:uid="{00000000-0005-0000-0000-00009E040000}"/>
    <cellStyle name="40% - Accent2 2 3 7 2" xfId="13014" xr:uid="{D769770B-F782-4827-986D-C202169D54D8}"/>
    <cellStyle name="40% - Accent2 2 3 8" xfId="8796" xr:uid="{F1C5874B-1B35-49BE-903B-E5D6357768A9}"/>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32A7667F-4E9F-4802-AC22-737915CEEBDE}"/>
    <cellStyle name="40% - Accent2 2 4 2 3" xfId="11352" xr:uid="{79D489DE-F874-4ADA-972E-FE943D9EB6EF}"/>
    <cellStyle name="40% - Accent2 2 4 3" xfId="4975" xr:uid="{00000000-0005-0000-0000-0000A2040000}"/>
    <cellStyle name="40% - Accent2 2 4 3 2" xfId="13425" xr:uid="{95300842-8A5B-4CE6-9D81-B9D6D9B214B1}"/>
    <cellStyle name="40% - Accent2 2 4 4" xfId="9207" xr:uid="{CBA7487A-D361-4484-9E63-60050D46B16D}"/>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60D8C406-1788-443D-B6C7-D4B6DB2D33D5}"/>
    <cellStyle name="40% - Accent2 2 5 2 3" xfId="11765" xr:uid="{452316DB-4631-414B-A731-12AC846A1F3B}"/>
    <cellStyle name="40% - Accent2 2 5 3" xfId="5388" xr:uid="{00000000-0005-0000-0000-0000A6040000}"/>
    <cellStyle name="40% - Accent2 2 5 3 2" xfId="13838" xr:uid="{BB89A464-91E6-4ED5-AC6F-EAE79C480C90}"/>
    <cellStyle name="40% - Accent2 2 5 4" xfId="9620" xr:uid="{76F6D6DC-C09C-45CC-AC87-C5C8B42AB712}"/>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C23CC2CD-C2FC-43C8-952C-527958991C99}"/>
    <cellStyle name="40% - Accent2 2 6 2 3" xfId="12178" xr:uid="{5172792D-B314-4FA2-B154-BC20D85EA823}"/>
    <cellStyle name="40% - Accent2 2 6 3" xfId="5801" xr:uid="{00000000-0005-0000-0000-0000AA040000}"/>
    <cellStyle name="40% - Accent2 2 6 3 2" xfId="14251" xr:uid="{3BEF6D9E-C20F-4B13-8084-CC4F150EA1CF}"/>
    <cellStyle name="40% - Accent2 2 6 4" xfId="10033" xr:uid="{D13D081D-ABDF-49C7-8FFF-B9DA26F0E00E}"/>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656F8550-38D4-4F36-8EC6-107CFE720967}"/>
    <cellStyle name="40% - Accent2 2 7 2 3" xfId="12591" xr:uid="{006E67F3-4D30-4539-8E1F-0BF259EB3658}"/>
    <cellStyle name="40% - Accent2 2 7 3" xfId="6214" xr:uid="{00000000-0005-0000-0000-0000AE040000}"/>
    <cellStyle name="40% - Accent2 2 7 3 2" xfId="14664" xr:uid="{6406E761-7AC7-44CE-A5DA-AC02CB6352C5}"/>
    <cellStyle name="40% - Accent2 2 7 4" xfId="10446" xr:uid="{44D93E83-CA24-4CD0-A3DC-3AC89F3BEC07}"/>
    <cellStyle name="40% - Accent2 2 8" xfId="2321" xr:uid="{00000000-0005-0000-0000-0000AF040000}"/>
    <cellStyle name="40% - Accent2 2 8 2" xfId="6627" xr:uid="{00000000-0005-0000-0000-0000B0040000}"/>
    <cellStyle name="40% - Accent2 2 8 2 2" xfId="15077" xr:uid="{8CECF3C7-22E5-4AB7-8CC1-0EB1555DD6C6}"/>
    <cellStyle name="40% - Accent2 2 8 3" xfId="10859" xr:uid="{88A539AC-A2F9-4393-AEDA-D90323A2837D}"/>
    <cellStyle name="40% - Accent2 2 9" xfId="4561" xr:uid="{00000000-0005-0000-0000-0000B1040000}"/>
    <cellStyle name="40% - Accent2 2 9 2" xfId="13011" xr:uid="{12FFA9B1-B135-4EF9-994C-48A29A4A8A99}"/>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70394CAA-E228-4E06-A449-D7C79AFDAD64}"/>
    <cellStyle name="40% - Accent2 3 2 2 2 3" xfId="11357" xr:uid="{B8C7972C-469B-4E15-8F05-85A61C2D831D}"/>
    <cellStyle name="40% - Accent2 3 2 2 3" xfId="4980" xr:uid="{00000000-0005-0000-0000-0000B7040000}"/>
    <cellStyle name="40% - Accent2 3 2 2 3 2" xfId="13430" xr:uid="{327D60BC-F75A-4B02-A5DB-10B281AF43F6}"/>
    <cellStyle name="40% - Accent2 3 2 2 4" xfId="9212" xr:uid="{4E81B08E-199E-40B4-B44D-522CBC89FB6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E774D45E-3096-4AA4-9B70-7208C0AA2978}"/>
    <cellStyle name="40% - Accent2 3 2 3 2 3" xfId="11770" xr:uid="{25368AD9-E3EF-46B7-AD00-09D68FD95CEF}"/>
    <cellStyle name="40% - Accent2 3 2 3 3" xfId="5393" xr:uid="{00000000-0005-0000-0000-0000BB040000}"/>
    <cellStyle name="40% - Accent2 3 2 3 3 2" xfId="13843" xr:uid="{308A24A4-3E2B-4F40-8953-9AFF75544F8E}"/>
    <cellStyle name="40% - Accent2 3 2 3 4" xfId="9625" xr:uid="{2F64B5C8-48E1-48E2-A0CA-AF795845CD8E}"/>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2B7E9B07-9168-4461-8506-385716AFDDD3}"/>
    <cellStyle name="40% - Accent2 3 2 4 2 3" xfId="12183" xr:uid="{404E64AE-1502-4C7E-AC57-B661691216F8}"/>
    <cellStyle name="40% - Accent2 3 2 4 3" xfId="5806" xr:uid="{00000000-0005-0000-0000-0000BF040000}"/>
    <cellStyle name="40% - Accent2 3 2 4 3 2" xfId="14256" xr:uid="{C1619129-E123-4542-87E4-7BB6C4B2038B}"/>
    <cellStyle name="40% - Accent2 3 2 4 4" xfId="10038" xr:uid="{AFA10E8D-4805-44BF-BC61-BA1986EF1FE9}"/>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8D785D1D-E02B-47DB-B324-3603FD309026}"/>
    <cellStyle name="40% - Accent2 3 2 5 2 3" xfId="12596" xr:uid="{A0970329-D0D1-4001-B4CB-A6BB03C6BC30}"/>
    <cellStyle name="40% - Accent2 3 2 5 3" xfId="6219" xr:uid="{00000000-0005-0000-0000-0000C3040000}"/>
    <cellStyle name="40% - Accent2 3 2 5 3 2" xfId="14669" xr:uid="{4439F9BC-5FA6-421E-98D8-84E2C3553791}"/>
    <cellStyle name="40% - Accent2 3 2 5 4" xfId="10451" xr:uid="{BE780576-509B-4115-8E6B-49C4C3682A1C}"/>
    <cellStyle name="40% - Accent2 3 2 6" xfId="2326" xr:uid="{00000000-0005-0000-0000-0000C4040000}"/>
    <cellStyle name="40% - Accent2 3 2 6 2" xfId="6632" xr:uid="{00000000-0005-0000-0000-0000C5040000}"/>
    <cellStyle name="40% - Accent2 3 2 6 2 2" xfId="15082" xr:uid="{133BB741-99A6-4C45-A549-B0297D5FBC57}"/>
    <cellStyle name="40% - Accent2 3 2 6 3" xfId="10864" xr:uid="{5A009242-285F-4313-BDDB-E7983A91A9CC}"/>
    <cellStyle name="40% - Accent2 3 2 7" xfId="4566" xr:uid="{00000000-0005-0000-0000-0000C6040000}"/>
    <cellStyle name="40% - Accent2 3 2 7 2" xfId="13016" xr:uid="{C649DC11-2862-4C7A-831E-8051BBB1A54C}"/>
    <cellStyle name="40% - Accent2 3 2 8" xfId="8798" xr:uid="{DEDF37BE-7A29-4C93-9983-CD77090C4F06}"/>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F14DBDEF-B87F-4BC8-BC62-A5AF05A61A87}"/>
    <cellStyle name="40% - Accent2 3 3 2 3" xfId="11356" xr:uid="{788E7AA7-2EB3-407F-8873-641FEC682F70}"/>
    <cellStyle name="40% - Accent2 3 3 3" xfId="4979" xr:uid="{00000000-0005-0000-0000-0000CA040000}"/>
    <cellStyle name="40% - Accent2 3 3 3 2" xfId="13429" xr:uid="{0595C9E2-9F52-40E3-A5B2-8FA57C75CACF}"/>
    <cellStyle name="40% - Accent2 3 3 4" xfId="9211" xr:uid="{AAD88ADE-F2FD-4C53-97F8-359173EF8D6D}"/>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9F17E8D8-0C56-4B6E-98C3-DA8F2B9A9AAD}"/>
    <cellStyle name="40% - Accent2 3 4 2 3" xfId="11769" xr:uid="{C2FA2341-8621-401A-A507-0EF5BA196D38}"/>
    <cellStyle name="40% - Accent2 3 4 3" xfId="5392" xr:uid="{00000000-0005-0000-0000-0000CE040000}"/>
    <cellStyle name="40% - Accent2 3 4 3 2" xfId="13842" xr:uid="{E66F6360-320F-46DD-A3C8-1C802E28CB08}"/>
    <cellStyle name="40% - Accent2 3 4 4" xfId="9624" xr:uid="{7C970356-457E-43C1-8644-F762C22DFBC1}"/>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75D761ED-503E-478F-BE3C-4325C12D2C93}"/>
    <cellStyle name="40% - Accent2 3 5 2 3" xfId="12182" xr:uid="{07E8D1AC-F1C6-4301-B299-74CD203627E9}"/>
    <cellStyle name="40% - Accent2 3 5 3" xfId="5805" xr:uid="{00000000-0005-0000-0000-0000D2040000}"/>
    <cellStyle name="40% - Accent2 3 5 3 2" xfId="14255" xr:uid="{7ED99F00-BFD2-4C76-A3B1-85F5A00B8E60}"/>
    <cellStyle name="40% - Accent2 3 5 4" xfId="10037" xr:uid="{75F40027-C21F-4D26-A84C-1AE2ADCB716C}"/>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CF6A6FA6-C48E-4594-8BA3-B8FCD4B407DC}"/>
    <cellStyle name="40% - Accent2 3 6 2 3" xfId="12595" xr:uid="{44EB37DA-0D39-45C6-B157-5065B75F5DA4}"/>
    <cellStyle name="40% - Accent2 3 6 3" xfId="6218" xr:uid="{00000000-0005-0000-0000-0000D6040000}"/>
    <cellStyle name="40% - Accent2 3 6 3 2" xfId="14668" xr:uid="{2753667D-6CB5-4CEB-B23E-3891A219289A}"/>
    <cellStyle name="40% - Accent2 3 6 4" xfId="10450" xr:uid="{5E4353EF-EFBC-4E91-893F-975B0A3BDB1B}"/>
    <cellStyle name="40% - Accent2 3 7" xfId="2325" xr:uid="{00000000-0005-0000-0000-0000D7040000}"/>
    <cellStyle name="40% - Accent2 3 7 2" xfId="6631" xr:uid="{00000000-0005-0000-0000-0000D8040000}"/>
    <cellStyle name="40% - Accent2 3 7 2 2" xfId="15081" xr:uid="{7BC1F308-6D3C-42BC-90E0-1545B13457DD}"/>
    <cellStyle name="40% - Accent2 3 7 3" xfId="10863" xr:uid="{2E3EFFD2-1504-47B8-BC90-A2C228B5467A}"/>
    <cellStyle name="40% - Accent2 3 8" xfId="4565" xr:uid="{00000000-0005-0000-0000-0000D9040000}"/>
    <cellStyle name="40% - Accent2 3 8 2" xfId="13015" xr:uid="{70BE6D1C-17B5-45AB-8B45-AD80D8726455}"/>
    <cellStyle name="40% - Accent2 3 9" xfId="8797" xr:uid="{30E6BA9A-EE49-4463-9500-E485E19431B2}"/>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CE82885E-DC60-43E4-ABD6-015962B16EB4}"/>
    <cellStyle name="40% - Accent2 4 2 2 3" xfId="11358" xr:uid="{E83F705E-6D94-49E4-8A9E-5A026BC60556}"/>
    <cellStyle name="40% - Accent2 4 2 3" xfId="4981" xr:uid="{00000000-0005-0000-0000-0000DE040000}"/>
    <cellStyle name="40% - Accent2 4 2 3 2" xfId="13431" xr:uid="{7C35A735-3149-4458-AB20-8CC781229B8E}"/>
    <cellStyle name="40% - Accent2 4 2 4" xfId="9213" xr:uid="{946A096B-261D-4DDC-898C-48D070BEC702}"/>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66EE84EA-E087-4F3C-BA16-F7E74DB7FF84}"/>
    <cellStyle name="40% - Accent2 4 3 2 3" xfId="11771" xr:uid="{F13EFA09-3420-4B4A-9107-52DA4B8E3805}"/>
    <cellStyle name="40% - Accent2 4 3 3" xfId="5394" xr:uid="{00000000-0005-0000-0000-0000E2040000}"/>
    <cellStyle name="40% - Accent2 4 3 3 2" xfId="13844" xr:uid="{B7BC813A-9116-4C05-BF14-EDE2EC470A88}"/>
    <cellStyle name="40% - Accent2 4 3 4" xfId="9626" xr:uid="{C858FE94-E54B-41C3-A14E-FC018862C8F1}"/>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02869B8D-4ED5-4B6B-BF1E-9321563A2873}"/>
    <cellStyle name="40% - Accent2 4 4 2 3" xfId="12184" xr:uid="{228B1ACC-3F77-4F1A-989C-2E8CB984DF47}"/>
    <cellStyle name="40% - Accent2 4 4 3" xfId="5807" xr:uid="{00000000-0005-0000-0000-0000E6040000}"/>
    <cellStyle name="40% - Accent2 4 4 3 2" xfId="14257" xr:uid="{CD4F102D-A93B-4115-9802-3052E89DA2DD}"/>
    <cellStyle name="40% - Accent2 4 4 4" xfId="10039" xr:uid="{AE334D82-BBA9-41E6-BC51-6E8FDDC4D567}"/>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F145E60D-1F57-49F5-8704-B9AF5FB607BC}"/>
    <cellStyle name="40% - Accent2 4 5 2 3" xfId="12597" xr:uid="{D0F99F19-DF08-490A-B28C-C7B7D438F69F}"/>
    <cellStyle name="40% - Accent2 4 5 3" xfId="6220" xr:uid="{00000000-0005-0000-0000-0000EA040000}"/>
    <cellStyle name="40% - Accent2 4 5 3 2" xfId="14670" xr:uid="{D02F580F-473F-45E9-BBBC-72EEC8509D3B}"/>
    <cellStyle name="40% - Accent2 4 5 4" xfId="10452" xr:uid="{C60BC659-548F-45DD-8A46-96B5142D0193}"/>
    <cellStyle name="40% - Accent2 4 6" xfId="2327" xr:uid="{00000000-0005-0000-0000-0000EB040000}"/>
    <cellStyle name="40% - Accent2 4 6 2" xfId="6633" xr:uid="{00000000-0005-0000-0000-0000EC040000}"/>
    <cellStyle name="40% - Accent2 4 6 2 2" xfId="15083" xr:uid="{53329158-90E5-499C-B4E2-189D6AFFBAE8}"/>
    <cellStyle name="40% - Accent2 4 6 3" xfId="10865" xr:uid="{F3E1847C-5C20-40E1-8DA6-F585526179CC}"/>
    <cellStyle name="40% - Accent2 4 7" xfId="4567" xr:uid="{00000000-0005-0000-0000-0000ED040000}"/>
    <cellStyle name="40% - Accent2 4 7 2" xfId="13017" xr:uid="{9D1EB664-B299-494B-B5C5-E1B7168E0CEA}"/>
    <cellStyle name="40% - Accent2 4 8" xfId="8799" xr:uid="{472D3A2A-0E24-4FEF-85B4-0920085FB0F0}"/>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8BD008D2-2948-4A26-9E53-D6A88112F175}"/>
    <cellStyle name="40% - Accent2 5 2 3" xfId="11351" xr:uid="{69A89426-2327-4987-BDBE-9AC1CF31EC74}"/>
    <cellStyle name="40% - Accent2 5 3" xfId="4974" xr:uid="{00000000-0005-0000-0000-0000F1040000}"/>
    <cellStyle name="40% - Accent2 5 3 2" xfId="13424" xr:uid="{E46C7FF9-2046-40CE-A737-47CFF23E567B}"/>
    <cellStyle name="40% - Accent2 5 4" xfId="9206" xr:uid="{43B63254-75A2-4AEC-80CB-BDDCAD7F42A6}"/>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453DC5B8-4A34-409C-B9E6-D5628FF1513A}"/>
    <cellStyle name="40% - Accent2 6 2 3" xfId="11764" xr:uid="{5FD81A0F-EC26-43FF-833C-1AB22A1A5EB9}"/>
    <cellStyle name="40% - Accent2 6 3" xfId="5387" xr:uid="{00000000-0005-0000-0000-0000F5040000}"/>
    <cellStyle name="40% - Accent2 6 3 2" xfId="13837" xr:uid="{29042BE7-0F9C-4AF8-8844-EEBFF263F187}"/>
    <cellStyle name="40% - Accent2 6 4" xfId="9619" xr:uid="{8761B5D7-0716-4F2A-BCF2-A7E60911B78F}"/>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F1FB2C27-DBCD-4A0B-B0A0-3C69ADC10D0E}"/>
    <cellStyle name="40% - Accent2 7 2 3" xfId="12177" xr:uid="{A9472B1C-CBD6-43D0-8198-8FE6F99F42D2}"/>
    <cellStyle name="40% - Accent2 7 3" xfId="5800" xr:uid="{00000000-0005-0000-0000-0000F9040000}"/>
    <cellStyle name="40% - Accent2 7 3 2" xfId="14250" xr:uid="{38D3D55C-2033-4F7C-9999-8C61F39A36F2}"/>
    <cellStyle name="40% - Accent2 7 4" xfId="10032" xr:uid="{69970955-AD1E-49AE-94AF-B6835C94BB33}"/>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6587D165-199A-4FD7-ADE9-5D2AE8F61DDF}"/>
    <cellStyle name="40% - Accent2 8 2 3" xfId="12590" xr:uid="{3DB1DD8A-3C0F-46EA-A089-163515918AAC}"/>
    <cellStyle name="40% - Accent2 8 3" xfId="6213" xr:uid="{00000000-0005-0000-0000-0000FD040000}"/>
    <cellStyle name="40% - Accent2 8 3 2" xfId="14663" xr:uid="{4DF5DD40-D9BF-4796-A240-04235C5B0457}"/>
    <cellStyle name="40% - Accent2 8 4" xfId="10445" xr:uid="{75D6FE5A-A186-4CF5-A8C0-DB20EFC369AE}"/>
    <cellStyle name="40% - Accent2 9" xfId="2320" xr:uid="{00000000-0005-0000-0000-0000FE040000}"/>
    <cellStyle name="40% - Accent2 9 2" xfId="6626" xr:uid="{00000000-0005-0000-0000-0000FF040000}"/>
    <cellStyle name="40% - Accent2 9 2 2" xfId="15076" xr:uid="{3CC54BB1-18D0-4B3F-99E5-F3D6158E4AE8}"/>
    <cellStyle name="40% - Accent2 9 3" xfId="10858" xr:uid="{51B13AFF-DA44-44C4-A0B6-A5277BB34A71}"/>
    <cellStyle name="40% - Accent3" xfId="65" builtinId="39" customBuiltin="1"/>
    <cellStyle name="40% - Accent3 10" xfId="4568" xr:uid="{00000000-0005-0000-0000-000001050000}"/>
    <cellStyle name="40% - Accent3 10 2" xfId="13018" xr:uid="{BA1B9861-DB26-4BB2-A688-518B3E22E319}"/>
    <cellStyle name="40% - Accent3 11" xfId="8800" xr:uid="{F5FDD7ED-58D9-47E9-8F40-D79A1BF5E6B6}"/>
    <cellStyle name="40% - Accent3 2" xfId="66" xr:uid="{00000000-0005-0000-0000-000002050000}"/>
    <cellStyle name="40% - Accent3 2 10" xfId="8801" xr:uid="{48313BDA-2B81-413A-BB72-E1EB8A714E47}"/>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67FB7835-B4A6-406B-91BE-1DD087B83E47}"/>
    <cellStyle name="40% - Accent3 2 2 2 2 2 3" xfId="11362" xr:uid="{F926E4A5-0ED4-496D-A3C9-9608B62968DE}"/>
    <cellStyle name="40% - Accent3 2 2 2 2 3" xfId="4985" xr:uid="{00000000-0005-0000-0000-000008050000}"/>
    <cellStyle name="40% - Accent3 2 2 2 2 3 2" xfId="13435" xr:uid="{0A653F1D-34E5-4B23-A62A-673D5E2FB99C}"/>
    <cellStyle name="40% - Accent3 2 2 2 2 4" xfId="9217" xr:uid="{6DAEF10B-536D-4AED-8007-0163007C15D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E4774F0F-B809-44DA-9B11-26DC1D61A3D6}"/>
    <cellStyle name="40% - Accent3 2 2 2 3 2 3" xfId="11775" xr:uid="{E49273EA-F004-42C8-82F9-768991851FB6}"/>
    <cellStyle name="40% - Accent3 2 2 2 3 3" xfId="5398" xr:uid="{00000000-0005-0000-0000-00000C050000}"/>
    <cellStyle name="40% - Accent3 2 2 2 3 3 2" xfId="13848" xr:uid="{DFCA04D4-0E7B-4CD3-A5DD-E76F257DBDDE}"/>
    <cellStyle name="40% - Accent3 2 2 2 3 4" xfId="9630" xr:uid="{2CA018F4-AC70-4F61-B2AA-C0276A3E5421}"/>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AD6EB704-64CE-4F47-8302-E26E03AAE6A6}"/>
    <cellStyle name="40% - Accent3 2 2 2 4 2 3" xfId="12188" xr:uid="{1C699CB8-5345-4F6F-8F68-F56F45A44EDA}"/>
    <cellStyle name="40% - Accent3 2 2 2 4 3" xfId="5811" xr:uid="{00000000-0005-0000-0000-000010050000}"/>
    <cellStyle name="40% - Accent3 2 2 2 4 3 2" xfId="14261" xr:uid="{60547E92-6B1A-45B7-B2EC-50631F400FC5}"/>
    <cellStyle name="40% - Accent3 2 2 2 4 4" xfId="10043" xr:uid="{B83B9E36-AA87-4F75-9BD1-583B9EB57F1A}"/>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9231E932-8121-4428-9013-98BAD65539E1}"/>
    <cellStyle name="40% - Accent3 2 2 2 5 2 3" xfId="12601" xr:uid="{F936C921-3AE8-4354-B28F-22BA704249E7}"/>
    <cellStyle name="40% - Accent3 2 2 2 5 3" xfId="6224" xr:uid="{00000000-0005-0000-0000-000014050000}"/>
    <cellStyle name="40% - Accent3 2 2 2 5 3 2" xfId="14674" xr:uid="{BF969F4E-7415-4880-8EEA-6E01B7D52040}"/>
    <cellStyle name="40% - Accent3 2 2 2 5 4" xfId="10456" xr:uid="{6F52A9B6-2346-4DFA-8699-377900D56B55}"/>
    <cellStyle name="40% - Accent3 2 2 2 6" xfId="2331" xr:uid="{00000000-0005-0000-0000-000015050000}"/>
    <cellStyle name="40% - Accent3 2 2 2 6 2" xfId="6637" xr:uid="{00000000-0005-0000-0000-000016050000}"/>
    <cellStyle name="40% - Accent3 2 2 2 6 2 2" xfId="15087" xr:uid="{407E7E7F-BA7B-4FC9-9D7D-15346ADC2B68}"/>
    <cellStyle name="40% - Accent3 2 2 2 6 3" xfId="10869" xr:uid="{769C54D9-BCF0-45F7-B1D3-3394562BACD3}"/>
    <cellStyle name="40% - Accent3 2 2 2 7" xfId="4571" xr:uid="{00000000-0005-0000-0000-000017050000}"/>
    <cellStyle name="40% - Accent3 2 2 2 7 2" xfId="13021" xr:uid="{D3547A0C-90CB-4C9F-BC5E-7B880BD9C0D4}"/>
    <cellStyle name="40% - Accent3 2 2 2 8" xfId="8803" xr:uid="{AF650CA3-BEBF-4547-9147-67BA003D52EE}"/>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7D3689A6-9112-42D8-B02F-A6622174F689}"/>
    <cellStyle name="40% - Accent3 2 2 3 2 3" xfId="11361" xr:uid="{7366C189-A797-4566-B11F-B517676435A0}"/>
    <cellStyle name="40% - Accent3 2 2 3 3" xfId="4984" xr:uid="{00000000-0005-0000-0000-00001B050000}"/>
    <cellStyle name="40% - Accent3 2 2 3 3 2" xfId="13434" xr:uid="{7B97F8D3-50FB-4F09-8E7B-7BD8770922DB}"/>
    <cellStyle name="40% - Accent3 2 2 3 4" xfId="9216" xr:uid="{4BDEA0D3-2DE5-468E-BE9B-23634413FC6C}"/>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94209CDB-2BA4-4D08-BDB1-994E439ED8A0}"/>
    <cellStyle name="40% - Accent3 2 2 4 2 3" xfId="11774" xr:uid="{1E8FD357-6EA2-4292-9DE4-6EA43D8BD2FB}"/>
    <cellStyle name="40% - Accent3 2 2 4 3" xfId="5397" xr:uid="{00000000-0005-0000-0000-00001F050000}"/>
    <cellStyle name="40% - Accent3 2 2 4 3 2" xfId="13847" xr:uid="{971E31D2-8778-45C1-8E84-17783157B320}"/>
    <cellStyle name="40% - Accent3 2 2 4 4" xfId="9629" xr:uid="{C5607660-23E3-491F-8EBF-199EAC1D7AEE}"/>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0207E52A-79CB-4C98-9228-B09794034338}"/>
    <cellStyle name="40% - Accent3 2 2 5 2 3" xfId="12187" xr:uid="{9DA92070-B7A5-4FCF-B397-E757F0D399E2}"/>
    <cellStyle name="40% - Accent3 2 2 5 3" xfId="5810" xr:uid="{00000000-0005-0000-0000-000023050000}"/>
    <cellStyle name="40% - Accent3 2 2 5 3 2" xfId="14260" xr:uid="{31989A85-ED3B-459A-B7BD-C036CCD929BA}"/>
    <cellStyle name="40% - Accent3 2 2 5 4" xfId="10042" xr:uid="{85BB382E-9174-425E-A680-EEF5A36CF032}"/>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45828015-DEF8-4640-9C58-EB42DD788760}"/>
    <cellStyle name="40% - Accent3 2 2 6 2 3" xfId="12600" xr:uid="{3C6E20F6-B6A3-47BF-97E6-98FF8815914D}"/>
    <cellStyle name="40% - Accent3 2 2 6 3" xfId="6223" xr:uid="{00000000-0005-0000-0000-000027050000}"/>
    <cellStyle name="40% - Accent3 2 2 6 3 2" xfId="14673" xr:uid="{37A6AF71-B43D-4D19-84BD-A7BEBBFA64DD}"/>
    <cellStyle name="40% - Accent3 2 2 6 4" xfId="10455" xr:uid="{88769AF1-197B-4A3F-97EB-B1E449A51805}"/>
    <cellStyle name="40% - Accent3 2 2 7" xfId="2330" xr:uid="{00000000-0005-0000-0000-000028050000}"/>
    <cellStyle name="40% - Accent3 2 2 7 2" xfId="6636" xr:uid="{00000000-0005-0000-0000-000029050000}"/>
    <cellStyle name="40% - Accent3 2 2 7 2 2" xfId="15086" xr:uid="{40B0CF29-9DAF-4125-8327-80691EF8080C}"/>
    <cellStyle name="40% - Accent3 2 2 7 3" xfId="10868" xr:uid="{5A1D66DD-E9FE-475E-9866-E445339BDB4C}"/>
    <cellStyle name="40% - Accent3 2 2 8" xfId="4570" xr:uid="{00000000-0005-0000-0000-00002A050000}"/>
    <cellStyle name="40% - Accent3 2 2 8 2" xfId="13020" xr:uid="{7798DC7A-DA43-48F0-8A64-9F69401AE3F3}"/>
    <cellStyle name="40% - Accent3 2 2 9" xfId="8802" xr:uid="{7FE0AEF7-96E7-4DFF-8677-7AD87A8BFDBE}"/>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00596E84-0143-4A34-B0F7-1F8CE44CD823}"/>
    <cellStyle name="40% - Accent3 2 3 2 2 3" xfId="11363" xr:uid="{A4A47F07-5C5E-49CD-AE57-B4AA32202285}"/>
    <cellStyle name="40% - Accent3 2 3 2 3" xfId="4986" xr:uid="{00000000-0005-0000-0000-00002F050000}"/>
    <cellStyle name="40% - Accent3 2 3 2 3 2" xfId="13436" xr:uid="{3B46064D-7B50-42C6-9F0D-6D1647624D64}"/>
    <cellStyle name="40% - Accent3 2 3 2 4" xfId="9218" xr:uid="{82673AC4-5EFE-4C39-AC14-DFC077BECAA7}"/>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A7B49E09-CB76-4460-925E-23DC0D7C16AD}"/>
    <cellStyle name="40% - Accent3 2 3 3 2 3" xfId="11776" xr:uid="{07F69A85-EAA2-45FB-85BD-D2AE68303529}"/>
    <cellStyle name="40% - Accent3 2 3 3 3" xfId="5399" xr:uid="{00000000-0005-0000-0000-000033050000}"/>
    <cellStyle name="40% - Accent3 2 3 3 3 2" xfId="13849" xr:uid="{ADD5E65D-A3D4-4667-9A47-B5542C0A3437}"/>
    <cellStyle name="40% - Accent3 2 3 3 4" xfId="9631" xr:uid="{4867D180-0A8F-4A16-810C-882E241F28BC}"/>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AD1C064B-8687-4EB7-B632-84323EBA4269}"/>
    <cellStyle name="40% - Accent3 2 3 4 2 3" xfId="12189" xr:uid="{FD59A541-3930-419B-A2A4-1A0DCC3F79AC}"/>
    <cellStyle name="40% - Accent3 2 3 4 3" xfId="5812" xr:uid="{00000000-0005-0000-0000-000037050000}"/>
    <cellStyle name="40% - Accent3 2 3 4 3 2" xfId="14262" xr:uid="{8BA31761-6940-4A4A-B7D7-79B2A4117419}"/>
    <cellStyle name="40% - Accent3 2 3 4 4" xfId="10044" xr:uid="{4F4DB001-AE69-428F-90A2-145576B09351}"/>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E22D10F5-F7E3-4EF1-8A70-15C771F34589}"/>
    <cellStyle name="40% - Accent3 2 3 5 2 3" xfId="12602" xr:uid="{0003A82E-B442-4AD4-A6E3-C7DDF0EC3D23}"/>
    <cellStyle name="40% - Accent3 2 3 5 3" xfId="6225" xr:uid="{00000000-0005-0000-0000-00003B050000}"/>
    <cellStyle name="40% - Accent3 2 3 5 3 2" xfId="14675" xr:uid="{5327B5CF-7018-4778-9F6E-EB3CCB58E1DB}"/>
    <cellStyle name="40% - Accent3 2 3 5 4" xfId="10457" xr:uid="{6FEAFFDF-62CD-48F6-AD71-88138AFAD1C7}"/>
    <cellStyle name="40% - Accent3 2 3 6" xfId="2332" xr:uid="{00000000-0005-0000-0000-00003C050000}"/>
    <cellStyle name="40% - Accent3 2 3 6 2" xfId="6638" xr:uid="{00000000-0005-0000-0000-00003D050000}"/>
    <cellStyle name="40% - Accent3 2 3 6 2 2" xfId="15088" xr:uid="{24894E08-74D6-4EE2-988C-A088DB3B2CE5}"/>
    <cellStyle name="40% - Accent3 2 3 6 3" xfId="10870" xr:uid="{968C0857-5583-4CB9-B652-D2967BB851FC}"/>
    <cellStyle name="40% - Accent3 2 3 7" xfId="4572" xr:uid="{00000000-0005-0000-0000-00003E050000}"/>
    <cellStyle name="40% - Accent3 2 3 7 2" xfId="13022" xr:uid="{D0539CDA-FC4C-48D5-99DA-A6B615F5192F}"/>
    <cellStyle name="40% - Accent3 2 3 8" xfId="8804" xr:uid="{D2D18545-060B-492A-B5EA-21DEDDC91229}"/>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79B218BA-30C7-4804-BAE9-2D00B5E31850}"/>
    <cellStyle name="40% - Accent3 2 4 2 3" xfId="11360" xr:uid="{62EF0F81-BCF7-4AC8-A91B-4423CE2D40A1}"/>
    <cellStyle name="40% - Accent3 2 4 3" xfId="4983" xr:uid="{00000000-0005-0000-0000-000042050000}"/>
    <cellStyle name="40% - Accent3 2 4 3 2" xfId="13433" xr:uid="{3AFA1A4E-2757-4B76-A4F2-93A127A8CD01}"/>
    <cellStyle name="40% - Accent3 2 4 4" xfId="9215" xr:uid="{EB4E6BD7-40F8-46A8-9D5E-6240DB1E62B4}"/>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8DB3B1A6-5771-4A72-8805-74C039092485}"/>
    <cellStyle name="40% - Accent3 2 5 2 3" xfId="11773" xr:uid="{241D8B2F-C1BB-4BF5-8664-7D9B4542F3A1}"/>
    <cellStyle name="40% - Accent3 2 5 3" xfId="5396" xr:uid="{00000000-0005-0000-0000-000046050000}"/>
    <cellStyle name="40% - Accent3 2 5 3 2" xfId="13846" xr:uid="{AFA481D1-5897-47A1-9CBF-8935C6ACD1B9}"/>
    <cellStyle name="40% - Accent3 2 5 4" xfId="9628" xr:uid="{63EB81B9-CF6B-4484-8650-9865152ED837}"/>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CD251456-0B98-4393-903C-B1B2C04D0E2C}"/>
    <cellStyle name="40% - Accent3 2 6 2 3" xfId="12186" xr:uid="{D8D98309-A646-479B-8DD7-99CCBBF455EC}"/>
    <cellStyle name="40% - Accent3 2 6 3" xfId="5809" xr:uid="{00000000-0005-0000-0000-00004A050000}"/>
    <cellStyle name="40% - Accent3 2 6 3 2" xfId="14259" xr:uid="{5428C3AD-40C5-4F49-AF70-06785EC00302}"/>
    <cellStyle name="40% - Accent3 2 6 4" xfId="10041" xr:uid="{541B1351-0671-4E19-8688-29D1D96295EA}"/>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F8BC0822-618B-4AE8-8EC5-F1039545A558}"/>
    <cellStyle name="40% - Accent3 2 7 2 3" xfId="12599" xr:uid="{86F0D036-EA1F-404D-B85E-04F876645E1D}"/>
    <cellStyle name="40% - Accent3 2 7 3" xfId="6222" xr:uid="{00000000-0005-0000-0000-00004E050000}"/>
    <cellStyle name="40% - Accent3 2 7 3 2" xfId="14672" xr:uid="{663EC576-426D-400A-973F-D8D74FD193A8}"/>
    <cellStyle name="40% - Accent3 2 7 4" xfId="10454" xr:uid="{5BFD4035-F468-4F01-8EB6-7E3727184468}"/>
    <cellStyle name="40% - Accent3 2 8" xfId="2329" xr:uid="{00000000-0005-0000-0000-00004F050000}"/>
    <cellStyle name="40% - Accent3 2 8 2" xfId="6635" xr:uid="{00000000-0005-0000-0000-000050050000}"/>
    <cellStyle name="40% - Accent3 2 8 2 2" xfId="15085" xr:uid="{67C475FF-0955-4498-BA02-11C67F1A46C2}"/>
    <cellStyle name="40% - Accent3 2 8 3" xfId="10867" xr:uid="{8D3D64F2-C991-47F5-9A42-4463D64455CD}"/>
    <cellStyle name="40% - Accent3 2 9" xfId="4569" xr:uid="{00000000-0005-0000-0000-000051050000}"/>
    <cellStyle name="40% - Accent3 2 9 2" xfId="13019" xr:uid="{60FC8088-0A9A-4DD6-A51D-EEB36567C1DB}"/>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C4CD9EBE-8A38-41CE-8403-7D8877C7881D}"/>
    <cellStyle name="40% - Accent3 3 2 2 2 3" xfId="11365" xr:uid="{3FB41A35-B7EA-4402-9E5D-F7D186319A6D}"/>
    <cellStyle name="40% - Accent3 3 2 2 3" xfId="4988" xr:uid="{00000000-0005-0000-0000-000057050000}"/>
    <cellStyle name="40% - Accent3 3 2 2 3 2" xfId="13438" xr:uid="{2E5CB0EA-3788-42B4-8C6D-651408912C43}"/>
    <cellStyle name="40% - Accent3 3 2 2 4" xfId="9220" xr:uid="{93BC7964-5125-40DF-B1F1-B06C855B2AA0}"/>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6935C330-B3E8-4691-9943-C7038C15D89F}"/>
    <cellStyle name="40% - Accent3 3 2 3 2 3" xfId="11778" xr:uid="{DD62FDB3-1C25-42D4-A0F9-21FFE7BF8250}"/>
    <cellStyle name="40% - Accent3 3 2 3 3" xfId="5401" xr:uid="{00000000-0005-0000-0000-00005B050000}"/>
    <cellStyle name="40% - Accent3 3 2 3 3 2" xfId="13851" xr:uid="{F7ED920F-D78E-4A61-B007-9B691794B572}"/>
    <cellStyle name="40% - Accent3 3 2 3 4" xfId="9633" xr:uid="{D4726126-94F5-49BD-B06A-2875F12C9735}"/>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CAE3BFB0-2C2B-4563-9831-A1CAB2E2E029}"/>
    <cellStyle name="40% - Accent3 3 2 4 2 3" xfId="12191" xr:uid="{F1F7CB03-2943-4BF9-A682-8EADD6AFDF7A}"/>
    <cellStyle name="40% - Accent3 3 2 4 3" xfId="5814" xr:uid="{00000000-0005-0000-0000-00005F050000}"/>
    <cellStyle name="40% - Accent3 3 2 4 3 2" xfId="14264" xr:uid="{DD60EE0E-D47A-463C-B9FB-0716EFD2D67A}"/>
    <cellStyle name="40% - Accent3 3 2 4 4" xfId="10046" xr:uid="{CA52C4A7-79D2-4323-9A35-543C7D6B79B5}"/>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4D407DD6-EE7F-4BF4-86AE-5A17F0E4E382}"/>
    <cellStyle name="40% - Accent3 3 2 5 2 3" xfId="12604" xr:uid="{BE903E70-A546-484D-910C-F1BBA20D7236}"/>
    <cellStyle name="40% - Accent3 3 2 5 3" xfId="6227" xr:uid="{00000000-0005-0000-0000-000063050000}"/>
    <cellStyle name="40% - Accent3 3 2 5 3 2" xfId="14677" xr:uid="{C934008E-E979-4CD3-9736-53ED3C14ABDB}"/>
    <cellStyle name="40% - Accent3 3 2 5 4" xfId="10459" xr:uid="{A0197D13-B2E6-4E93-93C1-D90EB1B85F4D}"/>
    <cellStyle name="40% - Accent3 3 2 6" xfId="2334" xr:uid="{00000000-0005-0000-0000-000064050000}"/>
    <cellStyle name="40% - Accent3 3 2 6 2" xfId="6640" xr:uid="{00000000-0005-0000-0000-000065050000}"/>
    <cellStyle name="40% - Accent3 3 2 6 2 2" xfId="15090" xr:uid="{60D38758-1C8F-49B2-990C-31D29B01AFD9}"/>
    <cellStyle name="40% - Accent3 3 2 6 3" xfId="10872" xr:uid="{0B98C7B8-716D-47C0-B3D1-DFDB6E665B68}"/>
    <cellStyle name="40% - Accent3 3 2 7" xfId="4574" xr:uid="{00000000-0005-0000-0000-000066050000}"/>
    <cellStyle name="40% - Accent3 3 2 7 2" xfId="13024" xr:uid="{01C06FF9-F319-4E74-8A95-B014E8A8B170}"/>
    <cellStyle name="40% - Accent3 3 2 8" xfId="8806" xr:uid="{EA52E5B0-7E37-4F40-9E84-9D9DA82666E4}"/>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C43F86E9-E6AC-4FA4-ABE4-B2E70D644572}"/>
    <cellStyle name="40% - Accent3 3 3 2 3" xfId="11364" xr:uid="{8A998E57-693A-42B3-82FA-C86E60CF58DB}"/>
    <cellStyle name="40% - Accent3 3 3 3" xfId="4987" xr:uid="{00000000-0005-0000-0000-00006A050000}"/>
    <cellStyle name="40% - Accent3 3 3 3 2" xfId="13437" xr:uid="{917AADDB-C301-4FF2-BD67-971A4FF7E4E3}"/>
    <cellStyle name="40% - Accent3 3 3 4" xfId="9219" xr:uid="{87CD4818-43C3-44DA-BF72-16DD74640DA1}"/>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61D40D57-09BF-41C2-99B9-32B09876C2C7}"/>
    <cellStyle name="40% - Accent3 3 4 2 3" xfId="11777" xr:uid="{3008BE70-12A4-4F8B-927E-3F6A3AC7F5E4}"/>
    <cellStyle name="40% - Accent3 3 4 3" xfId="5400" xr:uid="{00000000-0005-0000-0000-00006E050000}"/>
    <cellStyle name="40% - Accent3 3 4 3 2" xfId="13850" xr:uid="{9A4A97BB-7D45-4F39-B8D5-87B50A220801}"/>
    <cellStyle name="40% - Accent3 3 4 4" xfId="9632" xr:uid="{5AF85C58-C838-4693-8FC6-F6E72E4842AF}"/>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42EB8C42-9CC1-4E61-9F98-EA5A3ADEA0BC}"/>
    <cellStyle name="40% - Accent3 3 5 2 3" xfId="12190" xr:uid="{A2A73D6E-EFD1-47C1-A618-F4541FB0D778}"/>
    <cellStyle name="40% - Accent3 3 5 3" xfId="5813" xr:uid="{00000000-0005-0000-0000-000072050000}"/>
    <cellStyle name="40% - Accent3 3 5 3 2" xfId="14263" xr:uid="{6DE9DA8C-4BB6-4895-9F08-E506A9A67CE2}"/>
    <cellStyle name="40% - Accent3 3 5 4" xfId="10045" xr:uid="{48426EB1-4440-483C-8D52-9A9BA93AEDA8}"/>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90FD4EC7-94AF-4557-AC6E-7F1A77CF20D2}"/>
    <cellStyle name="40% - Accent3 3 6 2 3" xfId="12603" xr:uid="{D3EAB920-1692-428B-BFB5-8848CD788E35}"/>
    <cellStyle name="40% - Accent3 3 6 3" xfId="6226" xr:uid="{00000000-0005-0000-0000-000076050000}"/>
    <cellStyle name="40% - Accent3 3 6 3 2" xfId="14676" xr:uid="{D29AA6BF-ACAD-4B1A-9050-94E94CECA161}"/>
    <cellStyle name="40% - Accent3 3 6 4" xfId="10458" xr:uid="{51C585B9-AEF0-4D44-AF04-E8EB8CA74CF6}"/>
    <cellStyle name="40% - Accent3 3 7" xfId="2333" xr:uid="{00000000-0005-0000-0000-000077050000}"/>
    <cellStyle name="40% - Accent3 3 7 2" xfId="6639" xr:uid="{00000000-0005-0000-0000-000078050000}"/>
    <cellStyle name="40% - Accent3 3 7 2 2" xfId="15089" xr:uid="{3C74300D-B1D5-48CF-A3BF-02ADEE33B816}"/>
    <cellStyle name="40% - Accent3 3 7 3" xfId="10871" xr:uid="{A1614D56-B808-46A6-9A2B-2067C4D93C8F}"/>
    <cellStyle name="40% - Accent3 3 8" xfId="4573" xr:uid="{00000000-0005-0000-0000-000079050000}"/>
    <cellStyle name="40% - Accent3 3 8 2" xfId="13023" xr:uid="{053C85D2-C650-435D-B172-7E1DD2C96E00}"/>
    <cellStyle name="40% - Accent3 3 9" xfId="8805" xr:uid="{1CFE372F-932F-44B7-8794-9478C7CEBD33}"/>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86CF3BDE-B382-4450-899D-446400896C1B}"/>
    <cellStyle name="40% - Accent3 4 2 2 3" xfId="11366" xr:uid="{63885E50-75BF-44AA-BE6A-D8D749D87706}"/>
    <cellStyle name="40% - Accent3 4 2 3" xfId="4989" xr:uid="{00000000-0005-0000-0000-00007E050000}"/>
    <cellStyle name="40% - Accent3 4 2 3 2" xfId="13439" xr:uid="{7EB0B953-B013-418C-8848-4348E84D19AA}"/>
    <cellStyle name="40% - Accent3 4 2 4" xfId="9221" xr:uid="{753E2848-B076-483E-A9BD-8C334941184D}"/>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413FDC78-7B9A-45D6-9950-F08965A80A66}"/>
    <cellStyle name="40% - Accent3 4 3 2 3" xfId="11779" xr:uid="{3FFF6B49-7A18-4055-8230-0FF5CDCF9568}"/>
    <cellStyle name="40% - Accent3 4 3 3" xfId="5402" xr:uid="{00000000-0005-0000-0000-000082050000}"/>
    <cellStyle name="40% - Accent3 4 3 3 2" xfId="13852" xr:uid="{05B4A9E9-349C-4283-BD6A-5C4E80E570B8}"/>
    <cellStyle name="40% - Accent3 4 3 4" xfId="9634" xr:uid="{12C74D16-1413-48B5-8D3E-8EE0A7326FC8}"/>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016BACAB-3B4C-4F72-AEFD-1C89EEBEEBD0}"/>
    <cellStyle name="40% - Accent3 4 4 2 3" xfId="12192" xr:uid="{F6E0E218-2165-42D7-87D1-81D28868BA20}"/>
    <cellStyle name="40% - Accent3 4 4 3" xfId="5815" xr:uid="{00000000-0005-0000-0000-000086050000}"/>
    <cellStyle name="40% - Accent3 4 4 3 2" xfId="14265" xr:uid="{21C6EB27-87FB-404F-A0E6-50EC984AF4A9}"/>
    <cellStyle name="40% - Accent3 4 4 4" xfId="10047" xr:uid="{EDE73C7F-D597-4191-8D98-D93060A9A878}"/>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2B41BD31-996C-4C8A-9399-E7B187306283}"/>
    <cellStyle name="40% - Accent3 4 5 2 3" xfId="12605" xr:uid="{38F0EF92-9199-4FB8-8573-27E8AAF7EA5C}"/>
    <cellStyle name="40% - Accent3 4 5 3" xfId="6228" xr:uid="{00000000-0005-0000-0000-00008A050000}"/>
    <cellStyle name="40% - Accent3 4 5 3 2" xfId="14678" xr:uid="{0A7DD920-62F6-4CF5-B2F7-2164CD2960A5}"/>
    <cellStyle name="40% - Accent3 4 5 4" xfId="10460" xr:uid="{4CE8CCC1-907B-40C1-B46A-99B85EDE67FF}"/>
    <cellStyle name="40% - Accent3 4 6" xfId="2335" xr:uid="{00000000-0005-0000-0000-00008B050000}"/>
    <cellStyle name="40% - Accent3 4 6 2" xfId="6641" xr:uid="{00000000-0005-0000-0000-00008C050000}"/>
    <cellStyle name="40% - Accent3 4 6 2 2" xfId="15091" xr:uid="{9303BDAD-F871-4E64-9694-B657DF89A09B}"/>
    <cellStyle name="40% - Accent3 4 6 3" xfId="10873" xr:uid="{8F18B4CE-58B4-4CFF-ADFA-496EC4E334C6}"/>
    <cellStyle name="40% - Accent3 4 7" xfId="4575" xr:uid="{00000000-0005-0000-0000-00008D050000}"/>
    <cellStyle name="40% - Accent3 4 7 2" xfId="13025" xr:uid="{601DFB41-4757-474A-84FF-3A5A7BCDC3D4}"/>
    <cellStyle name="40% - Accent3 4 8" xfId="8807" xr:uid="{7CE3358C-1FB1-496F-B2CC-6C89FBE95F12}"/>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359AE8FC-984E-4448-9916-C6C0352D3D44}"/>
    <cellStyle name="40% - Accent3 5 2 3" xfId="11359" xr:uid="{32709698-EFB6-4BE3-9444-7E70960DB2D2}"/>
    <cellStyle name="40% - Accent3 5 3" xfId="4982" xr:uid="{00000000-0005-0000-0000-000091050000}"/>
    <cellStyle name="40% - Accent3 5 3 2" xfId="13432" xr:uid="{3BCAF1A0-3AC8-4580-B8E9-6641EDC15BD5}"/>
    <cellStyle name="40% - Accent3 5 4" xfId="9214" xr:uid="{E83F2663-A79E-4544-8DE2-6A6351CFA591}"/>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1FF7CC8B-77EB-46AD-86ED-FCB5315E9DC1}"/>
    <cellStyle name="40% - Accent3 6 2 3" xfId="11772" xr:uid="{16D78718-11FF-46FB-A0D8-254FD033DBE8}"/>
    <cellStyle name="40% - Accent3 6 3" xfId="5395" xr:uid="{00000000-0005-0000-0000-000095050000}"/>
    <cellStyle name="40% - Accent3 6 3 2" xfId="13845" xr:uid="{FE92CB52-9724-42D2-B776-408187AF3B1B}"/>
    <cellStyle name="40% - Accent3 6 4" xfId="9627" xr:uid="{F9FAED5C-7275-4C3E-BFB8-8F804952206E}"/>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69D34FB1-BD64-47D3-B380-C7DD9C6DFBE7}"/>
    <cellStyle name="40% - Accent3 7 2 3" xfId="12185" xr:uid="{9D662AF1-ABEE-45CD-9C23-921277D4EBC6}"/>
    <cellStyle name="40% - Accent3 7 3" xfId="5808" xr:uid="{00000000-0005-0000-0000-000099050000}"/>
    <cellStyle name="40% - Accent3 7 3 2" xfId="14258" xr:uid="{BF07ED02-94B6-4718-B90B-72B2111E758A}"/>
    <cellStyle name="40% - Accent3 7 4" xfId="10040" xr:uid="{3FEE0437-59ED-47A1-9E5C-36EB4B80EB95}"/>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91F55B8F-72CD-4D5C-A4BB-1E2314EAAC1D}"/>
    <cellStyle name="40% - Accent3 8 2 3" xfId="12598" xr:uid="{AC3B7256-92CF-46D8-9B8F-B73D1BCEF393}"/>
    <cellStyle name="40% - Accent3 8 3" xfId="6221" xr:uid="{00000000-0005-0000-0000-00009D050000}"/>
    <cellStyle name="40% - Accent3 8 3 2" xfId="14671" xr:uid="{6325A95B-CE37-427B-8EA5-3DEC1336B967}"/>
    <cellStyle name="40% - Accent3 8 4" xfId="10453" xr:uid="{B26C5F51-2D9A-484A-93A2-A2E65500AD67}"/>
    <cellStyle name="40% - Accent3 9" xfId="2328" xr:uid="{00000000-0005-0000-0000-00009E050000}"/>
    <cellStyle name="40% - Accent3 9 2" xfId="6634" xr:uid="{00000000-0005-0000-0000-00009F050000}"/>
    <cellStyle name="40% - Accent3 9 2 2" xfId="15084" xr:uid="{CD2D1426-52A2-455D-81BF-AA1DC11A0FD5}"/>
    <cellStyle name="40% - Accent3 9 3" xfId="10866" xr:uid="{39F2002B-4540-4631-B85A-906387587234}"/>
    <cellStyle name="40% - Accent4" xfId="73" builtinId="43" customBuiltin="1"/>
    <cellStyle name="40% - Accent4 10" xfId="4576" xr:uid="{00000000-0005-0000-0000-0000A1050000}"/>
    <cellStyle name="40% - Accent4 10 2" xfId="13026" xr:uid="{93A5386A-E368-4CAF-B27C-A1FFB2982FE7}"/>
    <cellStyle name="40% - Accent4 11" xfId="8808" xr:uid="{5AE298A5-B274-4BAD-8E98-BD103800A7FC}"/>
    <cellStyle name="40% - Accent4 2" xfId="74" xr:uid="{00000000-0005-0000-0000-0000A2050000}"/>
    <cellStyle name="40% - Accent4 2 10" xfId="8809" xr:uid="{4AD6E1FD-41C8-4CFF-B605-E3E2F2B96544}"/>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B039880C-4A21-42AD-B53C-2DC825D19C87}"/>
    <cellStyle name="40% - Accent4 2 2 2 2 2 3" xfId="11370" xr:uid="{FE50C078-1731-48F4-BD63-8500831AC5AF}"/>
    <cellStyle name="40% - Accent4 2 2 2 2 3" xfId="4993" xr:uid="{00000000-0005-0000-0000-0000A8050000}"/>
    <cellStyle name="40% - Accent4 2 2 2 2 3 2" xfId="13443" xr:uid="{77C502AD-2E66-4853-81F5-EBC4A1F0BC07}"/>
    <cellStyle name="40% - Accent4 2 2 2 2 4" xfId="9225" xr:uid="{86FC159A-4871-4783-967D-235EE68278BE}"/>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5F33BA71-D1BF-4DD1-9DBB-23CBC7BEBB9E}"/>
    <cellStyle name="40% - Accent4 2 2 2 3 2 3" xfId="11783" xr:uid="{0FCA556F-B683-41CA-80EF-C251559D7655}"/>
    <cellStyle name="40% - Accent4 2 2 2 3 3" xfId="5406" xr:uid="{00000000-0005-0000-0000-0000AC050000}"/>
    <cellStyle name="40% - Accent4 2 2 2 3 3 2" xfId="13856" xr:uid="{6DB0FDE6-E9F3-4894-B198-20362C290531}"/>
    <cellStyle name="40% - Accent4 2 2 2 3 4" xfId="9638" xr:uid="{90021F83-2C25-4EDD-AA13-96958AD7176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F58EE449-ECE4-419A-8E77-11BCCDDDD65A}"/>
    <cellStyle name="40% - Accent4 2 2 2 4 2 3" xfId="12196" xr:uid="{44AE6A6E-F04F-4FE2-B58E-79CE6C0169F1}"/>
    <cellStyle name="40% - Accent4 2 2 2 4 3" xfId="5819" xr:uid="{00000000-0005-0000-0000-0000B0050000}"/>
    <cellStyle name="40% - Accent4 2 2 2 4 3 2" xfId="14269" xr:uid="{116FCAE7-15B6-4407-B871-CC9C6D612915}"/>
    <cellStyle name="40% - Accent4 2 2 2 4 4" xfId="10051" xr:uid="{E57C1522-6653-44BB-8EC6-170CB7129DC1}"/>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FD3AABFF-0689-4213-A7CB-604427479679}"/>
    <cellStyle name="40% - Accent4 2 2 2 5 2 3" xfId="12609" xr:uid="{4BC9B023-00F9-420E-A716-E90C5274F196}"/>
    <cellStyle name="40% - Accent4 2 2 2 5 3" xfId="6232" xr:uid="{00000000-0005-0000-0000-0000B4050000}"/>
    <cellStyle name="40% - Accent4 2 2 2 5 3 2" xfId="14682" xr:uid="{13DE5A50-650A-40E7-8C01-FFDBA7BC642E}"/>
    <cellStyle name="40% - Accent4 2 2 2 5 4" xfId="10464" xr:uid="{35BAF90D-598D-42D1-8728-1F918ED1FCBB}"/>
    <cellStyle name="40% - Accent4 2 2 2 6" xfId="2339" xr:uid="{00000000-0005-0000-0000-0000B5050000}"/>
    <cellStyle name="40% - Accent4 2 2 2 6 2" xfId="6645" xr:uid="{00000000-0005-0000-0000-0000B6050000}"/>
    <cellStyle name="40% - Accent4 2 2 2 6 2 2" xfId="15095" xr:uid="{7CAE8F1A-092B-4019-AFA7-52A38BFA5456}"/>
    <cellStyle name="40% - Accent4 2 2 2 6 3" xfId="10877" xr:uid="{471136C6-CBB0-418F-879A-5A420515E0D8}"/>
    <cellStyle name="40% - Accent4 2 2 2 7" xfId="4579" xr:uid="{00000000-0005-0000-0000-0000B7050000}"/>
    <cellStyle name="40% - Accent4 2 2 2 7 2" xfId="13029" xr:uid="{3F4868F5-D1FB-47AA-87F4-C619F630C99C}"/>
    <cellStyle name="40% - Accent4 2 2 2 8" xfId="8811" xr:uid="{247D10F8-8B60-4B86-90A2-5A109FC1F0C2}"/>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E0ECB395-E6E7-4F0B-B6A7-492BCC2F6211}"/>
    <cellStyle name="40% - Accent4 2 2 3 2 3" xfId="11369" xr:uid="{06BA6708-2367-4B0A-BB9B-E3E7137EBE19}"/>
    <cellStyle name="40% - Accent4 2 2 3 3" xfId="4992" xr:uid="{00000000-0005-0000-0000-0000BB050000}"/>
    <cellStyle name="40% - Accent4 2 2 3 3 2" xfId="13442" xr:uid="{2CE6858B-EDF5-441C-B95B-5B0265D39DB1}"/>
    <cellStyle name="40% - Accent4 2 2 3 4" xfId="9224" xr:uid="{780CE85E-E31D-467B-B8F5-DB19464C3C1E}"/>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7475EBB4-D88F-4DC4-8957-B7FA98F93E89}"/>
    <cellStyle name="40% - Accent4 2 2 4 2 3" xfId="11782" xr:uid="{C357099C-50AE-44CB-BCA9-4E217D49FA0C}"/>
    <cellStyle name="40% - Accent4 2 2 4 3" xfId="5405" xr:uid="{00000000-0005-0000-0000-0000BF050000}"/>
    <cellStyle name="40% - Accent4 2 2 4 3 2" xfId="13855" xr:uid="{D445CA64-A650-4BB1-9230-4A326CB8F942}"/>
    <cellStyle name="40% - Accent4 2 2 4 4" xfId="9637" xr:uid="{1970E5A9-C324-48D1-B6D7-61C65DEDC54B}"/>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3FEDBD2C-9FC4-45CE-8F45-3D90CF3CB964}"/>
    <cellStyle name="40% - Accent4 2 2 5 2 3" xfId="12195" xr:uid="{21BFF564-9DD7-4A30-B7D8-A4315D347C75}"/>
    <cellStyle name="40% - Accent4 2 2 5 3" xfId="5818" xr:uid="{00000000-0005-0000-0000-0000C3050000}"/>
    <cellStyle name="40% - Accent4 2 2 5 3 2" xfId="14268" xr:uid="{F34C24DB-E5DD-4454-8BA2-AD37202A5242}"/>
    <cellStyle name="40% - Accent4 2 2 5 4" xfId="10050" xr:uid="{4B38A8B5-8CA8-43EE-838D-9217520B0F59}"/>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EC4A87CB-C9FD-468B-9D21-DD571FC686C6}"/>
    <cellStyle name="40% - Accent4 2 2 6 2 3" xfId="12608" xr:uid="{C838E1BA-A627-4BA6-ACE4-441936E0208B}"/>
    <cellStyle name="40% - Accent4 2 2 6 3" xfId="6231" xr:uid="{00000000-0005-0000-0000-0000C7050000}"/>
    <cellStyle name="40% - Accent4 2 2 6 3 2" xfId="14681" xr:uid="{4C6924C6-48BC-43B8-8DD6-AA78117C010B}"/>
    <cellStyle name="40% - Accent4 2 2 6 4" xfId="10463" xr:uid="{CC1FEC16-7451-418B-8513-C3D926EC0CD3}"/>
    <cellStyle name="40% - Accent4 2 2 7" xfId="2338" xr:uid="{00000000-0005-0000-0000-0000C8050000}"/>
    <cellStyle name="40% - Accent4 2 2 7 2" xfId="6644" xr:uid="{00000000-0005-0000-0000-0000C9050000}"/>
    <cellStyle name="40% - Accent4 2 2 7 2 2" xfId="15094" xr:uid="{2519E6DA-C449-4154-BF9A-51E3DDF6D193}"/>
    <cellStyle name="40% - Accent4 2 2 7 3" xfId="10876" xr:uid="{BF883D6C-9A60-434F-B6E2-ED84EAC9C16E}"/>
    <cellStyle name="40% - Accent4 2 2 8" xfId="4578" xr:uid="{00000000-0005-0000-0000-0000CA050000}"/>
    <cellStyle name="40% - Accent4 2 2 8 2" xfId="13028" xr:uid="{19A76ED8-BD9C-4A3D-BFD6-C974D51B7D3A}"/>
    <cellStyle name="40% - Accent4 2 2 9" xfId="8810" xr:uid="{29D3CE7E-1370-4151-B41B-CAD8F9E79F56}"/>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FE634907-A6D1-4E0A-BABA-2163D3A2FB34}"/>
    <cellStyle name="40% - Accent4 2 3 2 2 3" xfId="11371" xr:uid="{8EE69A1E-826B-4650-A390-A506475910AA}"/>
    <cellStyle name="40% - Accent4 2 3 2 3" xfId="4994" xr:uid="{00000000-0005-0000-0000-0000CF050000}"/>
    <cellStyle name="40% - Accent4 2 3 2 3 2" xfId="13444" xr:uid="{9E26D644-F157-4DD3-8862-0913B137558D}"/>
    <cellStyle name="40% - Accent4 2 3 2 4" xfId="9226" xr:uid="{E42F33EC-1EA5-4D27-B5AE-FEB875268404}"/>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93720771-9083-4E36-B446-A55FEE722467}"/>
    <cellStyle name="40% - Accent4 2 3 3 2 3" xfId="11784" xr:uid="{FD7B9D56-DAD5-4330-9637-CF51009DB37B}"/>
    <cellStyle name="40% - Accent4 2 3 3 3" xfId="5407" xr:uid="{00000000-0005-0000-0000-0000D3050000}"/>
    <cellStyle name="40% - Accent4 2 3 3 3 2" xfId="13857" xr:uid="{D9963362-FBFE-4C5E-A62E-C9740A248F57}"/>
    <cellStyle name="40% - Accent4 2 3 3 4" xfId="9639" xr:uid="{BE064A49-0A66-4A86-A7E7-7DAB360FEECB}"/>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C63F6B57-15F9-4537-BF07-2983D7325C48}"/>
    <cellStyle name="40% - Accent4 2 3 4 2 3" xfId="12197" xr:uid="{08472D19-0F91-414F-99DA-689C93BE85A4}"/>
    <cellStyle name="40% - Accent4 2 3 4 3" xfId="5820" xr:uid="{00000000-0005-0000-0000-0000D7050000}"/>
    <cellStyle name="40% - Accent4 2 3 4 3 2" xfId="14270" xr:uid="{AF1EE2A5-5BE5-4929-B24E-2FDD176BE510}"/>
    <cellStyle name="40% - Accent4 2 3 4 4" xfId="10052" xr:uid="{CE1C1386-7909-4547-B3B5-672CCB7ABCC1}"/>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1F0BB851-2548-42A3-862B-C2711302ADC2}"/>
    <cellStyle name="40% - Accent4 2 3 5 2 3" xfId="12610" xr:uid="{3080A8BE-2CA1-41D6-8400-318505BD2321}"/>
    <cellStyle name="40% - Accent4 2 3 5 3" xfId="6233" xr:uid="{00000000-0005-0000-0000-0000DB050000}"/>
    <cellStyle name="40% - Accent4 2 3 5 3 2" xfId="14683" xr:uid="{41B4AA17-20A9-429C-89F4-00833F577A5A}"/>
    <cellStyle name="40% - Accent4 2 3 5 4" xfId="10465" xr:uid="{CF50EA9C-783E-4884-8985-0D38FF7623A2}"/>
    <cellStyle name="40% - Accent4 2 3 6" xfId="2340" xr:uid="{00000000-0005-0000-0000-0000DC050000}"/>
    <cellStyle name="40% - Accent4 2 3 6 2" xfId="6646" xr:uid="{00000000-0005-0000-0000-0000DD050000}"/>
    <cellStyle name="40% - Accent4 2 3 6 2 2" xfId="15096" xr:uid="{3B2BADA8-33B3-4546-AD15-ACAD8B4E9F31}"/>
    <cellStyle name="40% - Accent4 2 3 6 3" xfId="10878" xr:uid="{8CF755AB-A3F1-44E6-AD0C-EAE383BB4364}"/>
    <cellStyle name="40% - Accent4 2 3 7" xfId="4580" xr:uid="{00000000-0005-0000-0000-0000DE050000}"/>
    <cellStyle name="40% - Accent4 2 3 7 2" xfId="13030" xr:uid="{49973F01-DDD8-4C6D-9BE1-A8064CC6446B}"/>
    <cellStyle name="40% - Accent4 2 3 8" xfId="8812" xr:uid="{14EBE43F-AE81-42CE-8164-2F50EAADB4C9}"/>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9C685BC3-6886-4BDB-A7B6-8CC8C17DD82A}"/>
    <cellStyle name="40% - Accent4 2 4 2 3" xfId="11368" xr:uid="{6F2CDDCA-912B-422F-A1FB-052525A7EE13}"/>
    <cellStyle name="40% - Accent4 2 4 3" xfId="4991" xr:uid="{00000000-0005-0000-0000-0000E2050000}"/>
    <cellStyle name="40% - Accent4 2 4 3 2" xfId="13441" xr:uid="{70C8EDF6-8ACE-43C0-9DDE-A171B452E983}"/>
    <cellStyle name="40% - Accent4 2 4 4" xfId="9223" xr:uid="{9CBF10FC-98B4-4F79-A181-A4254FD7AA02}"/>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F0ADC5B3-8810-4234-A79E-3EEBD46981B6}"/>
    <cellStyle name="40% - Accent4 2 5 2 3" xfId="11781" xr:uid="{DD88C7D2-7D51-4ACC-A333-E64252B85C73}"/>
    <cellStyle name="40% - Accent4 2 5 3" xfId="5404" xr:uid="{00000000-0005-0000-0000-0000E6050000}"/>
    <cellStyle name="40% - Accent4 2 5 3 2" xfId="13854" xr:uid="{C010C09A-7270-49DF-8197-59763A317292}"/>
    <cellStyle name="40% - Accent4 2 5 4" xfId="9636" xr:uid="{FD2B8596-930D-421F-B15B-2F6109848C55}"/>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F8001CE5-3A2D-45DB-9FD7-F5CE21A1C538}"/>
    <cellStyle name="40% - Accent4 2 6 2 3" xfId="12194" xr:uid="{09AE4A7F-4811-4292-B6E2-A609612740C6}"/>
    <cellStyle name="40% - Accent4 2 6 3" xfId="5817" xr:uid="{00000000-0005-0000-0000-0000EA050000}"/>
    <cellStyle name="40% - Accent4 2 6 3 2" xfId="14267" xr:uid="{49E4DD97-AC74-41FF-8CD5-1E323CFE03AF}"/>
    <cellStyle name="40% - Accent4 2 6 4" xfId="10049" xr:uid="{AC88798B-0478-4345-93B5-AB76124A17EF}"/>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8D03869D-9D2D-4A7E-A81B-BD5F496E9B68}"/>
    <cellStyle name="40% - Accent4 2 7 2 3" xfId="12607" xr:uid="{FF4265E8-BFE6-4931-962B-4595C5357278}"/>
    <cellStyle name="40% - Accent4 2 7 3" xfId="6230" xr:uid="{00000000-0005-0000-0000-0000EE050000}"/>
    <cellStyle name="40% - Accent4 2 7 3 2" xfId="14680" xr:uid="{2AFDFFD1-EC30-4734-8113-8CC62A94550D}"/>
    <cellStyle name="40% - Accent4 2 7 4" xfId="10462" xr:uid="{425FBE83-C38C-42D9-941E-598F034DBB00}"/>
    <cellStyle name="40% - Accent4 2 8" xfId="2337" xr:uid="{00000000-0005-0000-0000-0000EF050000}"/>
    <cellStyle name="40% - Accent4 2 8 2" xfId="6643" xr:uid="{00000000-0005-0000-0000-0000F0050000}"/>
    <cellStyle name="40% - Accent4 2 8 2 2" xfId="15093" xr:uid="{5F096103-A842-4FC4-B743-DCBE36360687}"/>
    <cellStyle name="40% - Accent4 2 8 3" xfId="10875" xr:uid="{E0FAB85F-FA42-484A-9918-59D2BE527E34}"/>
    <cellStyle name="40% - Accent4 2 9" xfId="4577" xr:uid="{00000000-0005-0000-0000-0000F1050000}"/>
    <cellStyle name="40% - Accent4 2 9 2" xfId="13027" xr:uid="{1A7356B6-97AA-4739-B918-D2AA0281BA22}"/>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8EC1B55A-0DA3-41E5-8885-10AF9DA2C0D1}"/>
    <cellStyle name="40% - Accent4 3 2 2 2 3" xfId="11373" xr:uid="{C05EF359-0699-4281-9616-1C7C1293B36A}"/>
    <cellStyle name="40% - Accent4 3 2 2 3" xfId="4996" xr:uid="{00000000-0005-0000-0000-0000F7050000}"/>
    <cellStyle name="40% - Accent4 3 2 2 3 2" xfId="13446" xr:uid="{E87F707D-2057-40B9-ABF0-9AA4BAEDBE45}"/>
    <cellStyle name="40% - Accent4 3 2 2 4" xfId="9228" xr:uid="{1487CA86-7177-4D5B-856E-716C9433B0C4}"/>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71AECD80-2F8A-4359-9329-7B286F7D655E}"/>
    <cellStyle name="40% - Accent4 3 2 3 2 3" xfId="11786" xr:uid="{9BD40462-8887-4D5F-957D-A832738842B2}"/>
    <cellStyle name="40% - Accent4 3 2 3 3" xfId="5409" xr:uid="{00000000-0005-0000-0000-0000FB050000}"/>
    <cellStyle name="40% - Accent4 3 2 3 3 2" xfId="13859" xr:uid="{9A028A15-5ACE-4498-AA4E-2B532E4E76BF}"/>
    <cellStyle name="40% - Accent4 3 2 3 4" xfId="9641" xr:uid="{AFA3605D-54E5-4090-A37C-2D5887B24F34}"/>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3BE7518C-4235-41A5-8F3D-F4358EEEBA2C}"/>
    <cellStyle name="40% - Accent4 3 2 4 2 3" xfId="12199" xr:uid="{094368C2-3A5D-4233-8581-A68C7C25539A}"/>
    <cellStyle name="40% - Accent4 3 2 4 3" xfId="5822" xr:uid="{00000000-0005-0000-0000-0000FF050000}"/>
    <cellStyle name="40% - Accent4 3 2 4 3 2" xfId="14272" xr:uid="{407FCEAF-1732-44E3-993F-3E8870EDAA37}"/>
    <cellStyle name="40% - Accent4 3 2 4 4" xfId="10054" xr:uid="{1912AF55-60D8-46F5-86AD-9F33A01CC384}"/>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993CA2F9-6566-4E90-A300-98FAEA880479}"/>
    <cellStyle name="40% - Accent4 3 2 5 2 3" xfId="12612" xr:uid="{7EA53525-ED09-44E3-A10C-5F481A8D7096}"/>
    <cellStyle name="40% - Accent4 3 2 5 3" xfId="6235" xr:uid="{00000000-0005-0000-0000-000003060000}"/>
    <cellStyle name="40% - Accent4 3 2 5 3 2" xfId="14685" xr:uid="{C89D4B7B-6DAC-4531-9AE7-F7122954330B}"/>
    <cellStyle name="40% - Accent4 3 2 5 4" xfId="10467" xr:uid="{3331D535-7A0F-4434-8D21-5614256B09CF}"/>
    <cellStyle name="40% - Accent4 3 2 6" xfId="2342" xr:uid="{00000000-0005-0000-0000-000004060000}"/>
    <cellStyle name="40% - Accent4 3 2 6 2" xfId="6648" xr:uid="{00000000-0005-0000-0000-000005060000}"/>
    <cellStyle name="40% - Accent4 3 2 6 2 2" xfId="15098" xr:uid="{A4A6D98B-9A20-4D37-98B1-9FCE72D89F66}"/>
    <cellStyle name="40% - Accent4 3 2 6 3" xfId="10880" xr:uid="{377178A0-8463-4CF1-A538-9D537CB34514}"/>
    <cellStyle name="40% - Accent4 3 2 7" xfId="4582" xr:uid="{00000000-0005-0000-0000-000006060000}"/>
    <cellStyle name="40% - Accent4 3 2 7 2" xfId="13032" xr:uid="{1F5C341C-49ED-4DAF-9475-18377159AEAD}"/>
    <cellStyle name="40% - Accent4 3 2 8" xfId="8814" xr:uid="{F3981666-18CF-435C-9ED8-62855D9D8CD6}"/>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A55F910D-C1C2-4A3E-8167-26F2F1CD09A6}"/>
    <cellStyle name="40% - Accent4 3 3 2 3" xfId="11372" xr:uid="{7497439A-3FC3-4BFF-82D7-206F775C0F30}"/>
    <cellStyle name="40% - Accent4 3 3 3" xfId="4995" xr:uid="{00000000-0005-0000-0000-00000A060000}"/>
    <cellStyle name="40% - Accent4 3 3 3 2" xfId="13445" xr:uid="{DB7B2A4F-9383-470A-8444-58E0F3F6E849}"/>
    <cellStyle name="40% - Accent4 3 3 4" xfId="9227" xr:uid="{E75696F3-07C6-483D-A630-138311366906}"/>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CBE8D1D2-CDA5-4486-8931-38B295899E5F}"/>
    <cellStyle name="40% - Accent4 3 4 2 3" xfId="11785" xr:uid="{C49DEE13-1D77-49A3-BF82-387CCBDA9FAD}"/>
    <cellStyle name="40% - Accent4 3 4 3" xfId="5408" xr:uid="{00000000-0005-0000-0000-00000E060000}"/>
    <cellStyle name="40% - Accent4 3 4 3 2" xfId="13858" xr:uid="{FCD5B2A2-DDC5-4385-BEFF-306DD245BEDB}"/>
    <cellStyle name="40% - Accent4 3 4 4" xfId="9640" xr:uid="{1F8CC31D-A678-4F40-BADC-775BBB6119DD}"/>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6D1E9BB4-1850-4833-9E1F-97C1C4F80962}"/>
    <cellStyle name="40% - Accent4 3 5 2 3" xfId="12198" xr:uid="{25AE31C3-E942-47D4-B5CC-4BBDA2B8B92F}"/>
    <cellStyle name="40% - Accent4 3 5 3" xfId="5821" xr:uid="{00000000-0005-0000-0000-000012060000}"/>
    <cellStyle name="40% - Accent4 3 5 3 2" xfId="14271" xr:uid="{BA4EA7C6-A46C-4E40-82E7-428CCA62D042}"/>
    <cellStyle name="40% - Accent4 3 5 4" xfId="10053" xr:uid="{B1DCF4D6-C858-4503-A452-3A3EFFB57597}"/>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998B9196-E41A-4D13-9A87-161D227AB9CB}"/>
    <cellStyle name="40% - Accent4 3 6 2 3" xfId="12611" xr:uid="{6DB97BF1-E522-48CE-9C12-DCABD146E574}"/>
    <cellStyle name="40% - Accent4 3 6 3" xfId="6234" xr:uid="{00000000-0005-0000-0000-000016060000}"/>
    <cellStyle name="40% - Accent4 3 6 3 2" xfId="14684" xr:uid="{D83BF29F-4EF7-41E2-A8F4-FD2655595CF0}"/>
    <cellStyle name="40% - Accent4 3 6 4" xfId="10466" xr:uid="{6EF536C8-2E67-4EC0-85C1-95A9D6B50B8E}"/>
    <cellStyle name="40% - Accent4 3 7" xfId="2341" xr:uid="{00000000-0005-0000-0000-000017060000}"/>
    <cellStyle name="40% - Accent4 3 7 2" xfId="6647" xr:uid="{00000000-0005-0000-0000-000018060000}"/>
    <cellStyle name="40% - Accent4 3 7 2 2" xfId="15097" xr:uid="{9DA14509-8C95-4BE8-A66A-D2CF9D45FA6D}"/>
    <cellStyle name="40% - Accent4 3 7 3" xfId="10879" xr:uid="{3AA317B6-E83E-4483-B83F-1B8A33470DDD}"/>
    <cellStyle name="40% - Accent4 3 8" xfId="4581" xr:uid="{00000000-0005-0000-0000-000019060000}"/>
    <cellStyle name="40% - Accent4 3 8 2" xfId="13031" xr:uid="{30B6F980-BEDC-41EB-9A67-E4F0D482D31D}"/>
    <cellStyle name="40% - Accent4 3 9" xfId="8813" xr:uid="{81C22A2E-5306-471B-BDE9-904D1DCFDF28}"/>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0D2245CB-7EC3-4804-96A0-7381DD184B0E}"/>
    <cellStyle name="40% - Accent4 4 2 2 3" xfId="11374" xr:uid="{3E93638C-547B-425E-B797-16348AF9A97F}"/>
    <cellStyle name="40% - Accent4 4 2 3" xfId="4997" xr:uid="{00000000-0005-0000-0000-00001E060000}"/>
    <cellStyle name="40% - Accent4 4 2 3 2" xfId="13447" xr:uid="{145E2FD2-D89B-4B1B-8C2D-B844728D45DC}"/>
    <cellStyle name="40% - Accent4 4 2 4" xfId="9229" xr:uid="{8101F3D0-CB21-484F-99C3-F4BC820DE60C}"/>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07842A9E-7295-480A-B7E8-0086275A4297}"/>
    <cellStyle name="40% - Accent4 4 3 2 3" xfId="11787" xr:uid="{44464F01-0B90-48A1-B4EA-62DD6A29A9B0}"/>
    <cellStyle name="40% - Accent4 4 3 3" xfId="5410" xr:uid="{00000000-0005-0000-0000-000022060000}"/>
    <cellStyle name="40% - Accent4 4 3 3 2" xfId="13860" xr:uid="{DAC54B95-8B8F-430F-B747-0FF477E6F01D}"/>
    <cellStyle name="40% - Accent4 4 3 4" xfId="9642" xr:uid="{3677B18F-E025-4EDB-8DE3-5DE12C2A39E0}"/>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548F43CE-26EB-4D21-8375-9434B27E3361}"/>
    <cellStyle name="40% - Accent4 4 4 2 3" xfId="12200" xr:uid="{4ABD4BCC-1C08-4CF8-9F93-07F2E3755B2D}"/>
    <cellStyle name="40% - Accent4 4 4 3" xfId="5823" xr:uid="{00000000-0005-0000-0000-000026060000}"/>
    <cellStyle name="40% - Accent4 4 4 3 2" xfId="14273" xr:uid="{A15BB8BA-1687-402A-ACFC-9B99ED2D638F}"/>
    <cellStyle name="40% - Accent4 4 4 4" xfId="10055" xr:uid="{FB811DA7-07AC-4313-997A-9D2645454B00}"/>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E38E461C-6E1F-41DD-8AF1-DAC21B04AA7C}"/>
    <cellStyle name="40% - Accent4 4 5 2 3" xfId="12613" xr:uid="{6FFB399C-082C-4BB1-9393-347AEA6BC677}"/>
    <cellStyle name="40% - Accent4 4 5 3" xfId="6236" xr:uid="{00000000-0005-0000-0000-00002A060000}"/>
    <cellStyle name="40% - Accent4 4 5 3 2" xfId="14686" xr:uid="{BD4F51B6-8592-4725-9ADA-15D5044CE0FF}"/>
    <cellStyle name="40% - Accent4 4 5 4" xfId="10468" xr:uid="{192C1FD4-623F-47AD-963C-B74F19182CB9}"/>
    <cellStyle name="40% - Accent4 4 6" xfId="2343" xr:uid="{00000000-0005-0000-0000-00002B060000}"/>
    <cellStyle name="40% - Accent4 4 6 2" xfId="6649" xr:uid="{00000000-0005-0000-0000-00002C060000}"/>
    <cellStyle name="40% - Accent4 4 6 2 2" xfId="15099" xr:uid="{5037B2F5-872C-4E22-8A10-87BB0C5BD667}"/>
    <cellStyle name="40% - Accent4 4 6 3" xfId="10881" xr:uid="{2BC4FAC8-6401-4C49-AEC4-EC27E378ED6C}"/>
    <cellStyle name="40% - Accent4 4 7" xfId="4583" xr:uid="{00000000-0005-0000-0000-00002D060000}"/>
    <cellStyle name="40% - Accent4 4 7 2" xfId="13033" xr:uid="{893F214C-7293-4125-BE22-B43F6CFD1D56}"/>
    <cellStyle name="40% - Accent4 4 8" xfId="8815" xr:uid="{29E1572A-CDD4-447F-89F8-D4CDDF3D4317}"/>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CAAB0492-1214-44F9-9E6D-945AFC14431A}"/>
    <cellStyle name="40% - Accent4 5 2 3" xfId="11367" xr:uid="{1F469591-36C9-4A46-ABFF-285D5D6514F3}"/>
    <cellStyle name="40% - Accent4 5 3" xfId="4990" xr:uid="{00000000-0005-0000-0000-000031060000}"/>
    <cellStyle name="40% - Accent4 5 3 2" xfId="13440" xr:uid="{E91EE519-F475-4473-B3EA-D7B751091655}"/>
    <cellStyle name="40% - Accent4 5 4" xfId="9222" xr:uid="{F8A628B8-7089-4EA2-8A00-8CE7060D1C09}"/>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E34F775D-9CD2-4680-AD06-12C2AA949DF7}"/>
    <cellStyle name="40% - Accent4 6 2 3" xfId="11780" xr:uid="{82E26ADC-B8C2-4B95-A9B4-477E0B2FCD06}"/>
    <cellStyle name="40% - Accent4 6 3" xfId="5403" xr:uid="{00000000-0005-0000-0000-000035060000}"/>
    <cellStyle name="40% - Accent4 6 3 2" xfId="13853" xr:uid="{75A4BF54-45B9-443C-9911-C1D1404DC103}"/>
    <cellStyle name="40% - Accent4 6 4" xfId="9635" xr:uid="{0A099EEF-69F4-442F-B39F-B2A998181F24}"/>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76A4C981-AE6C-42F1-B296-3480753AA855}"/>
    <cellStyle name="40% - Accent4 7 2 3" xfId="12193" xr:uid="{16D4397C-72DE-4E16-9BB1-2CB0B6D0CDAF}"/>
    <cellStyle name="40% - Accent4 7 3" xfId="5816" xr:uid="{00000000-0005-0000-0000-000039060000}"/>
    <cellStyle name="40% - Accent4 7 3 2" xfId="14266" xr:uid="{F2FFA39F-00DC-468E-84AA-8AE695572DE4}"/>
    <cellStyle name="40% - Accent4 7 4" xfId="10048" xr:uid="{0749C03D-A928-4767-A564-47A7A223F6B5}"/>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424FFADB-D077-4CEE-A0B7-0E997D8F6FAE}"/>
    <cellStyle name="40% - Accent4 8 2 3" xfId="12606" xr:uid="{5E8ADB55-8FAC-4BCC-ADF6-0C21911F7244}"/>
    <cellStyle name="40% - Accent4 8 3" xfId="6229" xr:uid="{00000000-0005-0000-0000-00003D060000}"/>
    <cellStyle name="40% - Accent4 8 3 2" xfId="14679" xr:uid="{3B0243B5-B57E-4FD8-ADD9-EE9ABF4846EE}"/>
    <cellStyle name="40% - Accent4 8 4" xfId="10461" xr:uid="{D7A9704F-591D-42D4-972E-3DA923B4EDD2}"/>
    <cellStyle name="40% - Accent4 9" xfId="2336" xr:uid="{00000000-0005-0000-0000-00003E060000}"/>
    <cellStyle name="40% - Accent4 9 2" xfId="6642" xr:uid="{00000000-0005-0000-0000-00003F060000}"/>
    <cellStyle name="40% - Accent4 9 2 2" xfId="15092" xr:uid="{EB9FF0AA-2973-4F3E-B58E-4BBB6FF7F850}"/>
    <cellStyle name="40% - Accent4 9 3" xfId="10874" xr:uid="{ABD1ADE7-7ABD-401E-B83E-5721EB5A17A5}"/>
    <cellStyle name="40% - Accent5" xfId="81" builtinId="47" customBuiltin="1"/>
    <cellStyle name="40% - Accent5 10" xfId="4584" xr:uid="{00000000-0005-0000-0000-000041060000}"/>
    <cellStyle name="40% - Accent5 10 2" xfId="13034" xr:uid="{2DD5FA87-1953-46F5-B04C-76F54899D2D9}"/>
    <cellStyle name="40% - Accent5 11" xfId="8816" xr:uid="{F8B003BE-9119-4830-A6C9-41E70EACCE32}"/>
    <cellStyle name="40% - Accent5 2" xfId="82" xr:uid="{00000000-0005-0000-0000-000042060000}"/>
    <cellStyle name="40% - Accent5 2 10" xfId="8817" xr:uid="{DEA23018-1C0F-49F0-A19E-0F39C62911E5}"/>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80F1D917-C2A3-4C88-9E0E-8FB9677FF114}"/>
    <cellStyle name="40% - Accent5 2 2 2 2 2 3" xfId="11378" xr:uid="{A43D017A-2807-4543-BB33-35BBC69698A7}"/>
    <cellStyle name="40% - Accent5 2 2 2 2 3" xfId="5001" xr:uid="{00000000-0005-0000-0000-000048060000}"/>
    <cellStyle name="40% - Accent5 2 2 2 2 3 2" xfId="13451" xr:uid="{7DC6781B-F8DF-4E44-8DEF-B5F1E7141B7B}"/>
    <cellStyle name="40% - Accent5 2 2 2 2 4" xfId="9233" xr:uid="{1C568E4E-DC1D-4272-81E4-05C8E0E23828}"/>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9EC6CC83-1DD0-496D-AE86-7D28B49A0EA7}"/>
    <cellStyle name="40% - Accent5 2 2 2 3 2 3" xfId="11791" xr:uid="{08393500-A7E5-410E-ACE3-460A248F7B96}"/>
    <cellStyle name="40% - Accent5 2 2 2 3 3" xfId="5414" xr:uid="{00000000-0005-0000-0000-00004C060000}"/>
    <cellStyle name="40% - Accent5 2 2 2 3 3 2" xfId="13864" xr:uid="{1BC90841-639B-4381-9F08-63854BB90853}"/>
    <cellStyle name="40% - Accent5 2 2 2 3 4" xfId="9646" xr:uid="{D4471141-1CA0-4E18-BDF6-A944809A1B62}"/>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D20CA4A4-4BAA-4494-8B8E-90E588D11EBE}"/>
    <cellStyle name="40% - Accent5 2 2 2 4 2 3" xfId="12204" xr:uid="{B210CD05-7090-4A4D-ABB2-E49E25188A0D}"/>
    <cellStyle name="40% - Accent5 2 2 2 4 3" xfId="5827" xr:uid="{00000000-0005-0000-0000-000050060000}"/>
    <cellStyle name="40% - Accent5 2 2 2 4 3 2" xfId="14277" xr:uid="{6BBCCF7C-0B65-4FE8-90EB-E9609359023B}"/>
    <cellStyle name="40% - Accent5 2 2 2 4 4" xfId="10059" xr:uid="{C099DE69-5770-4561-AC76-120517357C7D}"/>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400DA9EF-5893-4239-A512-BC301CBACBAA}"/>
    <cellStyle name="40% - Accent5 2 2 2 5 2 3" xfId="12617" xr:uid="{6E341BFD-866D-48BE-9AF5-045BCC65D313}"/>
    <cellStyle name="40% - Accent5 2 2 2 5 3" xfId="6240" xr:uid="{00000000-0005-0000-0000-000054060000}"/>
    <cellStyle name="40% - Accent5 2 2 2 5 3 2" xfId="14690" xr:uid="{8E400167-EB01-4B86-90F4-7C639D0BF3B2}"/>
    <cellStyle name="40% - Accent5 2 2 2 5 4" xfId="10472" xr:uid="{C6BE4685-A53D-461C-9C90-6404BA21CB4D}"/>
    <cellStyle name="40% - Accent5 2 2 2 6" xfId="2347" xr:uid="{00000000-0005-0000-0000-000055060000}"/>
    <cellStyle name="40% - Accent5 2 2 2 6 2" xfId="6653" xr:uid="{00000000-0005-0000-0000-000056060000}"/>
    <cellStyle name="40% - Accent5 2 2 2 6 2 2" xfId="15103" xr:uid="{9D5B3F85-8183-44D4-9513-F3A4727B0342}"/>
    <cellStyle name="40% - Accent5 2 2 2 6 3" xfId="10885" xr:uid="{6BAE132D-6BD4-41F6-AEE4-827EC08C6C81}"/>
    <cellStyle name="40% - Accent5 2 2 2 7" xfId="4587" xr:uid="{00000000-0005-0000-0000-000057060000}"/>
    <cellStyle name="40% - Accent5 2 2 2 7 2" xfId="13037" xr:uid="{060ABEA7-688B-4140-9890-7AC785343E54}"/>
    <cellStyle name="40% - Accent5 2 2 2 8" xfId="8819" xr:uid="{2BADCE8E-9F13-4109-A63A-0A47C58340F9}"/>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C5CCB572-81D6-421F-9D4A-90F9519F813A}"/>
    <cellStyle name="40% - Accent5 2 2 3 2 3" xfId="11377" xr:uid="{C3641530-F725-4F9F-9A71-533E87152E82}"/>
    <cellStyle name="40% - Accent5 2 2 3 3" xfId="5000" xr:uid="{00000000-0005-0000-0000-00005B060000}"/>
    <cellStyle name="40% - Accent5 2 2 3 3 2" xfId="13450" xr:uid="{409F201C-849A-415D-9D0A-A685D6CB7348}"/>
    <cellStyle name="40% - Accent5 2 2 3 4" xfId="9232" xr:uid="{4FA7B43C-8659-49D8-B54B-63E327EBA9EC}"/>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3E8FB287-FFBE-4FFF-AC2D-8E39A85146BF}"/>
    <cellStyle name="40% - Accent5 2 2 4 2 3" xfId="11790" xr:uid="{9E5B73B7-F850-46D6-92F4-244A1E48D845}"/>
    <cellStyle name="40% - Accent5 2 2 4 3" xfId="5413" xr:uid="{00000000-0005-0000-0000-00005F060000}"/>
    <cellStyle name="40% - Accent5 2 2 4 3 2" xfId="13863" xr:uid="{B20A34A7-7560-45F3-82C7-CDD5E9868214}"/>
    <cellStyle name="40% - Accent5 2 2 4 4" xfId="9645" xr:uid="{9FC6875E-437D-4C6B-8F6A-4E4556004599}"/>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EA7DEFDE-57DE-4595-BC91-117335750154}"/>
    <cellStyle name="40% - Accent5 2 2 5 2 3" xfId="12203" xr:uid="{9C89AA9D-D1DA-4A0A-995D-02AA10773A8E}"/>
    <cellStyle name="40% - Accent5 2 2 5 3" xfId="5826" xr:uid="{00000000-0005-0000-0000-000063060000}"/>
    <cellStyle name="40% - Accent5 2 2 5 3 2" xfId="14276" xr:uid="{21677BC6-45CF-469E-AAB1-21FAB07E6729}"/>
    <cellStyle name="40% - Accent5 2 2 5 4" xfId="10058" xr:uid="{0790F102-1C12-4937-A455-AB8EF9E3AFC0}"/>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06DCB37B-98BF-4339-A277-D3648DC14127}"/>
    <cellStyle name="40% - Accent5 2 2 6 2 3" xfId="12616" xr:uid="{971C2768-47B5-4A4A-8EA9-5829450C3ACE}"/>
    <cellStyle name="40% - Accent5 2 2 6 3" xfId="6239" xr:uid="{00000000-0005-0000-0000-000067060000}"/>
    <cellStyle name="40% - Accent5 2 2 6 3 2" xfId="14689" xr:uid="{4139A8FE-9EDD-4E16-9C5B-D9A222EAFDD8}"/>
    <cellStyle name="40% - Accent5 2 2 6 4" xfId="10471" xr:uid="{DAEF259A-583A-46CB-ABD5-ACF20E03C44C}"/>
    <cellStyle name="40% - Accent5 2 2 7" xfId="2346" xr:uid="{00000000-0005-0000-0000-000068060000}"/>
    <cellStyle name="40% - Accent5 2 2 7 2" xfId="6652" xr:uid="{00000000-0005-0000-0000-000069060000}"/>
    <cellStyle name="40% - Accent5 2 2 7 2 2" xfId="15102" xr:uid="{F73DA57F-5929-4D5E-B2C9-FEAC3B79F362}"/>
    <cellStyle name="40% - Accent5 2 2 7 3" xfId="10884" xr:uid="{63ACE157-CA8F-48C4-AB72-1BF4DDA83AE2}"/>
    <cellStyle name="40% - Accent5 2 2 8" xfId="4586" xr:uid="{00000000-0005-0000-0000-00006A060000}"/>
    <cellStyle name="40% - Accent5 2 2 8 2" xfId="13036" xr:uid="{D184F141-8F2D-4C8C-A3D3-415475EDE333}"/>
    <cellStyle name="40% - Accent5 2 2 9" xfId="8818" xr:uid="{6F3318E2-7D87-4940-91F2-67873DFC8976}"/>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1379C80F-BAC7-43D2-89F7-4E1EEE3C2853}"/>
    <cellStyle name="40% - Accent5 2 3 2 2 3" xfId="11379" xr:uid="{B107FB5A-44A0-448D-BC3C-A33C10447A6D}"/>
    <cellStyle name="40% - Accent5 2 3 2 3" xfId="5002" xr:uid="{00000000-0005-0000-0000-00006F060000}"/>
    <cellStyle name="40% - Accent5 2 3 2 3 2" xfId="13452" xr:uid="{83C7ECB8-11B0-4C4B-93D3-EF2317EC7717}"/>
    <cellStyle name="40% - Accent5 2 3 2 4" xfId="9234" xr:uid="{EA33B26F-A6E0-438B-A2F7-49CD3F327D92}"/>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9758388A-6EFE-49D4-8915-C70CC9093866}"/>
    <cellStyle name="40% - Accent5 2 3 3 2 3" xfId="11792" xr:uid="{6EC62980-2EE3-402F-AA7E-848E63B3B4AE}"/>
    <cellStyle name="40% - Accent5 2 3 3 3" xfId="5415" xr:uid="{00000000-0005-0000-0000-000073060000}"/>
    <cellStyle name="40% - Accent5 2 3 3 3 2" xfId="13865" xr:uid="{0836AAF0-3AED-4CA6-ADAE-6DEE12A1206F}"/>
    <cellStyle name="40% - Accent5 2 3 3 4" xfId="9647" xr:uid="{FF7E1014-1644-44A3-9DE1-D92EEFCD271C}"/>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671DAD42-71EE-439D-A8E5-1DC3D6EA4C60}"/>
    <cellStyle name="40% - Accent5 2 3 4 2 3" xfId="12205" xr:uid="{78458F7F-A05B-418D-831B-576941DF0DC3}"/>
    <cellStyle name="40% - Accent5 2 3 4 3" xfId="5828" xr:uid="{00000000-0005-0000-0000-000077060000}"/>
    <cellStyle name="40% - Accent5 2 3 4 3 2" xfId="14278" xr:uid="{21CBD061-3873-47E4-95F8-D9D0F5F932AE}"/>
    <cellStyle name="40% - Accent5 2 3 4 4" xfId="10060" xr:uid="{665D0B70-F208-44CD-B38E-8F362CD4E457}"/>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4EEDB662-49D3-4C28-AD08-5833C795B14D}"/>
    <cellStyle name="40% - Accent5 2 3 5 2 3" xfId="12618" xr:uid="{3CFCF877-6B21-4538-BADA-94D0A1E7DA89}"/>
    <cellStyle name="40% - Accent5 2 3 5 3" xfId="6241" xr:uid="{00000000-0005-0000-0000-00007B060000}"/>
    <cellStyle name="40% - Accent5 2 3 5 3 2" xfId="14691" xr:uid="{EF0F5C89-BF50-448B-8691-E6F1B3A65F2E}"/>
    <cellStyle name="40% - Accent5 2 3 5 4" xfId="10473" xr:uid="{C0EAFD1B-1038-4CF2-9016-F34B6C274AB8}"/>
    <cellStyle name="40% - Accent5 2 3 6" xfId="2348" xr:uid="{00000000-0005-0000-0000-00007C060000}"/>
    <cellStyle name="40% - Accent5 2 3 6 2" xfId="6654" xr:uid="{00000000-0005-0000-0000-00007D060000}"/>
    <cellStyle name="40% - Accent5 2 3 6 2 2" xfId="15104" xr:uid="{D678EFEA-5287-402B-88DA-364C87181548}"/>
    <cellStyle name="40% - Accent5 2 3 6 3" xfId="10886" xr:uid="{2A454AF1-643E-4313-90A8-B234F02E67B9}"/>
    <cellStyle name="40% - Accent5 2 3 7" xfId="4588" xr:uid="{00000000-0005-0000-0000-00007E060000}"/>
    <cellStyle name="40% - Accent5 2 3 7 2" xfId="13038" xr:uid="{3487821B-D319-4C12-8022-5E80E1B9948D}"/>
    <cellStyle name="40% - Accent5 2 3 8" xfId="8820" xr:uid="{3C511B69-6C17-480C-A93A-3002DAC49546}"/>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22F3C58B-144B-45E4-8087-6BAA505D3D0F}"/>
    <cellStyle name="40% - Accent5 2 4 2 3" xfId="11376" xr:uid="{86E8031C-FC69-4900-ACFD-E29020F2F0CF}"/>
    <cellStyle name="40% - Accent5 2 4 3" xfId="4999" xr:uid="{00000000-0005-0000-0000-000082060000}"/>
    <cellStyle name="40% - Accent5 2 4 3 2" xfId="13449" xr:uid="{9CD0F747-BE89-46BD-9B7E-661505778A13}"/>
    <cellStyle name="40% - Accent5 2 4 4" xfId="9231" xr:uid="{84DE9F2C-9FA2-4DE7-9758-1A3076B6EA74}"/>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E41AACFC-3D74-49A8-B0A7-93E82DA4128F}"/>
    <cellStyle name="40% - Accent5 2 5 2 3" xfId="11789" xr:uid="{7F31C71D-ABAB-45ED-B838-88B80583BC69}"/>
    <cellStyle name="40% - Accent5 2 5 3" xfId="5412" xr:uid="{00000000-0005-0000-0000-000086060000}"/>
    <cellStyle name="40% - Accent5 2 5 3 2" xfId="13862" xr:uid="{BD772DF7-AAC4-4063-9716-5B809E2D0E72}"/>
    <cellStyle name="40% - Accent5 2 5 4" xfId="9644" xr:uid="{0A5608C2-2D12-4108-B781-CE74BFDDEF36}"/>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49A7FB8B-0577-46DE-9F24-DB2F111DF08B}"/>
    <cellStyle name="40% - Accent5 2 6 2 3" xfId="12202" xr:uid="{A92E3BE4-FEDA-48AA-B6FD-FF43F6C12FA0}"/>
    <cellStyle name="40% - Accent5 2 6 3" xfId="5825" xr:uid="{00000000-0005-0000-0000-00008A060000}"/>
    <cellStyle name="40% - Accent5 2 6 3 2" xfId="14275" xr:uid="{7445135F-FF94-4E63-A579-6E2BD1B9535F}"/>
    <cellStyle name="40% - Accent5 2 6 4" xfId="10057" xr:uid="{CCAD33A0-66F9-4F0C-AE09-32FF60F6EB12}"/>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83BE915B-6562-4F65-8C04-FE5CEF6C0710}"/>
    <cellStyle name="40% - Accent5 2 7 2 3" xfId="12615" xr:uid="{77E7EDBD-E22B-4A0B-BEB7-44839BB5D342}"/>
    <cellStyle name="40% - Accent5 2 7 3" xfId="6238" xr:uid="{00000000-0005-0000-0000-00008E060000}"/>
    <cellStyle name="40% - Accent5 2 7 3 2" xfId="14688" xr:uid="{D70EC488-3590-4E52-951A-72B5274BAF4D}"/>
    <cellStyle name="40% - Accent5 2 7 4" xfId="10470" xr:uid="{CD392FC2-8022-4461-BB36-0FC4F999A77D}"/>
    <cellStyle name="40% - Accent5 2 8" xfId="2345" xr:uid="{00000000-0005-0000-0000-00008F060000}"/>
    <cellStyle name="40% - Accent5 2 8 2" xfId="6651" xr:uid="{00000000-0005-0000-0000-000090060000}"/>
    <cellStyle name="40% - Accent5 2 8 2 2" xfId="15101" xr:uid="{CC725EB1-9B45-4E89-AD4A-D67B4E496728}"/>
    <cellStyle name="40% - Accent5 2 8 3" xfId="10883" xr:uid="{942BE3C4-8DA7-48FA-B406-5AE066DD9BAF}"/>
    <cellStyle name="40% - Accent5 2 9" xfId="4585" xr:uid="{00000000-0005-0000-0000-000091060000}"/>
    <cellStyle name="40% - Accent5 2 9 2" xfId="13035" xr:uid="{172AF95B-4A05-4446-A05B-2E617009FFC2}"/>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3C9366C8-7A4F-4914-B547-7EB67DC1C430}"/>
    <cellStyle name="40% - Accent5 3 2 2 2 3" xfId="11381" xr:uid="{0A94E0D7-F5EA-493C-8B85-23F76A2ACB0D}"/>
    <cellStyle name="40% - Accent5 3 2 2 3" xfId="5004" xr:uid="{00000000-0005-0000-0000-000097060000}"/>
    <cellStyle name="40% - Accent5 3 2 2 3 2" xfId="13454" xr:uid="{FB41F330-FCA1-47B3-9507-97C498DC8365}"/>
    <cellStyle name="40% - Accent5 3 2 2 4" xfId="9236" xr:uid="{7E4F3D9A-C14B-4624-80F6-7EF31A164C45}"/>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03A95296-EA76-4FE9-B994-63FF46519D68}"/>
    <cellStyle name="40% - Accent5 3 2 3 2 3" xfId="11794" xr:uid="{170204EC-85B0-45A8-9548-EFE02C65EBE9}"/>
    <cellStyle name="40% - Accent5 3 2 3 3" xfId="5417" xr:uid="{00000000-0005-0000-0000-00009B060000}"/>
    <cellStyle name="40% - Accent5 3 2 3 3 2" xfId="13867" xr:uid="{FCF6752E-0BFD-4894-914E-8244DEA16DAD}"/>
    <cellStyle name="40% - Accent5 3 2 3 4" xfId="9649" xr:uid="{C492A098-9198-4A7B-8289-1CED3A6CB7EF}"/>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8697FBC5-09D9-4639-80D3-53C31D42D961}"/>
    <cellStyle name="40% - Accent5 3 2 4 2 3" xfId="12207" xr:uid="{65082CA8-67D0-48AF-B239-7BDC704173B1}"/>
    <cellStyle name="40% - Accent5 3 2 4 3" xfId="5830" xr:uid="{00000000-0005-0000-0000-00009F060000}"/>
    <cellStyle name="40% - Accent5 3 2 4 3 2" xfId="14280" xr:uid="{978839A5-C35E-4EB7-A1E9-116032F01E58}"/>
    <cellStyle name="40% - Accent5 3 2 4 4" xfId="10062" xr:uid="{4585E097-1929-435B-A8A1-91E718BE1C69}"/>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D51F6BD7-5D92-49F4-938B-D90A1772543D}"/>
    <cellStyle name="40% - Accent5 3 2 5 2 3" xfId="12620" xr:uid="{6C3B2C04-6E23-4B51-8360-C080DFE50D45}"/>
    <cellStyle name="40% - Accent5 3 2 5 3" xfId="6243" xr:uid="{00000000-0005-0000-0000-0000A3060000}"/>
    <cellStyle name="40% - Accent5 3 2 5 3 2" xfId="14693" xr:uid="{1EB06A87-0897-4E69-AD18-4C522C4200E7}"/>
    <cellStyle name="40% - Accent5 3 2 5 4" xfId="10475" xr:uid="{F726699B-0DD0-4129-8CA3-80A1018A2716}"/>
    <cellStyle name="40% - Accent5 3 2 6" xfId="2350" xr:uid="{00000000-0005-0000-0000-0000A4060000}"/>
    <cellStyle name="40% - Accent5 3 2 6 2" xfId="6656" xr:uid="{00000000-0005-0000-0000-0000A5060000}"/>
    <cellStyle name="40% - Accent5 3 2 6 2 2" xfId="15106" xr:uid="{48DFA706-A9B3-4FF3-A158-D347C4858E24}"/>
    <cellStyle name="40% - Accent5 3 2 6 3" xfId="10888" xr:uid="{BEA45211-A403-4B79-871D-919465644395}"/>
    <cellStyle name="40% - Accent5 3 2 7" xfId="4590" xr:uid="{00000000-0005-0000-0000-0000A6060000}"/>
    <cellStyle name="40% - Accent5 3 2 7 2" xfId="13040" xr:uid="{7977E4B0-D581-438F-BF7A-1598B5BE790F}"/>
    <cellStyle name="40% - Accent5 3 2 8" xfId="8822" xr:uid="{179D42D5-96FD-4076-92F2-1A446377DE3E}"/>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CB9D4A59-3FA3-4B60-9F58-D9C3BE121E33}"/>
    <cellStyle name="40% - Accent5 3 3 2 3" xfId="11380" xr:uid="{B0E753DB-9F25-49FC-A2AE-5EF64193E583}"/>
    <cellStyle name="40% - Accent5 3 3 3" xfId="5003" xr:uid="{00000000-0005-0000-0000-0000AA060000}"/>
    <cellStyle name="40% - Accent5 3 3 3 2" xfId="13453" xr:uid="{313F4D60-7F3E-48DA-B6FA-40D5FDACAA0A}"/>
    <cellStyle name="40% - Accent5 3 3 4" xfId="9235" xr:uid="{AB3901DD-7E62-4C7E-B13C-2C82B7ABF17C}"/>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38899E33-5234-4AA4-AA17-0B0759902D85}"/>
    <cellStyle name="40% - Accent5 3 4 2 3" xfId="11793" xr:uid="{D51923B1-132A-4D49-81E3-F40752E57B72}"/>
    <cellStyle name="40% - Accent5 3 4 3" xfId="5416" xr:uid="{00000000-0005-0000-0000-0000AE060000}"/>
    <cellStyle name="40% - Accent5 3 4 3 2" xfId="13866" xr:uid="{31170D46-F6B7-4AE7-B472-00DD08B7204D}"/>
    <cellStyle name="40% - Accent5 3 4 4" xfId="9648" xr:uid="{4B9A5D5A-680F-4C50-B02C-05DB4060B8F7}"/>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B343C803-A3F5-4B31-92FD-B278FDAA35D8}"/>
    <cellStyle name="40% - Accent5 3 5 2 3" xfId="12206" xr:uid="{CF5435D7-F9FF-4CDD-B3E9-373980801138}"/>
    <cellStyle name="40% - Accent5 3 5 3" xfId="5829" xr:uid="{00000000-0005-0000-0000-0000B2060000}"/>
    <cellStyle name="40% - Accent5 3 5 3 2" xfId="14279" xr:uid="{8941B431-2D6C-45F3-A0AF-02B1CDA826A1}"/>
    <cellStyle name="40% - Accent5 3 5 4" xfId="10061" xr:uid="{4F089B1C-E56E-4BC7-8F61-994CDB65FC3D}"/>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68AA766D-AC4B-44D1-85CF-97C9D22A7AC9}"/>
    <cellStyle name="40% - Accent5 3 6 2 3" xfId="12619" xr:uid="{694C7726-A7D3-474C-AF15-69CDDE4CAB55}"/>
    <cellStyle name="40% - Accent5 3 6 3" xfId="6242" xr:uid="{00000000-0005-0000-0000-0000B6060000}"/>
    <cellStyle name="40% - Accent5 3 6 3 2" xfId="14692" xr:uid="{3E2FC72E-43B1-4498-911B-0ECCBDF3CA8C}"/>
    <cellStyle name="40% - Accent5 3 6 4" xfId="10474" xr:uid="{0E2EC1BB-09CD-4BAD-AE30-5CE4DE4BCF57}"/>
    <cellStyle name="40% - Accent5 3 7" xfId="2349" xr:uid="{00000000-0005-0000-0000-0000B7060000}"/>
    <cellStyle name="40% - Accent5 3 7 2" xfId="6655" xr:uid="{00000000-0005-0000-0000-0000B8060000}"/>
    <cellStyle name="40% - Accent5 3 7 2 2" xfId="15105" xr:uid="{CE7AF7FC-2E27-44FE-ACB7-0E2C83D00661}"/>
    <cellStyle name="40% - Accent5 3 7 3" xfId="10887" xr:uid="{E7AEB8F7-8423-4371-9FD2-6077C828FB3A}"/>
    <cellStyle name="40% - Accent5 3 8" xfId="4589" xr:uid="{00000000-0005-0000-0000-0000B9060000}"/>
    <cellStyle name="40% - Accent5 3 8 2" xfId="13039" xr:uid="{471C45FA-37C8-4613-AE2C-FB8BE2554DE3}"/>
    <cellStyle name="40% - Accent5 3 9" xfId="8821" xr:uid="{73AD5C1A-E412-4992-891A-D8BE006814DE}"/>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2772F6D9-1975-4E16-8F3C-89742A5B25A6}"/>
    <cellStyle name="40% - Accent5 4 2 2 3" xfId="11382" xr:uid="{84510F82-3A6A-47FB-90BB-E39B87C428A7}"/>
    <cellStyle name="40% - Accent5 4 2 3" xfId="5005" xr:uid="{00000000-0005-0000-0000-0000BE060000}"/>
    <cellStyle name="40% - Accent5 4 2 3 2" xfId="13455" xr:uid="{60BE3EDA-75F6-4F00-B4EC-DED25BC7C45E}"/>
    <cellStyle name="40% - Accent5 4 2 4" xfId="9237" xr:uid="{46214997-4E98-4EEF-B1B5-2955529B07D3}"/>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DE65C43F-21DD-42F3-AB0F-4167AC269C37}"/>
    <cellStyle name="40% - Accent5 4 3 2 3" xfId="11795" xr:uid="{C3F01584-3E62-47C8-BF2B-2DF56BC0382B}"/>
    <cellStyle name="40% - Accent5 4 3 3" xfId="5418" xr:uid="{00000000-0005-0000-0000-0000C2060000}"/>
    <cellStyle name="40% - Accent5 4 3 3 2" xfId="13868" xr:uid="{91FF0688-151C-49C8-A72F-2CFC0F5BF1B1}"/>
    <cellStyle name="40% - Accent5 4 3 4" xfId="9650" xr:uid="{647DA547-FACB-47D0-8068-71F318DA325F}"/>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E6EEEC6B-7379-44EA-A222-99AF7F97FC56}"/>
    <cellStyle name="40% - Accent5 4 4 2 3" xfId="12208" xr:uid="{FE7073DA-63E3-4593-922D-A1F4C76C5FB3}"/>
    <cellStyle name="40% - Accent5 4 4 3" xfId="5831" xr:uid="{00000000-0005-0000-0000-0000C6060000}"/>
    <cellStyle name="40% - Accent5 4 4 3 2" xfId="14281" xr:uid="{6DF1B77C-CB70-4168-9BAE-81ED65EF1937}"/>
    <cellStyle name="40% - Accent5 4 4 4" xfId="10063" xr:uid="{CA62C83D-3187-4E50-80C4-273DCBA3C9B9}"/>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A4026BB1-7499-441B-87BD-09F0D0D0105B}"/>
    <cellStyle name="40% - Accent5 4 5 2 3" xfId="12621" xr:uid="{594E281B-A86A-4C70-82AB-CF53E6496E52}"/>
    <cellStyle name="40% - Accent5 4 5 3" xfId="6244" xr:uid="{00000000-0005-0000-0000-0000CA060000}"/>
    <cellStyle name="40% - Accent5 4 5 3 2" xfId="14694" xr:uid="{932A48A6-AF60-402C-A865-BF7BD3296E18}"/>
    <cellStyle name="40% - Accent5 4 5 4" xfId="10476" xr:uid="{7C908D87-69A3-443D-8FAD-C3B319A91460}"/>
    <cellStyle name="40% - Accent5 4 6" xfId="2351" xr:uid="{00000000-0005-0000-0000-0000CB060000}"/>
    <cellStyle name="40% - Accent5 4 6 2" xfId="6657" xr:uid="{00000000-0005-0000-0000-0000CC060000}"/>
    <cellStyle name="40% - Accent5 4 6 2 2" xfId="15107" xr:uid="{1A054C45-954B-4A7E-B87F-6D4646B1CB92}"/>
    <cellStyle name="40% - Accent5 4 6 3" xfId="10889" xr:uid="{95C36A77-5B0C-4D9A-A433-88FB93840C30}"/>
    <cellStyle name="40% - Accent5 4 7" xfId="4591" xr:uid="{00000000-0005-0000-0000-0000CD060000}"/>
    <cellStyle name="40% - Accent5 4 7 2" xfId="13041" xr:uid="{F555A9A2-040F-4CD2-8C34-B4796DE2DB52}"/>
    <cellStyle name="40% - Accent5 4 8" xfId="8823" xr:uid="{F881D630-A0DF-41D4-ABA2-6AE597DAAF10}"/>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3FB34504-DBBE-449F-B5E4-1DE5DE9178F3}"/>
    <cellStyle name="40% - Accent5 5 2 3" xfId="11375" xr:uid="{2FA2DA8E-DC63-4262-BEDE-59FF2FC40D6C}"/>
    <cellStyle name="40% - Accent5 5 3" xfId="4998" xr:uid="{00000000-0005-0000-0000-0000D1060000}"/>
    <cellStyle name="40% - Accent5 5 3 2" xfId="13448" xr:uid="{0AF89740-D450-4CF1-8A3F-54132BC2DE8E}"/>
    <cellStyle name="40% - Accent5 5 4" xfId="9230" xr:uid="{50012FFF-03F0-4255-BD48-A1BC57BDBEC5}"/>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78D6DE3C-D55F-46A8-85F0-3EA8AE3467BA}"/>
    <cellStyle name="40% - Accent5 6 2 3" xfId="11788" xr:uid="{4C681795-3ADA-47C2-9477-D5922DBB2342}"/>
    <cellStyle name="40% - Accent5 6 3" xfId="5411" xr:uid="{00000000-0005-0000-0000-0000D5060000}"/>
    <cellStyle name="40% - Accent5 6 3 2" xfId="13861" xr:uid="{E46BDD12-1442-4010-9B2D-B95F0A161B79}"/>
    <cellStyle name="40% - Accent5 6 4" xfId="9643" xr:uid="{376DF351-A1DA-426F-B8D1-C3AA001C38B6}"/>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40AA1353-DDA2-4B5C-B1BD-EB3DB512884C}"/>
    <cellStyle name="40% - Accent5 7 2 3" xfId="12201" xr:uid="{64A27EBD-EEA3-485A-A4AA-62B7EFAC5D93}"/>
    <cellStyle name="40% - Accent5 7 3" xfId="5824" xr:uid="{00000000-0005-0000-0000-0000D9060000}"/>
    <cellStyle name="40% - Accent5 7 3 2" xfId="14274" xr:uid="{10FB1D13-6463-45FA-81D7-C8AD389E80BE}"/>
    <cellStyle name="40% - Accent5 7 4" xfId="10056" xr:uid="{9EEF839E-21AB-4768-9605-D6203CD53504}"/>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95F6B73B-F3BB-48B6-A1E9-6185E10E514B}"/>
    <cellStyle name="40% - Accent5 8 2 3" xfId="12614" xr:uid="{327A624F-F4C0-4C5B-AF33-10AA534663A1}"/>
    <cellStyle name="40% - Accent5 8 3" xfId="6237" xr:uid="{00000000-0005-0000-0000-0000DD060000}"/>
    <cellStyle name="40% - Accent5 8 3 2" xfId="14687" xr:uid="{7DB95235-E19E-402E-B27E-278D92073E4A}"/>
    <cellStyle name="40% - Accent5 8 4" xfId="10469" xr:uid="{D1A9A8B8-1FBF-45CB-B473-7E0FD068005E}"/>
    <cellStyle name="40% - Accent5 9" xfId="2344" xr:uid="{00000000-0005-0000-0000-0000DE060000}"/>
    <cellStyle name="40% - Accent5 9 2" xfId="6650" xr:uid="{00000000-0005-0000-0000-0000DF060000}"/>
    <cellStyle name="40% - Accent5 9 2 2" xfId="15100" xr:uid="{94344279-3250-4A0E-AA5E-1278F512E1A9}"/>
    <cellStyle name="40% - Accent5 9 3" xfId="10882" xr:uid="{8460064B-690B-4883-8441-0D0AD753B367}"/>
    <cellStyle name="40% - Accent6" xfId="89" builtinId="51" customBuiltin="1"/>
    <cellStyle name="40% - Accent6 10" xfId="4592" xr:uid="{00000000-0005-0000-0000-0000E1060000}"/>
    <cellStyle name="40% - Accent6 10 2" xfId="13042" xr:uid="{B2272D85-2030-4CF7-9CA2-80382CF95942}"/>
    <cellStyle name="40% - Accent6 11" xfId="8824" xr:uid="{2FF7D92B-66D6-4E78-82AC-6D6BAD3C1773}"/>
    <cellStyle name="40% - Accent6 2" xfId="90" xr:uid="{00000000-0005-0000-0000-0000E2060000}"/>
    <cellStyle name="40% - Accent6 2 10" xfId="8825" xr:uid="{3217BAFB-E5E0-4CD0-9C28-EDF4BBCD3BC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DE0DD7D5-7723-4E8F-A98A-2A2FBF811109}"/>
    <cellStyle name="40% - Accent6 2 2 2 2 2 3" xfId="11386" xr:uid="{4A4DB9C3-E18E-4601-8B65-936357318AD3}"/>
    <cellStyle name="40% - Accent6 2 2 2 2 3" xfId="5009" xr:uid="{00000000-0005-0000-0000-0000E8060000}"/>
    <cellStyle name="40% - Accent6 2 2 2 2 3 2" xfId="13459" xr:uid="{8421ADE5-F791-46C0-B966-C7B610D95EF8}"/>
    <cellStyle name="40% - Accent6 2 2 2 2 4" xfId="9241" xr:uid="{BC397ED3-3E99-40FF-BBEF-EAF5699D31BF}"/>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B43F7A1C-C739-4339-87EC-39959A47A85C}"/>
    <cellStyle name="40% - Accent6 2 2 2 3 2 3" xfId="11799" xr:uid="{0DCF32E8-8F6C-4AF0-96D0-03DA5D2A6FF1}"/>
    <cellStyle name="40% - Accent6 2 2 2 3 3" xfId="5422" xr:uid="{00000000-0005-0000-0000-0000EC060000}"/>
    <cellStyle name="40% - Accent6 2 2 2 3 3 2" xfId="13872" xr:uid="{688E1D29-BDC9-4FE7-A1C8-B78610CCD7BF}"/>
    <cellStyle name="40% - Accent6 2 2 2 3 4" xfId="9654" xr:uid="{C350EF1C-5D69-4E39-9F87-44AEA6B51FB2}"/>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D588AEF3-E223-405F-BBDC-C957C11883D4}"/>
    <cellStyle name="40% - Accent6 2 2 2 4 2 3" xfId="12212" xr:uid="{F8C6C869-0523-4424-9962-443971108EEC}"/>
    <cellStyle name="40% - Accent6 2 2 2 4 3" xfId="5835" xr:uid="{00000000-0005-0000-0000-0000F0060000}"/>
    <cellStyle name="40% - Accent6 2 2 2 4 3 2" xfId="14285" xr:uid="{EF174CEC-F7D4-4147-A846-D4C23712EE3C}"/>
    <cellStyle name="40% - Accent6 2 2 2 4 4" xfId="10067" xr:uid="{DD3F330E-5F58-47DE-9A2D-7917B18119CA}"/>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3A3F9F49-94FC-4FD4-9B30-5811E3A3B6A0}"/>
    <cellStyle name="40% - Accent6 2 2 2 5 2 3" xfId="12625" xr:uid="{315EE3A2-4551-422A-B7D3-4A77E219DCE1}"/>
    <cellStyle name="40% - Accent6 2 2 2 5 3" xfId="6248" xr:uid="{00000000-0005-0000-0000-0000F4060000}"/>
    <cellStyle name="40% - Accent6 2 2 2 5 3 2" xfId="14698" xr:uid="{6CB97B61-9574-44B4-B31A-0BC9169044D4}"/>
    <cellStyle name="40% - Accent6 2 2 2 5 4" xfId="10480" xr:uid="{65BB6DEC-9ADE-4D23-B5E9-257CAA951B8C}"/>
    <cellStyle name="40% - Accent6 2 2 2 6" xfId="2355" xr:uid="{00000000-0005-0000-0000-0000F5060000}"/>
    <cellStyle name="40% - Accent6 2 2 2 6 2" xfId="6661" xr:uid="{00000000-0005-0000-0000-0000F6060000}"/>
    <cellStyle name="40% - Accent6 2 2 2 6 2 2" xfId="15111" xr:uid="{8A151DBE-AF0C-4A43-9650-9B4E09177B7A}"/>
    <cellStyle name="40% - Accent6 2 2 2 6 3" xfId="10893" xr:uid="{33F3092A-E190-480F-A85F-F6DCC4C0053D}"/>
    <cellStyle name="40% - Accent6 2 2 2 7" xfId="4595" xr:uid="{00000000-0005-0000-0000-0000F7060000}"/>
    <cellStyle name="40% - Accent6 2 2 2 7 2" xfId="13045" xr:uid="{DF8A6248-4D3E-4DD9-9417-61AB5A9246E5}"/>
    <cellStyle name="40% - Accent6 2 2 2 8" xfId="8827" xr:uid="{34871605-4B46-44F7-A51B-E359DA4DFAE0}"/>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E765F908-5C9D-445D-BF0B-E9A3348ED21A}"/>
    <cellStyle name="40% - Accent6 2 2 3 2 3" xfId="11385" xr:uid="{577D2D41-E253-41F9-B320-C3C2499DBFE5}"/>
    <cellStyle name="40% - Accent6 2 2 3 3" xfId="5008" xr:uid="{00000000-0005-0000-0000-0000FB060000}"/>
    <cellStyle name="40% - Accent6 2 2 3 3 2" xfId="13458" xr:uid="{6B50E2E8-820B-467F-96E0-4B20588E1EB7}"/>
    <cellStyle name="40% - Accent6 2 2 3 4" xfId="9240" xr:uid="{07370766-71B8-4EC8-B11A-980DD7648552}"/>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F484DCEE-6C0A-4EEA-AF96-812D4AF654FF}"/>
    <cellStyle name="40% - Accent6 2 2 4 2 3" xfId="11798" xr:uid="{F114093B-4C44-41E2-8D60-81A8E27EAB0C}"/>
    <cellStyle name="40% - Accent6 2 2 4 3" xfId="5421" xr:uid="{00000000-0005-0000-0000-0000FF060000}"/>
    <cellStyle name="40% - Accent6 2 2 4 3 2" xfId="13871" xr:uid="{76305A6A-3EA0-4C4B-86C3-CD8969F06CD9}"/>
    <cellStyle name="40% - Accent6 2 2 4 4" xfId="9653" xr:uid="{2406908F-F32E-4E33-94B6-FF1140655397}"/>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78F7329F-E19C-4E01-BF01-6308D9EBF461}"/>
    <cellStyle name="40% - Accent6 2 2 5 2 3" xfId="12211" xr:uid="{1824E36B-17BB-42F4-8665-35BD072090E5}"/>
    <cellStyle name="40% - Accent6 2 2 5 3" xfId="5834" xr:uid="{00000000-0005-0000-0000-000003070000}"/>
    <cellStyle name="40% - Accent6 2 2 5 3 2" xfId="14284" xr:uid="{4E0C65E7-ADA3-4426-873A-0391497E102E}"/>
    <cellStyle name="40% - Accent6 2 2 5 4" xfId="10066" xr:uid="{F1934DF3-DDFF-4B10-A989-2DBAF067FC2D}"/>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402A76F7-F7B0-4E80-B98B-368A9F539840}"/>
    <cellStyle name="40% - Accent6 2 2 6 2 3" xfId="12624" xr:uid="{0787CB2F-6467-4A6A-A1B5-4E40B54DBEAB}"/>
    <cellStyle name="40% - Accent6 2 2 6 3" xfId="6247" xr:uid="{00000000-0005-0000-0000-000007070000}"/>
    <cellStyle name="40% - Accent6 2 2 6 3 2" xfId="14697" xr:uid="{B633F7DE-0B67-4175-8C08-EB392F7388FF}"/>
    <cellStyle name="40% - Accent6 2 2 6 4" xfId="10479" xr:uid="{F338B3A7-EA16-460B-86E5-76D1EEFF73C7}"/>
    <cellStyle name="40% - Accent6 2 2 7" xfId="2354" xr:uid="{00000000-0005-0000-0000-000008070000}"/>
    <cellStyle name="40% - Accent6 2 2 7 2" xfId="6660" xr:uid="{00000000-0005-0000-0000-000009070000}"/>
    <cellStyle name="40% - Accent6 2 2 7 2 2" xfId="15110" xr:uid="{7F1EF866-423F-492F-BFAC-0D4FC1CC1637}"/>
    <cellStyle name="40% - Accent6 2 2 7 3" xfId="10892" xr:uid="{D00E86C0-79DA-4970-AE2D-EE08E50E287D}"/>
    <cellStyle name="40% - Accent6 2 2 8" xfId="4594" xr:uid="{00000000-0005-0000-0000-00000A070000}"/>
    <cellStyle name="40% - Accent6 2 2 8 2" xfId="13044" xr:uid="{CE27A8C4-C02A-466C-8E27-C1EBBC6EAD1B}"/>
    <cellStyle name="40% - Accent6 2 2 9" xfId="8826" xr:uid="{C97E4F97-D900-4B47-BAEE-45ECEDE03055}"/>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20B2C145-31CD-425C-8F04-B5CB69D9A70B}"/>
    <cellStyle name="40% - Accent6 2 3 2 2 3" xfId="11387" xr:uid="{D49A75CF-D4C1-455C-807D-91170E58AB13}"/>
    <cellStyle name="40% - Accent6 2 3 2 3" xfId="5010" xr:uid="{00000000-0005-0000-0000-00000F070000}"/>
    <cellStyle name="40% - Accent6 2 3 2 3 2" xfId="13460" xr:uid="{7D5365A8-342E-4E05-9BC1-E0ED361B86AA}"/>
    <cellStyle name="40% - Accent6 2 3 2 4" xfId="9242" xr:uid="{00C65374-E843-4470-AE2D-D8924B81883F}"/>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B225FFA1-B80E-47FC-9986-B5C4C97DBF23}"/>
    <cellStyle name="40% - Accent6 2 3 3 2 3" xfId="11800" xr:uid="{A8BD848B-241F-4D4B-BC79-9911F5ABA9D1}"/>
    <cellStyle name="40% - Accent6 2 3 3 3" xfId="5423" xr:uid="{00000000-0005-0000-0000-000013070000}"/>
    <cellStyle name="40% - Accent6 2 3 3 3 2" xfId="13873" xr:uid="{4577D25F-5826-48E3-B156-B094BF8360EB}"/>
    <cellStyle name="40% - Accent6 2 3 3 4" xfId="9655" xr:uid="{4E0CB1B5-12A1-4DEF-86B5-BFA44C2478D5}"/>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E59DF49E-04BC-45B9-A853-C717F31B07F8}"/>
    <cellStyle name="40% - Accent6 2 3 4 2 3" xfId="12213" xr:uid="{4C9D0463-9AF4-4919-BD0E-5B2CDB7FB010}"/>
    <cellStyle name="40% - Accent6 2 3 4 3" xfId="5836" xr:uid="{00000000-0005-0000-0000-000017070000}"/>
    <cellStyle name="40% - Accent6 2 3 4 3 2" xfId="14286" xr:uid="{5EBC14E1-FF9F-401D-96D2-914CA644C2CF}"/>
    <cellStyle name="40% - Accent6 2 3 4 4" xfId="10068" xr:uid="{0FF801A6-66E9-463F-A4F5-81302B6A3095}"/>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5B925FFD-E2E1-4C35-99F0-66CC945466F7}"/>
    <cellStyle name="40% - Accent6 2 3 5 2 3" xfId="12626" xr:uid="{95E881F6-8D41-4134-89FF-B0C57F52F5CA}"/>
    <cellStyle name="40% - Accent6 2 3 5 3" xfId="6249" xr:uid="{00000000-0005-0000-0000-00001B070000}"/>
    <cellStyle name="40% - Accent6 2 3 5 3 2" xfId="14699" xr:uid="{3ED82D89-612A-49C4-9B57-3D76CAAE2329}"/>
    <cellStyle name="40% - Accent6 2 3 5 4" xfId="10481" xr:uid="{BCF55A69-8371-4834-A8DB-58012ADFDAB6}"/>
    <cellStyle name="40% - Accent6 2 3 6" xfId="2356" xr:uid="{00000000-0005-0000-0000-00001C070000}"/>
    <cellStyle name="40% - Accent6 2 3 6 2" xfId="6662" xr:uid="{00000000-0005-0000-0000-00001D070000}"/>
    <cellStyle name="40% - Accent6 2 3 6 2 2" xfId="15112" xr:uid="{502E05C5-DF2F-4EBC-9666-AE6853CEE17B}"/>
    <cellStyle name="40% - Accent6 2 3 6 3" xfId="10894" xr:uid="{79552946-21CD-4907-A632-C3C099A12B4F}"/>
    <cellStyle name="40% - Accent6 2 3 7" xfId="4596" xr:uid="{00000000-0005-0000-0000-00001E070000}"/>
    <cellStyle name="40% - Accent6 2 3 7 2" xfId="13046" xr:uid="{B9B7587D-26EE-4553-A270-EEC2DC306DA5}"/>
    <cellStyle name="40% - Accent6 2 3 8" xfId="8828" xr:uid="{7012812A-B4ED-4333-AD72-9C614715B758}"/>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725275D5-C24E-4792-BF06-A922A4D4A66B}"/>
    <cellStyle name="40% - Accent6 2 4 2 3" xfId="11384" xr:uid="{685B6BB2-9A61-4EAE-B268-798027E87751}"/>
    <cellStyle name="40% - Accent6 2 4 3" xfId="5007" xr:uid="{00000000-0005-0000-0000-000022070000}"/>
    <cellStyle name="40% - Accent6 2 4 3 2" xfId="13457" xr:uid="{4F87DC56-04B7-4D04-973A-9581B84CC948}"/>
    <cellStyle name="40% - Accent6 2 4 4" xfId="9239" xr:uid="{360FD9CD-549D-469E-B026-AE54C9CF7CF3}"/>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302B6EEB-5D03-4367-B6E6-F9B4952D05F9}"/>
    <cellStyle name="40% - Accent6 2 5 2 3" xfId="11797" xr:uid="{05F2AAAF-3228-452F-B285-FB0A835F3E7F}"/>
    <cellStyle name="40% - Accent6 2 5 3" xfId="5420" xr:uid="{00000000-0005-0000-0000-000026070000}"/>
    <cellStyle name="40% - Accent6 2 5 3 2" xfId="13870" xr:uid="{12D3D6A5-6C6E-4F53-BC74-C860AC4F929D}"/>
    <cellStyle name="40% - Accent6 2 5 4" xfId="9652" xr:uid="{74FDDCB4-A798-430E-A5BD-78B99DD162D5}"/>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E3A55BE8-DF0D-421D-904A-84B0E90230EA}"/>
    <cellStyle name="40% - Accent6 2 6 2 3" xfId="12210" xr:uid="{D1291613-D485-425E-8B3F-6C9ADC46B2D2}"/>
    <cellStyle name="40% - Accent6 2 6 3" xfId="5833" xr:uid="{00000000-0005-0000-0000-00002A070000}"/>
    <cellStyle name="40% - Accent6 2 6 3 2" xfId="14283" xr:uid="{19C26877-0C7F-496A-AB65-3025CA3D6A1E}"/>
    <cellStyle name="40% - Accent6 2 6 4" xfId="10065" xr:uid="{0200B0CB-88C5-4C14-90BE-8B1F59DABF24}"/>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A9EF6DC4-7DEC-4D6E-B6EB-9EC89F69C927}"/>
    <cellStyle name="40% - Accent6 2 7 2 3" xfId="12623" xr:uid="{4F06AE23-0961-4583-A16F-18B7F9AFE52A}"/>
    <cellStyle name="40% - Accent6 2 7 3" xfId="6246" xr:uid="{00000000-0005-0000-0000-00002E070000}"/>
    <cellStyle name="40% - Accent6 2 7 3 2" xfId="14696" xr:uid="{DEF17B37-B5DA-4FCC-9959-F75873DF4DE6}"/>
    <cellStyle name="40% - Accent6 2 7 4" xfId="10478" xr:uid="{71DE462D-14A6-44DF-9A11-99742E2F06B8}"/>
    <cellStyle name="40% - Accent6 2 8" xfId="2353" xr:uid="{00000000-0005-0000-0000-00002F070000}"/>
    <cellStyle name="40% - Accent6 2 8 2" xfId="6659" xr:uid="{00000000-0005-0000-0000-000030070000}"/>
    <cellStyle name="40% - Accent6 2 8 2 2" xfId="15109" xr:uid="{2E90524A-8CA7-4B60-923F-9F304944BC9C}"/>
    <cellStyle name="40% - Accent6 2 8 3" xfId="10891" xr:uid="{9FADBEB0-9F05-4EDA-A56E-194B7553B413}"/>
    <cellStyle name="40% - Accent6 2 9" xfId="4593" xr:uid="{00000000-0005-0000-0000-000031070000}"/>
    <cellStyle name="40% - Accent6 2 9 2" xfId="13043" xr:uid="{491278EA-695A-4820-B905-ED484415B40B}"/>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341D07E2-1C51-44C2-825D-1811EDAD3619}"/>
    <cellStyle name="40% - Accent6 3 2 2 2 3" xfId="11389" xr:uid="{7BBFAE4A-9294-4679-9848-FD3B0AA104FB}"/>
    <cellStyle name="40% - Accent6 3 2 2 3" xfId="5012" xr:uid="{00000000-0005-0000-0000-000037070000}"/>
    <cellStyle name="40% - Accent6 3 2 2 3 2" xfId="13462" xr:uid="{163416CE-3D4A-4DA6-94E8-6C0AC6D00A7B}"/>
    <cellStyle name="40% - Accent6 3 2 2 4" xfId="9244" xr:uid="{035CEAFB-3AE5-47F8-A1C3-92E916125558}"/>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2A03CF67-C301-404C-AC6B-766E6D1ECB08}"/>
    <cellStyle name="40% - Accent6 3 2 3 2 3" xfId="11802" xr:uid="{6CAC73A7-3655-4BC5-80B2-2CBC3C019139}"/>
    <cellStyle name="40% - Accent6 3 2 3 3" xfId="5425" xr:uid="{00000000-0005-0000-0000-00003B070000}"/>
    <cellStyle name="40% - Accent6 3 2 3 3 2" xfId="13875" xr:uid="{BCE1F9B1-3F97-4321-A347-80820A466F2D}"/>
    <cellStyle name="40% - Accent6 3 2 3 4" xfId="9657" xr:uid="{47E0E1C0-333B-4DCF-B5A1-A6F82BDC2E54}"/>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33934A81-E57B-43A1-BD2A-164953664A5F}"/>
    <cellStyle name="40% - Accent6 3 2 4 2 3" xfId="12215" xr:uid="{79D4F2B6-492A-4612-AB0D-0CE792C98A50}"/>
    <cellStyle name="40% - Accent6 3 2 4 3" xfId="5838" xr:uid="{00000000-0005-0000-0000-00003F070000}"/>
    <cellStyle name="40% - Accent6 3 2 4 3 2" xfId="14288" xr:uid="{C841E0CC-4D15-4084-9500-AFF8D97FCE6E}"/>
    <cellStyle name="40% - Accent6 3 2 4 4" xfId="10070" xr:uid="{6200ECD3-DFD1-4466-A3E6-0737BDC77BCD}"/>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BC8797E1-9598-47A1-835B-AC5B01E1882D}"/>
    <cellStyle name="40% - Accent6 3 2 5 2 3" xfId="12628" xr:uid="{034FF748-0667-494A-8FD3-D6BB598ACD49}"/>
    <cellStyle name="40% - Accent6 3 2 5 3" xfId="6251" xr:uid="{00000000-0005-0000-0000-000043070000}"/>
    <cellStyle name="40% - Accent6 3 2 5 3 2" xfId="14701" xr:uid="{B8BD2032-4FC1-45C9-89B2-4E66369288B0}"/>
    <cellStyle name="40% - Accent6 3 2 5 4" xfId="10483" xr:uid="{5BF4C0A0-BE04-4AFE-B68F-DA11FC792AF8}"/>
    <cellStyle name="40% - Accent6 3 2 6" xfId="2358" xr:uid="{00000000-0005-0000-0000-000044070000}"/>
    <cellStyle name="40% - Accent6 3 2 6 2" xfId="6664" xr:uid="{00000000-0005-0000-0000-000045070000}"/>
    <cellStyle name="40% - Accent6 3 2 6 2 2" xfId="15114" xr:uid="{5843E1F7-0748-4034-8504-0C95DFA99923}"/>
    <cellStyle name="40% - Accent6 3 2 6 3" xfId="10896" xr:uid="{45FA091A-76B2-4D69-B943-DEBCCDCFA8E6}"/>
    <cellStyle name="40% - Accent6 3 2 7" xfId="4598" xr:uid="{00000000-0005-0000-0000-000046070000}"/>
    <cellStyle name="40% - Accent6 3 2 7 2" xfId="13048" xr:uid="{A3AB08A1-8338-42BC-9E53-22042AEA241F}"/>
    <cellStyle name="40% - Accent6 3 2 8" xfId="8830" xr:uid="{0CF91049-5BFB-4ED6-A6BF-D5A1D54B6CA2}"/>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F54CDE60-B8A6-4BC9-9845-ECD7C16B0C8D}"/>
    <cellStyle name="40% - Accent6 3 3 2 3" xfId="11388" xr:uid="{36AFB2E3-AD2A-4DA5-B764-1FBC53DFBFCD}"/>
    <cellStyle name="40% - Accent6 3 3 3" xfId="5011" xr:uid="{00000000-0005-0000-0000-00004A070000}"/>
    <cellStyle name="40% - Accent6 3 3 3 2" xfId="13461" xr:uid="{5A0AB8E7-7E87-43C2-B086-ACD2E3A96AE0}"/>
    <cellStyle name="40% - Accent6 3 3 4" xfId="9243" xr:uid="{D7211333-34A5-415F-9AF0-E4B67991D03D}"/>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5C6AF757-1A0F-4687-B98C-0E5BF1BDCFBB}"/>
    <cellStyle name="40% - Accent6 3 4 2 3" xfId="11801" xr:uid="{78CDA4E4-2CC5-489F-9D0B-241F6BB6993A}"/>
    <cellStyle name="40% - Accent6 3 4 3" xfId="5424" xr:uid="{00000000-0005-0000-0000-00004E070000}"/>
    <cellStyle name="40% - Accent6 3 4 3 2" xfId="13874" xr:uid="{977B166E-B30D-424C-B1DB-4F743280459E}"/>
    <cellStyle name="40% - Accent6 3 4 4" xfId="9656" xr:uid="{5ED02D42-9021-483B-B138-8664D1E6CE53}"/>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D57B6F2E-54CD-42E0-9BB1-62BADD90EFFD}"/>
    <cellStyle name="40% - Accent6 3 5 2 3" xfId="12214" xr:uid="{FDD45E30-84F9-4F5C-A061-042149318EFD}"/>
    <cellStyle name="40% - Accent6 3 5 3" xfId="5837" xr:uid="{00000000-0005-0000-0000-000052070000}"/>
    <cellStyle name="40% - Accent6 3 5 3 2" xfId="14287" xr:uid="{5D34B196-6E86-444B-8F42-6A09D22263C9}"/>
    <cellStyle name="40% - Accent6 3 5 4" xfId="10069" xr:uid="{3369F3EC-BA9D-40E0-9EDD-684EDC1B6E72}"/>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7ACED7A0-3F3B-4556-8B92-631CE37E2970}"/>
    <cellStyle name="40% - Accent6 3 6 2 3" xfId="12627" xr:uid="{ED6752D2-F6DF-4944-9206-5EE75AE538A5}"/>
    <cellStyle name="40% - Accent6 3 6 3" xfId="6250" xr:uid="{00000000-0005-0000-0000-000056070000}"/>
    <cellStyle name="40% - Accent6 3 6 3 2" xfId="14700" xr:uid="{FDFF1EB7-ABE7-4188-9581-CB7ED67AC073}"/>
    <cellStyle name="40% - Accent6 3 6 4" xfId="10482" xr:uid="{3C643B0E-7F45-42FF-A81A-89E0B8DEA1D3}"/>
    <cellStyle name="40% - Accent6 3 7" xfId="2357" xr:uid="{00000000-0005-0000-0000-000057070000}"/>
    <cellStyle name="40% - Accent6 3 7 2" xfId="6663" xr:uid="{00000000-0005-0000-0000-000058070000}"/>
    <cellStyle name="40% - Accent6 3 7 2 2" xfId="15113" xr:uid="{B7F5C92A-F9FF-43A8-AE2A-30F7A05AB645}"/>
    <cellStyle name="40% - Accent6 3 7 3" xfId="10895" xr:uid="{9B04D718-8A15-429F-BE28-FAA49A94C344}"/>
    <cellStyle name="40% - Accent6 3 8" xfId="4597" xr:uid="{00000000-0005-0000-0000-000059070000}"/>
    <cellStyle name="40% - Accent6 3 8 2" xfId="13047" xr:uid="{E944CEDC-D070-4D4F-AB08-EDA764FD181D}"/>
    <cellStyle name="40% - Accent6 3 9" xfId="8829" xr:uid="{863335AA-47BD-40C0-87EC-44B8710490D3}"/>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02D0DF9A-93B5-452B-B0C5-91A7C1CFA047}"/>
    <cellStyle name="40% - Accent6 4 2 2 3" xfId="11390" xr:uid="{FAF04909-97AF-4C65-8D6F-9AB3522A1976}"/>
    <cellStyle name="40% - Accent6 4 2 3" xfId="5013" xr:uid="{00000000-0005-0000-0000-00005E070000}"/>
    <cellStyle name="40% - Accent6 4 2 3 2" xfId="13463" xr:uid="{95DB2764-4DB0-41FE-8060-A17C048F340C}"/>
    <cellStyle name="40% - Accent6 4 2 4" xfId="9245" xr:uid="{09523132-B76A-40D5-A054-8F17285769EF}"/>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C626966A-AB50-463D-854D-07497B8E89BF}"/>
    <cellStyle name="40% - Accent6 4 3 2 3" xfId="11803" xr:uid="{6504DC0D-CD18-44F7-8EBE-A2E582E1F3C0}"/>
    <cellStyle name="40% - Accent6 4 3 3" xfId="5426" xr:uid="{00000000-0005-0000-0000-000062070000}"/>
    <cellStyle name="40% - Accent6 4 3 3 2" xfId="13876" xr:uid="{C6A6099F-A82D-4640-9112-D16BE9CB224C}"/>
    <cellStyle name="40% - Accent6 4 3 4" xfId="9658" xr:uid="{79F0F125-E73A-460F-B087-55B18E581739}"/>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F0B35DCB-6F80-4676-BD63-CE64C9586B63}"/>
    <cellStyle name="40% - Accent6 4 4 2 3" xfId="12216" xr:uid="{F0A9C4C3-53F6-41BF-A0DA-B81276B9B93D}"/>
    <cellStyle name="40% - Accent6 4 4 3" xfId="5839" xr:uid="{00000000-0005-0000-0000-000066070000}"/>
    <cellStyle name="40% - Accent6 4 4 3 2" xfId="14289" xr:uid="{2B3DF7BE-F3A1-434D-84F9-944A52BA72DD}"/>
    <cellStyle name="40% - Accent6 4 4 4" xfId="10071" xr:uid="{D1E57B32-76C4-46E5-968A-6A7175EC0E07}"/>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80ACC8AC-1788-455C-92AB-82339D9CD0D2}"/>
    <cellStyle name="40% - Accent6 4 5 2 3" xfId="12629" xr:uid="{EC0ECC1F-39D0-4539-A608-D30784FC3268}"/>
    <cellStyle name="40% - Accent6 4 5 3" xfId="6252" xr:uid="{00000000-0005-0000-0000-00006A070000}"/>
    <cellStyle name="40% - Accent6 4 5 3 2" xfId="14702" xr:uid="{6EF6DDC5-DF70-42D2-84F6-10906A340B4A}"/>
    <cellStyle name="40% - Accent6 4 5 4" xfId="10484" xr:uid="{21CDCC30-1E5B-43BD-ABF2-1442AAE079D5}"/>
    <cellStyle name="40% - Accent6 4 6" xfId="2359" xr:uid="{00000000-0005-0000-0000-00006B070000}"/>
    <cellStyle name="40% - Accent6 4 6 2" xfId="6665" xr:uid="{00000000-0005-0000-0000-00006C070000}"/>
    <cellStyle name="40% - Accent6 4 6 2 2" xfId="15115" xr:uid="{19117B26-B4FA-47CF-8159-7C649E9FDCA8}"/>
    <cellStyle name="40% - Accent6 4 6 3" xfId="10897" xr:uid="{EB95B74E-0DB3-410A-BB0B-2EA7AA10C16D}"/>
    <cellStyle name="40% - Accent6 4 7" xfId="4599" xr:uid="{00000000-0005-0000-0000-00006D070000}"/>
    <cellStyle name="40% - Accent6 4 7 2" xfId="13049" xr:uid="{BA7353B6-BB41-4AA1-8D46-0624315A155C}"/>
    <cellStyle name="40% - Accent6 4 8" xfId="8831" xr:uid="{B405A382-37C1-49B5-8A16-6C880BCB6893}"/>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1FC95740-3053-4AE8-B2F9-8EEACD56EBED}"/>
    <cellStyle name="40% - Accent6 5 2 3" xfId="11383" xr:uid="{D64D9A53-5037-483F-BF8C-3F0937A6F6C3}"/>
    <cellStyle name="40% - Accent6 5 3" xfId="5006" xr:uid="{00000000-0005-0000-0000-000071070000}"/>
    <cellStyle name="40% - Accent6 5 3 2" xfId="13456" xr:uid="{26FDA01F-2881-4A24-B2BE-F7B60149C70F}"/>
    <cellStyle name="40% - Accent6 5 4" xfId="9238" xr:uid="{C1AFE1CA-42AC-46BB-BB6B-1AD8F9575006}"/>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F31F9509-6473-4C34-89E4-6C0B1022D0B7}"/>
    <cellStyle name="40% - Accent6 6 2 3" xfId="11796" xr:uid="{EF9C01A9-4C21-447B-92E4-73F2188589B4}"/>
    <cellStyle name="40% - Accent6 6 3" xfId="5419" xr:uid="{00000000-0005-0000-0000-000075070000}"/>
    <cellStyle name="40% - Accent6 6 3 2" xfId="13869" xr:uid="{7270F69F-5CA5-4648-B0EB-5B96B0FC296A}"/>
    <cellStyle name="40% - Accent6 6 4" xfId="9651" xr:uid="{8E5ED4B0-3EAB-4E10-A404-1649D4AE5A62}"/>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7BF56786-A6C7-4FE4-A468-F9DD07EA1EDB}"/>
    <cellStyle name="40% - Accent6 7 2 3" xfId="12209" xr:uid="{54E8B9AC-8C0B-4BAA-A594-32100E6491A5}"/>
    <cellStyle name="40% - Accent6 7 3" xfId="5832" xr:uid="{00000000-0005-0000-0000-000079070000}"/>
    <cellStyle name="40% - Accent6 7 3 2" xfId="14282" xr:uid="{A7D5FF03-6856-46BB-8F99-571657B1D8EC}"/>
    <cellStyle name="40% - Accent6 7 4" xfId="10064" xr:uid="{2DF590A5-9E9D-4571-A89F-0C854F3D8594}"/>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3F357674-3888-46EA-AB97-CAB10E528C2E}"/>
    <cellStyle name="40% - Accent6 8 2 3" xfId="12622" xr:uid="{95D22938-7F44-45CE-8C50-18DFDD18D65E}"/>
    <cellStyle name="40% - Accent6 8 3" xfId="6245" xr:uid="{00000000-0005-0000-0000-00007D070000}"/>
    <cellStyle name="40% - Accent6 8 3 2" xfId="14695" xr:uid="{C165B9AE-511D-4567-B92D-E6CD1C02C44D}"/>
    <cellStyle name="40% - Accent6 8 4" xfId="10477" xr:uid="{F78BBF29-9A6F-42DB-877F-549D27ED6D38}"/>
    <cellStyle name="40% - Accent6 9" xfId="2352" xr:uid="{00000000-0005-0000-0000-00007E070000}"/>
    <cellStyle name="40% - Accent6 9 2" xfId="6658" xr:uid="{00000000-0005-0000-0000-00007F070000}"/>
    <cellStyle name="40% - Accent6 9 2 2" xfId="15108" xr:uid="{C6DF4DBC-65F0-4BAB-8D67-0A6CB1845D3E}"/>
    <cellStyle name="40% - Accent6 9 3" xfId="10890" xr:uid="{7C9A97FD-9BDF-4F9D-A1EA-4F52842B35D3}"/>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8C8C7327-4142-44D8-9B5D-DD85868A6964}"/>
    <cellStyle name="Comma 4 2 2 2 10 3" xfId="11215" xr:uid="{D7D31B7B-B68A-4F02-9347-3889C9A5CF0B}"/>
    <cellStyle name="Comma 4 2 2 2 11" xfId="4600" xr:uid="{00000000-0005-0000-0000-0000A3070000}"/>
    <cellStyle name="Comma 4 2 2 2 11 2" xfId="13050" xr:uid="{9ADA7981-CC58-4D1F-9C3B-99DB38ADDED2}"/>
    <cellStyle name="Comma 4 2 2 2 12" xfId="8832" xr:uid="{19986FB2-930E-4728-B061-0868362B4345}"/>
    <cellStyle name="Comma 4 2 2 2 2" xfId="129" xr:uid="{00000000-0005-0000-0000-0000A4070000}"/>
    <cellStyle name="Comma 4 2 2 2 2 10" xfId="4601" xr:uid="{00000000-0005-0000-0000-0000A5070000}"/>
    <cellStyle name="Comma 4 2 2 2 2 10 2" xfId="13051" xr:uid="{35EA78E4-B1C6-4123-A56D-63AD01CF7C42}"/>
    <cellStyle name="Comma 4 2 2 2 2 11" xfId="8833" xr:uid="{BB31FEC6-B8B7-4B5C-A46C-C7D2FD853408}"/>
    <cellStyle name="Comma 4 2 2 2 2 2" xfId="130" xr:uid="{00000000-0005-0000-0000-0000A6070000}"/>
    <cellStyle name="Comma 4 2 2 2 2 2 10" xfId="8834" xr:uid="{B2026703-5919-4632-8304-E16341997153}"/>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202C9BAC-5292-4813-A7D3-A01126F59C8E}"/>
    <cellStyle name="Comma 4 2 2 2 2 2 2 2 3" xfId="11393" xr:uid="{22EB8975-B4F4-4825-8C81-E53FD31BD2B0}"/>
    <cellStyle name="Comma 4 2 2 2 2 2 2 3" xfId="5016" xr:uid="{00000000-0005-0000-0000-0000AA070000}"/>
    <cellStyle name="Comma 4 2 2 2 2 2 2 3 2" xfId="13466" xr:uid="{5F123028-12D0-4668-9365-5C2F3484139B}"/>
    <cellStyle name="Comma 4 2 2 2 2 2 2 4" xfId="9248" xr:uid="{6EFB28D8-0C22-4F21-93C2-1C2F0F9213E3}"/>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67F91DBE-8E0F-4BDF-93CE-ED57E5E32B8A}"/>
    <cellStyle name="Comma 4 2 2 2 2 2 3 2 3" xfId="11806" xr:uid="{5ECC0E30-2686-4537-B1E8-8CBA745CF126}"/>
    <cellStyle name="Comma 4 2 2 2 2 2 3 3" xfId="5429" xr:uid="{00000000-0005-0000-0000-0000AE070000}"/>
    <cellStyle name="Comma 4 2 2 2 2 2 3 3 2" xfId="13879" xr:uid="{DF9E1C40-1FEE-4AF5-8F33-6D7477A9AA2E}"/>
    <cellStyle name="Comma 4 2 2 2 2 2 3 4" xfId="9661" xr:uid="{716C355A-F8C6-4D3D-B1BB-3947D78E4F7F}"/>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7350D658-DA1C-4B3B-9530-02A8BBBFF511}"/>
    <cellStyle name="Comma 4 2 2 2 2 2 4 2 3" xfId="12219" xr:uid="{97471FDE-89A3-4445-B128-C107970D6BF9}"/>
    <cellStyle name="Comma 4 2 2 2 2 2 4 3" xfId="5842" xr:uid="{00000000-0005-0000-0000-0000B2070000}"/>
    <cellStyle name="Comma 4 2 2 2 2 2 4 3 2" xfId="14292" xr:uid="{9E6510B9-C6DF-42D6-BAA3-4E818A774B40}"/>
    <cellStyle name="Comma 4 2 2 2 2 2 4 4" xfId="10074" xr:uid="{0E6AE760-38E6-4226-89E3-2FDA558DA261}"/>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7E43DC77-57A9-4C0A-8EF9-C9FE0C88FC37}"/>
    <cellStyle name="Comma 4 2 2 2 2 2 5 2 3" xfId="12632" xr:uid="{10EF4CF8-FF88-4716-A231-9778000B7AA5}"/>
    <cellStyle name="Comma 4 2 2 2 2 2 5 3" xfId="6255" xr:uid="{00000000-0005-0000-0000-0000B6070000}"/>
    <cellStyle name="Comma 4 2 2 2 2 2 5 3 2" xfId="14705" xr:uid="{468441DC-E07D-4496-9B45-79AD87F855AE}"/>
    <cellStyle name="Comma 4 2 2 2 2 2 5 4" xfId="10487" xr:uid="{31F2BC46-B63E-491B-91F6-7D280A999126}"/>
    <cellStyle name="Comma 4 2 2 2 2 2 6" xfId="2384" xr:uid="{00000000-0005-0000-0000-0000B7070000}"/>
    <cellStyle name="Comma 4 2 2 2 2 2 6 2" xfId="6668" xr:uid="{00000000-0005-0000-0000-0000B8070000}"/>
    <cellStyle name="Comma 4 2 2 2 2 2 6 2 2" xfId="15118" xr:uid="{5FAE124A-3F48-42E4-8509-DC01D6237AEB}"/>
    <cellStyle name="Comma 4 2 2 2 2 2 6 3" xfId="10900" xr:uid="{6915F244-AAB2-4A34-A5D0-F41BF8ED99DE}"/>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7F9D79E2-5C9E-4598-B3B5-E7EF284D54AE}"/>
    <cellStyle name="Comma 4 2 2 2 2 2 8 3" xfId="11217" xr:uid="{87335A6C-5F80-4138-B1AD-35949EF310A9}"/>
    <cellStyle name="Comma 4 2 2 2 2 2 9" xfId="4602" xr:uid="{00000000-0005-0000-0000-0000BC070000}"/>
    <cellStyle name="Comma 4 2 2 2 2 2 9 2" xfId="13052" xr:uid="{5F233EF1-4D0A-4052-8EAF-44C25E3D7C91}"/>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1EB2747A-9F0F-407A-BDDA-CF8587313FD6}"/>
    <cellStyle name="Comma 4 2 2 2 2 3 2 3" xfId="11392" xr:uid="{F7046224-41DB-4BAB-AFD3-5BE89DDF3AE8}"/>
    <cellStyle name="Comma 4 2 2 2 2 3 3" xfId="5015" xr:uid="{00000000-0005-0000-0000-0000C0070000}"/>
    <cellStyle name="Comma 4 2 2 2 2 3 3 2" xfId="13465" xr:uid="{0220A404-D31C-44CC-BA8B-132384E483D3}"/>
    <cellStyle name="Comma 4 2 2 2 2 3 4" xfId="9247" xr:uid="{849C5B84-35CF-4568-BDDF-FD2421FED850}"/>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F9A61C3B-9D0B-454A-AB2E-6BE5D3E1DAB1}"/>
    <cellStyle name="Comma 4 2 2 2 2 4 2 3" xfId="11805" xr:uid="{03B4E21B-742E-4FF4-8F82-7E6EFD7A7EAB}"/>
    <cellStyle name="Comma 4 2 2 2 2 4 3" xfId="5428" xr:uid="{00000000-0005-0000-0000-0000C4070000}"/>
    <cellStyle name="Comma 4 2 2 2 2 4 3 2" xfId="13878" xr:uid="{E2EA7DD1-82B9-417D-ADDE-231D20884251}"/>
    <cellStyle name="Comma 4 2 2 2 2 4 4" xfId="9660" xr:uid="{1D064EB6-A7EB-4CD6-BDF9-649A48587D99}"/>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64CF33C6-243F-42B6-9052-7F7D2BA3A17F}"/>
    <cellStyle name="Comma 4 2 2 2 2 5 2 3" xfId="12218" xr:uid="{FE517E97-7017-452B-8951-8F96ADBDA51A}"/>
    <cellStyle name="Comma 4 2 2 2 2 5 3" xfId="5841" xr:uid="{00000000-0005-0000-0000-0000C8070000}"/>
    <cellStyle name="Comma 4 2 2 2 2 5 3 2" xfId="14291" xr:uid="{F2160F9F-1782-413A-93F0-7F9CCB7FF760}"/>
    <cellStyle name="Comma 4 2 2 2 2 5 4" xfId="10073" xr:uid="{20CA740A-1347-4DFE-9067-E0259CB6DFDE}"/>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C3299D36-3400-4D53-98E0-5F8AAA29CAEA}"/>
    <cellStyle name="Comma 4 2 2 2 2 6 2 3" xfId="12631" xr:uid="{5BDE86DC-C0D4-4742-ADDD-276FF1BF7E38}"/>
    <cellStyle name="Comma 4 2 2 2 2 6 3" xfId="6254" xr:uid="{00000000-0005-0000-0000-0000CC070000}"/>
    <cellStyle name="Comma 4 2 2 2 2 6 3 2" xfId="14704" xr:uid="{B619122E-D53F-42F2-A6CC-2940789668F6}"/>
    <cellStyle name="Comma 4 2 2 2 2 6 4" xfId="10486" xr:uid="{38DD4E89-7813-4D59-959C-DB7684FABD6A}"/>
    <cellStyle name="Comma 4 2 2 2 2 7" xfId="2383" xr:uid="{00000000-0005-0000-0000-0000CD070000}"/>
    <cellStyle name="Comma 4 2 2 2 2 7 2" xfId="6667" xr:uid="{00000000-0005-0000-0000-0000CE070000}"/>
    <cellStyle name="Comma 4 2 2 2 2 7 2 2" xfId="15117" xr:uid="{504272D6-95AE-4231-8D93-6A176AFC0469}"/>
    <cellStyle name="Comma 4 2 2 2 2 7 3" xfId="10899" xr:uid="{875CAD4A-C264-4E5F-8053-179744BCA506}"/>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0820A12E-2801-4354-B2E5-BFCF77E61718}"/>
    <cellStyle name="Comma 4 2 2 2 2 9 3" xfId="11216" xr:uid="{568182C0-24F4-4952-8742-D8A49100CA18}"/>
    <cellStyle name="Comma 4 2 2 2 3" xfId="131" xr:uid="{00000000-0005-0000-0000-0000D2070000}"/>
    <cellStyle name="Comma 4 2 2 2 3 10" xfId="8835" xr:uid="{ED6EB209-2B40-4434-9CF7-38430D13A5B3}"/>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AF44681A-4A9A-4D25-AB8C-27F322DCA33C}"/>
    <cellStyle name="Comma 4 2 2 2 3 2 2 3" xfId="11394" xr:uid="{6B30ABF9-3277-4423-9116-1145EF0B46B4}"/>
    <cellStyle name="Comma 4 2 2 2 3 2 3" xfId="5017" xr:uid="{00000000-0005-0000-0000-0000D6070000}"/>
    <cellStyle name="Comma 4 2 2 2 3 2 3 2" xfId="13467" xr:uid="{B2954F99-0F00-4A20-8730-9E65F0F50ABF}"/>
    <cellStyle name="Comma 4 2 2 2 3 2 4" xfId="9249" xr:uid="{6EC56104-98C4-48C1-9DEE-F30EF9563EFB}"/>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73B2F117-F04B-4F7B-A568-6DE74D953675}"/>
    <cellStyle name="Comma 4 2 2 2 3 3 2 3" xfId="11807" xr:uid="{9A0A8C38-CAFC-41BE-91BD-87DD5D9C6C28}"/>
    <cellStyle name="Comma 4 2 2 2 3 3 3" xfId="5430" xr:uid="{00000000-0005-0000-0000-0000DA070000}"/>
    <cellStyle name="Comma 4 2 2 2 3 3 3 2" xfId="13880" xr:uid="{07A8A309-3AB8-409C-8495-6919D82B3D48}"/>
    <cellStyle name="Comma 4 2 2 2 3 3 4" xfId="9662" xr:uid="{516DF8DF-2025-44A3-8D6C-9F334433D554}"/>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99D0FC47-7084-4EEF-B8CE-70423B165477}"/>
    <cellStyle name="Comma 4 2 2 2 3 4 2 3" xfId="12220" xr:uid="{8A915D4B-A071-464B-B77C-14F1230A7157}"/>
    <cellStyle name="Comma 4 2 2 2 3 4 3" xfId="5843" xr:uid="{00000000-0005-0000-0000-0000DE070000}"/>
    <cellStyle name="Comma 4 2 2 2 3 4 3 2" xfId="14293" xr:uid="{50D9B1E8-C659-4DDB-AD29-EEBE8CCB4A4A}"/>
    <cellStyle name="Comma 4 2 2 2 3 4 4" xfId="10075" xr:uid="{412DCFC5-AF14-47B6-9FF9-D10C99CED0E3}"/>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8E3108C4-1DF4-4FAB-9D03-EDE8FDC4BE23}"/>
    <cellStyle name="Comma 4 2 2 2 3 5 2 3" xfId="12633" xr:uid="{57EC2775-6C2D-4ED9-BBC7-9FB31EA1FA6D}"/>
    <cellStyle name="Comma 4 2 2 2 3 5 3" xfId="6256" xr:uid="{00000000-0005-0000-0000-0000E2070000}"/>
    <cellStyle name="Comma 4 2 2 2 3 5 3 2" xfId="14706" xr:uid="{2EBF7020-3660-4DE9-B88E-3771FDA880B3}"/>
    <cellStyle name="Comma 4 2 2 2 3 5 4" xfId="10488" xr:uid="{05744E5D-D3C8-4CE1-946B-40FCD96D8CB7}"/>
    <cellStyle name="Comma 4 2 2 2 3 6" xfId="2385" xr:uid="{00000000-0005-0000-0000-0000E3070000}"/>
    <cellStyle name="Comma 4 2 2 2 3 6 2" xfId="6669" xr:uid="{00000000-0005-0000-0000-0000E4070000}"/>
    <cellStyle name="Comma 4 2 2 2 3 6 2 2" xfId="15119" xr:uid="{F0F2971B-3DFD-4F7D-9FF7-1235B464A64D}"/>
    <cellStyle name="Comma 4 2 2 2 3 6 3" xfId="10901" xr:uid="{B33EC6DA-40E1-40C5-9587-265A4BABDCDF}"/>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55A4CC6A-BA82-4077-AAE7-A0B3B1471375}"/>
    <cellStyle name="Comma 4 2 2 2 3 8 3" xfId="11218" xr:uid="{02963981-EC40-42C1-822E-59627E0D4F80}"/>
    <cellStyle name="Comma 4 2 2 2 3 9" xfId="4603" xr:uid="{00000000-0005-0000-0000-0000E8070000}"/>
    <cellStyle name="Comma 4 2 2 2 3 9 2" xfId="13053" xr:uid="{D891764C-CAA5-4ABA-8C8C-6C7000EFDD5B}"/>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C5585F8A-4E55-4EE0-85D6-5196DEFF5E35}"/>
    <cellStyle name="Comma 4 2 2 2 4 2 3" xfId="11391" xr:uid="{9FA82E15-931C-4998-9CBA-ED676783F25A}"/>
    <cellStyle name="Comma 4 2 2 2 4 3" xfId="5014" xr:uid="{00000000-0005-0000-0000-0000EC070000}"/>
    <cellStyle name="Comma 4 2 2 2 4 3 2" xfId="13464" xr:uid="{724BB828-22DF-4DAD-8C62-E259BBF0D16A}"/>
    <cellStyle name="Comma 4 2 2 2 4 4" xfId="9246" xr:uid="{C2882746-9460-4352-93FD-99C82EA609B8}"/>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AE985201-C170-431A-94EA-7C64E23E2E13}"/>
    <cellStyle name="Comma 4 2 2 2 5 2 3" xfId="11804" xr:uid="{5F98966F-B4E7-41EC-BC37-9B2801D4637C}"/>
    <cellStyle name="Comma 4 2 2 2 5 3" xfId="5427" xr:uid="{00000000-0005-0000-0000-0000F0070000}"/>
    <cellStyle name="Comma 4 2 2 2 5 3 2" xfId="13877" xr:uid="{436A9BA1-55BA-4C67-8E77-7DE6582C5D41}"/>
    <cellStyle name="Comma 4 2 2 2 5 4" xfId="9659" xr:uid="{47C15104-F857-446B-AF96-AD71934B2CB1}"/>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B66E9DE9-68FB-43E9-AA15-AFFBD9CE7E9C}"/>
    <cellStyle name="Comma 4 2 2 2 6 2 3" xfId="12217" xr:uid="{8E02B37A-08E7-4502-B7CD-3C2F2BBF1E07}"/>
    <cellStyle name="Comma 4 2 2 2 6 3" xfId="5840" xr:uid="{00000000-0005-0000-0000-0000F4070000}"/>
    <cellStyle name="Comma 4 2 2 2 6 3 2" xfId="14290" xr:uid="{98BDF19F-AB5D-4B7C-BECC-9227214B7951}"/>
    <cellStyle name="Comma 4 2 2 2 6 4" xfId="10072" xr:uid="{256EB65C-072D-4E72-8BA1-6356A6638B3C}"/>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91BB2884-1321-4751-A5BA-E0A5CDBFA73A}"/>
    <cellStyle name="Comma 4 2 2 2 7 2 3" xfId="12630" xr:uid="{359B7EBA-CFFE-4C1E-AA5D-B24E35C97B80}"/>
    <cellStyle name="Comma 4 2 2 2 7 3" xfId="6253" xr:uid="{00000000-0005-0000-0000-0000F8070000}"/>
    <cellStyle name="Comma 4 2 2 2 7 3 2" xfId="14703" xr:uid="{3BD50C88-3FB2-4B69-BACE-F68AA845D1D3}"/>
    <cellStyle name="Comma 4 2 2 2 7 4" xfId="10485" xr:uid="{DC3F0AC6-13A5-4740-B920-BDD7478C1A5C}"/>
    <cellStyle name="Comma 4 2 2 2 8" xfId="2382" xr:uid="{00000000-0005-0000-0000-0000F9070000}"/>
    <cellStyle name="Comma 4 2 2 2 8 2" xfId="6666" xr:uid="{00000000-0005-0000-0000-0000FA070000}"/>
    <cellStyle name="Comma 4 2 2 2 8 2 2" xfId="15116" xr:uid="{36D33E2D-3FEC-4EB9-8E21-27D29E08FB67}"/>
    <cellStyle name="Comma 4 2 2 2 8 3" xfId="10898" xr:uid="{D8D67DFF-E93D-4489-90F1-29C1FC532556}"/>
    <cellStyle name="Comma 4 2 2 2 9" xfId="2381" xr:uid="{00000000-0005-0000-0000-0000FB070000}"/>
    <cellStyle name="Comma 4 2 2 3" xfId="132" xr:uid="{00000000-0005-0000-0000-0000FC070000}"/>
    <cellStyle name="Comma 4 2 2 3 10" xfId="4604" xr:uid="{00000000-0005-0000-0000-0000FD070000}"/>
    <cellStyle name="Comma 4 2 2 3 10 2" xfId="13054" xr:uid="{A3EC3CC8-907F-42EC-885A-6FC971431D14}"/>
    <cellStyle name="Comma 4 2 2 3 11" xfId="8836" xr:uid="{452163FE-140F-4671-90AF-C6A3CFAC59D9}"/>
    <cellStyle name="Comma 4 2 2 3 2" xfId="133" xr:uid="{00000000-0005-0000-0000-0000FE070000}"/>
    <cellStyle name="Comma 4 2 2 3 2 10" xfId="8837" xr:uid="{A4AC5024-594E-4990-85F0-4DE1FA1DE3F1}"/>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7960C40C-70AA-4053-B5D6-46C67B55DFA6}"/>
    <cellStyle name="Comma 4 2 2 3 2 2 2 3" xfId="11396" xr:uid="{719474FE-A795-4F05-99B3-C7A2940CBA4A}"/>
    <cellStyle name="Comma 4 2 2 3 2 2 3" xfId="5019" xr:uid="{00000000-0005-0000-0000-000002080000}"/>
    <cellStyle name="Comma 4 2 2 3 2 2 3 2" xfId="13469" xr:uid="{2C3789CE-302A-4CA3-BB0C-D28D6996DF7E}"/>
    <cellStyle name="Comma 4 2 2 3 2 2 4" xfId="9251" xr:uid="{A060776F-AF46-495D-A77F-F82BE56FF19C}"/>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9A5CEBC4-4073-4C94-ACEA-37F712BE9226}"/>
    <cellStyle name="Comma 4 2 2 3 2 3 2 3" xfId="11809" xr:uid="{413B746A-946B-4CE5-ABF7-AC60802A0AB3}"/>
    <cellStyle name="Comma 4 2 2 3 2 3 3" xfId="5432" xr:uid="{00000000-0005-0000-0000-000006080000}"/>
    <cellStyle name="Comma 4 2 2 3 2 3 3 2" xfId="13882" xr:uid="{41B9AA8C-A2EE-4927-9ED3-9AD134C49ACD}"/>
    <cellStyle name="Comma 4 2 2 3 2 3 4" xfId="9664" xr:uid="{A473B0DB-0FDF-46F7-8040-63DD71900947}"/>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400B1FA5-8ABA-4740-B2D7-93C6ED7DFE0D}"/>
    <cellStyle name="Comma 4 2 2 3 2 4 2 3" xfId="12222" xr:uid="{2ED30F77-99DB-41DF-9DE4-AB4FBF8A0A91}"/>
    <cellStyle name="Comma 4 2 2 3 2 4 3" xfId="5845" xr:uid="{00000000-0005-0000-0000-00000A080000}"/>
    <cellStyle name="Comma 4 2 2 3 2 4 3 2" xfId="14295" xr:uid="{1C2D9532-41AA-480D-8D65-7D5F31C0DFEE}"/>
    <cellStyle name="Comma 4 2 2 3 2 4 4" xfId="10077" xr:uid="{967FDCCA-0179-4B45-9D44-7CB3597D9219}"/>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A404108F-E038-48B8-A008-324322153AFC}"/>
    <cellStyle name="Comma 4 2 2 3 2 5 2 3" xfId="12635" xr:uid="{7CBAC271-6E0F-460D-A814-0A9331D8AE91}"/>
    <cellStyle name="Comma 4 2 2 3 2 5 3" xfId="6258" xr:uid="{00000000-0005-0000-0000-00000E080000}"/>
    <cellStyle name="Comma 4 2 2 3 2 5 3 2" xfId="14708" xr:uid="{1A228EB1-78BF-4B74-92AD-22968F8AB09B}"/>
    <cellStyle name="Comma 4 2 2 3 2 5 4" xfId="10490" xr:uid="{0A14C6D6-114A-4E3D-BEA1-5A6FC4B9C307}"/>
    <cellStyle name="Comma 4 2 2 3 2 6" xfId="2387" xr:uid="{00000000-0005-0000-0000-00000F080000}"/>
    <cellStyle name="Comma 4 2 2 3 2 6 2" xfId="6671" xr:uid="{00000000-0005-0000-0000-000010080000}"/>
    <cellStyle name="Comma 4 2 2 3 2 6 2 2" xfId="15121" xr:uid="{7D8B94E2-D704-4E22-AD8A-F1CD3E672E5B}"/>
    <cellStyle name="Comma 4 2 2 3 2 6 3" xfId="10903" xr:uid="{7D43E555-F8A6-430A-8FA7-2C1EF7EF8EEF}"/>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413A19ED-0765-4C4B-9564-F47408603550}"/>
    <cellStyle name="Comma 4 2 2 3 2 8 3" xfId="11220" xr:uid="{85D29544-50DA-4280-BD11-881499E86ED8}"/>
    <cellStyle name="Comma 4 2 2 3 2 9" xfId="4605" xr:uid="{00000000-0005-0000-0000-000014080000}"/>
    <cellStyle name="Comma 4 2 2 3 2 9 2" xfId="13055" xr:uid="{1EA647B9-5542-4F4F-9F5F-25ECFF5F25CB}"/>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1BA9EC6C-C602-42B2-B7B3-F5B66B302569}"/>
    <cellStyle name="Comma 4 2 2 3 3 2 3" xfId="11395" xr:uid="{D95CDFF7-0991-46DA-993A-FF0248D5881E}"/>
    <cellStyle name="Comma 4 2 2 3 3 3" xfId="5018" xr:uid="{00000000-0005-0000-0000-000018080000}"/>
    <cellStyle name="Comma 4 2 2 3 3 3 2" xfId="13468" xr:uid="{CE589F82-333E-463B-84C0-BFD8B5062898}"/>
    <cellStyle name="Comma 4 2 2 3 3 4" xfId="9250" xr:uid="{17437770-8E06-4AD4-B32F-30FF43D4E901}"/>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BFE789A8-B46E-4892-A8AD-55DFF3C41D06}"/>
    <cellStyle name="Comma 4 2 2 3 4 2 3" xfId="11808" xr:uid="{6DB37B45-5B20-4D02-9DA3-DACC9B4C899C}"/>
    <cellStyle name="Comma 4 2 2 3 4 3" xfId="5431" xr:uid="{00000000-0005-0000-0000-00001C080000}"/>
    <cellStyle name="Comma 4 2 2 3 4 3 2" xfId="13881" xr:uid="{716814B1-35DD-4166-846F-F63DFBA6BFB5}"/>
    <cellStyle name="Comma 4 2 2 3 4 4" xfId="9663" xr:uid="{DDD9A03C-57BA-4FED-B6BD-EB23E5AE613A}"/>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447498EC-2746-49AF-8BD4-D38DD80CE610}"/>
    <cellStyle name="Comma 4 2 2 3 5 2 3" xfId="12221" xr:uid="{6E575153-2E1D-42A2-BC5C-30CEE13BEEA5}"/>
    <cellStyle name="Comma 4 2 2 3 5 3" xfId="5844" xr:uid="{00000000-0005-0000-0000-000020080000}"/>
    <cellStyle name="Comma 4 2 2 3 5 3 2" xfId="14294" xr:uid="{B4F6CBC3-1A40-4200-A95B-A4A3B7B833EE}"/>
    <cellStyle name="Comma 4 2 2 3 5 4" xfId="10076" xr:uid="{CF0959B9-C331-4E57-B9B9-D42671C5D786}"/>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51A40284-155B-4E68-BB90-CA6A129A17AB}"/>
    <cellStyle name="Comma 4 2 2 3 6 2 3" xfId="12634" xr:uid="{43CD3331-1CF2-4CA5-8C16-E8F62436ADBD}"/>
    <cellStyle name="Comma 4 2 2 3 6 3" xfId="6257" xr:uid="{00000000-0005-0000-0000-000024080000}"/>
    <cellStyle name="Comma 4 2 2 3 6 3 2" xfId="14707" xr:uid="{B5222BA5-9E2B-40F4-A395-CE9C6E9D1684}"/>
    <cellStyle name="Comma 4 2 2 3 6 4" xfId="10489" xr:uid="{AA60DE98-4194-45A0-A89A-4D7DD2DCA29D}"/>
    <cellStyle name="Comma 4 2 2 3 7" xfId="2386" xr:uid="{00000000-0005-0000-0000-000025080000}"/>
    <cellStyle name="Comma 4 2 2 3 7 2" xfId="6670" xr:uid="{00000000-0005-0000-0000-000026080000}"/>
    <cellStyle name="Comma 4 2 2 3 7 2 2" xfId="15120" xr:uid="{8390B940-35F2-43C5-9801-38B6E72771EC}"/>
    <cellStyle name="Comma 4 2 2 3 7 3" xfId="10902" xr:uid="{D8B1672B-24D0-4F85-B354-67A8A11158D8}"/>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19B1A357-C3D5-49EC-AD1E-ACFADBE81F98}"/>
    <cellStyle name="Comma 4 2 2 3 9 3" xfId="11219" xr:uid="{7F9EB2BC-20B2-4E09-9FA2-7178664D7A92}"/>
    <cellStyle name="Comma 4 2 2 4" xfId="134" xr:uid="{00000000-0005-0000-0000-00002A080000}"/>
    <cellStyle name="Comma 4 2 2 4 10" xfId="8838" xr:uid="{5716843D-05C4-4DBF-9DA7-21A5AAA7C431}"/>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948DB37E-CF1B-4C63-B1E1-A612581BE9EC}"/>
    <cellStyle name="Comma 4 2 2 4 2 2 3" xfId="11397" xr:uid="{7B86EBFC-82D4-4562-9D52-1B6F8EFDCF10}"/>
    <cellStyle name="Comma 4 2 2 4 2 3" xfId="5020" xr:uid="{00000000-0005-0000-0000-00002E080000}"/>
    <cellStyle name="Comma 4 2 2 4 2 3 2" xfId="13470" xr:uid="{E0D207BE-7DED-44EC-AC13-00BE5A5AB08B}"/>
    <cellStyle name="Comma 4 2 2 4 2 4" xfId="9252" xr:uid="{334A1FE9-6C7D-4198-AAC3-F2B5EA83A468}"/>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3256EE20-B342-44C1-AD45-B1D2162D5341}"/>
    <cellStyle name="Comma 4 2 2 4 3 2 3" xfId="11810" xr:uid="{392CC3C2-A50C-4AB6-BE79-5A12A9329412}"/>
    <cellStyle name="Comma 4 2 2 4 3 3" xfId="5433" xr:uid="{00000000-0005-0000-0000-000032080000}"/>
    <cellStyle name="Comma 4 2 2 4 3 3 2" xfId="13883" xr:uid="{2EDDAF2D-7BE4-49AE-8DD9-23D5B700AFBC}"/>
    <cellStyle name="Comma 4 2 2 4 3 4" xfId="9665" xr:uid="{A12BD6FA-AE75-4E33-A6AD-76124BDDD469}"/>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EFB2D278-8F57-44B4-AC91-7C331D731F48}"/>
    <cellStyle name="Comma 4 2 2 4 4 2 3" xfId="12223" xr:uid="{DAEEEBFC-6524-4014-8346-880692EDAC6E}"/>
    <cellStyle name="Comma 4 2 2 4 4 3" xfId="5846" xr:uid="{00000000-0005-0000-0000-000036080000}"/>
    <cellStyle name="Comma 4 2 2 4 4 3 2" xfId="14296" xr:uid="{46D3D556-20C8-49B3-A5E8-D22F47E5A3D3}"/>
    <cellStyle name="Comma 4 2 2 4 4 4" xfId="10078" xr:uid="{3DB0D6F1-56B0-4106-9E3B-76ACC9834CF8}"/>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87D1E5D8-065D-44A6-9D5B-0D51324CF1CF}"/>
    <cellStyle name="Comma 4 2 2 4 5 2 3" xfId="12636" xr:uid="{A216C4A1-BA3A-4976-B3C3-24856A1B8264}"/>
    <cellStyle name="Comma 4 2 2 4 5 3" xfId="6259" xr:uid="{00000000-0005-0000-0000-00003A080000}"/>
    <cellStyle name="Comma 4 2 2 4 5 3 2" xfId="14709" xr:uid="{6DEB7A2A-6ED7-44B4-9567-3391844CC056}"/>
    <cellStyle name="Comma 4 2 2 4 5 4" xfId="10491" xr:uid="{170E299D-513F-47A7-918C-BCF2413207F9}"/>
    <cellStyle name="Comma 4 2 2 4 6" xfId="2388" xr:uid="{00000000-0005-0000-0000-00003B080000}"/>
    <cellStyle name="Comma 4 2 2 4 6 2" xfId="6672" xr:uid="{00000000-0005-0000-0000-00003C080000}"/>
    <cellStyle name="Comma 4 2 2 4 6 2 2" xfId="15122" xr:uid="{4782DB72-C8B5-4181-8D22-FA24E9536452}"/>
    <cellStyle name="Comma 4 2 2 4 6 3" xfId="10904" xr:uid="{95373BAC-1F05-4896-B303-D254AC8220E4}"/>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2893F5ED-ACAC-4689-AC33-9A0AD4D74349}"/>
    <cellStyle name="Comma 4 2 2 4 8 3" xfId="11221" xr:uid="{45859E7F-CCD0-4629-B968-4001935F73C3}"/>
    <cellStyle name="Comma 4 2 2 4 9" xfId="4606" xr:uid="{00000000-0005-0000-0000-000040080000}"/>
    <cellStyle name="Comma 4 2 2 4 9 2" xfId="13056" xr:uid="{5321D39B-A5BE-4797-95B7-0C0D9AAA9DF8}"/>
    <cellStyle name="Comma 4 2 2 5" xfId="135" xr:uid="{00000000-0005-0000-0000-000041080000}"/>
    <cellStyle name="Comma 4 2 2 5 10" xfId="8839" xr:uid="{5D7CE6A6-DE8F-4313-B56A-D0FE6136BB3A}"/>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CA697A97-FCCB-400D-B434-FE70E0FB8CBD}"/>
    <cellStyle name="Comma 4 2 2 5 2 2 3" xfId="11398" xr:uid="{D7894CC4-CA5C-4ED2-AFBF-E216F978D036}"/>
    <cellStyle name="Comma 4 2 2 5 2 3" xfId="5021" xr:uid="{00000000-0005-0000-0000-000045080000}"/>
    <cellStyle name="Comma 4 2 2 5 2 3 2" xfId="13471" xr:uid="{EE6348EB-B018-4BA4-A0CE-16652C3B735B}"/>
    <cellStyle name="Comma 4 2 2 5 2 4" xfId="9253" xr:uid="{6A58B933-A78E-40B8-BB85-52E5CBE7204B}"/>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BF716241-051E-42AE-9BF0-A19E69FE868A}"/>
    <cellStyle name="Comma 4 2 2 5 3 2 3" xfId="11811" xr:uid="{3FA62719-FA8A-41E3-8C6C-E1B3BC726B18}"/>
    <cellStyle name="Comma 4 2 2 5 3 3" xfId="5434" xr:uid="{00000000-0005-0000-0000-000049080000}"/>
    <cellStyle name="Comma 4 2 2 5 3 3 2" xfId="13884" xr:uid="{AB53AABD-559D-44DC-9FF7-B09F0A9F35E4}"/>
    <cellStyle name="Comma 4 2 2 5 3 4" xfId="9666" xr:uid="{4826D2DB-3C24-493E-B471-A96BEC51CC67}"/>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7062271B-2D19-4434-B3D1-B40EDE719632}"/>
    <cellStyle name="Comma 4 2 2 5 4 2 3" xfId="12224" xr:uid="{498CA0B2-F0A0-49F2-BA25-B836B2ACD9D4}"/>
    <cellStyle name="Comma 4 2 2 5 4 3" xfId="5847" xr:uid="{00000000-0005-0000-0000-00004D080000}"/>
    <cellStyle name="Comma 4 2 2 5 4 3 2" xfId="14297" xr:uid="{28C4A99C-6AE5-4E54-BF96-78F383079100}"/>
    <cellStyle name="Comma 4 2 2 5 4 4" xfId="10079" xr:uid="{7FD0F6D5-28CB-41D3-97A0-D2C13E6EB9C8}"/>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A3542FA4-17F7-4886-A496-80006613E719}"/>
    <cellStyle name="Comma 4 2 2 5 5 2 3" xfId="12637" xr:uid="{653D82CC-2DFD-4A2C-9B66-C27FD0982116}"/>
    <cellStyle name="Comma 4 2 2 5 5 3" xfId="6260" xr:uid="{00000000-0005-0000-0000-000051080000}"/>
    <cellStyle name="Comma 4 2 2 5 5 3 2" xfId="14710" xr:uid="{833D80C6-31FD-4DEC-83BA-4347D8DAC1CD}"/>
    <cellStyle name="Comma 4 2 2 5 5 4" xfId="10492" xr:uid="{31848690-802F-42FB-84BC-5879556CF7F0}"/>
    <cellStyle name="Comma 4 2 2 5 6" xfId="2389" xr:uid="{00000000-0005-0000-0000-000052080000}"/>
    <cellStyle name="Comma 4 2 2 5 6 2" xfId="6673" xr:uid="{00000000-0005-0000-0000-000053080000}"/>
    <cellStyle name="Comma 4 2 2 5 6 2 2" xfId="15123" xr:uid="{EFDEB7A0-6311-4C42-8B76-9C77A350CB8C}"/>
    <cellStyle name="Comma 4 2 2 5 6 3" xfId="10905" xr:uid="{E3A09F20-A3E0-429B-8439-A455036816E2}"/>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20B8C82D-BCF6-43AF-BFC3-520EF055B21D}"/>
    <cellStyle name="Comma 4 2 2 5 8 3" xfId="11222" xr:uid="{83977D49-4563-4A82-906F-3DA5CA712F12}"/>
    <cellStyle name="Comma 4 2 2 5 9" xfId="4607" xr:uid="{00000000-0005-0000-0000-000057080000}"/>
    <cellStyle name="Comma 4 2 2 5 9 2" xfId="13057" xr:uid="{3800DECF-9B13-490A-802F-423017A6B033}"/>
    <cellStyle name="Comma 4 2 3" xfId="136" xr:uid="{00000000-0005-0000-0000-000058080000}"/>
    <cellStyle name="Comma 4 2 3 10" xfId="2768" xr:uid="{00000000-0005-0000-0000-000059080000}"/>
    <cellStyle name="Comma 4 2 3 10 2" xfId="6991" xr:uid="{00000000-0005-0000-0000-00005A080000}"/>
    <cellStyle name="Comma 4 2 3 10 2 2" xfId="15441" xr:uid="{30E23266-69DF-4D79-9853-3E9BF30BC329}"/>
    <cellStyle name="Comma 4 2 3 10 3" xfId="11223" xr:uid="{EEB52FC8-FB75-4AB1-BB50-336A4FED604D}"/>
    <cellStyle name="Comma 4 2 3 11" xfId="4608" xr:uid="{00000000-0005-0000-0000-00005B080000}"/>
    <cellStyle name="Comma 4 2 3 11 2" xfId="13058" xr:uid="{9E336F9A-347C-4A6D-B88A-0E4334AB1207}"/>
    <cellStyle name="Comma 4 2 3 12" xfId="8840" xr:uid="{113C251A-538B-428F-9BDC-23EA60C72BEA}"/>
    <cellStyle name="Comma 4 2 3 2" xfId="137" xr:uid="{00000000-0005-0000-0000-00005C080000}"/>
    <cellStyle name="Comma 4 2 3 2 10" xfId="4609" xr:uid="{00000000-0005-0000-0000-00005D080000}"/>
    <cellStyle name="Comma 4 2 3 2 10 2" xfId="13059" xr:uid="{E39C011E-719A-4187-8BBB-DC7978756F69}"/>
    <cellStyle name="Comma 4 2 3 2 11" xfId="8841" xr:uid="{B403F2FD-6EC3-42C5-A851-C4B14184FDAB}"/>
    <cellStyle name="Comma 4 2 3 2 2" xfId="138" xr:uid="{00000000-0005-0000-0000-00005E080000}"/>
    <cellStyle name="Comma 4 2 3 2 2 10" xfId="8842" xr:uid="{C5CBBA63-B0D9-4DBA-A36D-B6F45BF2255C}"/>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2F400698-7AFC-4F1D-B391-53F45559C7C3}"/>
    <cellStyle name="Comma 4 2 3 2 2 2 2 3" xfId="11401" xr:uid="{0432FC14-7F16-4139-8009-982E820B3D59}"/>
    <cellStyle name="Comma 4 2 3 2 2 2 3" xfId="5024" xr:uid="{00000000-0005-0000-0000-000062080000}"/>
    <cellStyle name="Comma 4 2 3 2 2 2 3 2" xfId="13474" xr:uid="{B8284AF0-500F-43F7-A495-695E9EA2B070}"/>
    <cellStyle name="Comma 4 2 3 2 2 2 4" xfId="9256" xr:uid="{A08BC5B8-137A-4F46-BEE8-4DA055264D94}"/>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F4DBDE82-C6EC-4D1C-8D6F-75E0AE57394A}"/>
    <cellStyle name="Comma 4 2 3 2 2 3 2 3" xfId="11814" xr:uid="{2F021CFF-34AA-4850-A81A-62BCD8858A75}"/>
    <cellStyle name="Comma 4 2 3 2 2 3 3" xfId="5437" xr:uid="{00000000-0005-0000-0000-000066080000}"/>
    <cellStyle name="Comma 4 2 3 2 2 3 3 2" xfId="13887" xr:uid="{DD99D0FA-D614-4D4B-A229-0BEBDCD13F05}"/>
    <cellStyle name="Comma 4 2 3 2 2 3 4" xfId="9669" xr:uid="{CAD54162-07B3-431A-A5BB-6D0E1107E35C}"/>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0235E844-6316-45B1-A2A9-C8379366955D}"/>
    <cellStyle name="Comma 4 2 3 2 2 4 2 3" xfId="12227" xr:uid="{EC200C1F-C9B2-4917-9F70-E6DEDF307D05}"/>
    <cellStyle name="Comma 4 2 3 2 2 4 3" xfId="5850" xr:uid="{00000000-0005-0000-0000-00006A080000}"/>
    <cellStyle name="Comma 4 2 3 2 2 4 3 2" xfId="14300" xr:uid="{F032BEF4-6EE9-44DD-861E-9217F74DE6B0}"/>
    <cellStyle name="Comma 4 2 3 2 2 4 4" xfId="10082" xr:uid="{7C8774EF-08A2-469A-A6C3-CD326F19C217}"/>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E3741B13-C8C0-47C6-9B93-7CE5EE47A105}"/>
    <cellStyle name="Comma 4 2 3 2 2 5 2 3" xfId="12640" xr:uid="{3A4C48F5-F63E-402C-9D3C-D6932C77CCF0}"/>
    <cellStyle name="Comma 4 2 3 2 2 5 3" xfId="6263" xr:uid="{00000000-0005-0000-0000-00006E080000}"/>
    <cellStyle name="Comma 4 2 3 2 2 5 3 2" xfId="14713" xr:uid="{65AB199F-71E9-4EDE-8838-7BA7B9DDF98B}"/>
    <cellStyle name="Comma 4 2 3 2 2 5 4" xfId="10495" xr:uid="{A47DD080-1E38-4D95-85B6-C0EB15DD61FF}"/>
    <cellStyle name="Comma 4 2 3 2 2 6" xfId="2392" xr:uid="{00000000-0005-0000-0000-00006F080000}"/>
    <cellStyle name="Comma 4 2 3 2 2 6 2" xfId="6676" xr:uid="{00000000-0005-0000-0000-000070080000}"/>
    <cellStyle name="Comma 4 2 3 2 2 6 2 2" xfId="15126" xr:uid="{F9A5CA1C-BEF4-40FC-8EF3-029A043AC7B9}"/>
    <cellStyle name="Comma 4 2 3 2 2 6 3" xfId="10908" xr:uid="{9368CE09-D18F-4F85-AF6E-7441113F54AB}"/>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49DEC984-0E25-40F9-996E-0D96008A0C20}"/>
    <cellStyle name="Comma 4 2 3 2 2 8 3" xfId="11225" xr:uid="{E0E66F6F-405C-49F4-9F99-826FB833DF78}"/>
    <cellStyle name="Comma 4 2 3 2 2 9" xfId="4610" xr:uid="{00000000-0005-0000-0000-000074080000}"/>
    <cellStyle name="Comma 4 2 3 2 2 9 2" xfId="13060" xr:uid="{BD044D55-118D-4F3E-A310-4613C80C815F}"/>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43E994C0-D458-49D3-847A-4EF5A174F800}"/>
    <cellStyle name="Comma 4 2 3 2 3 2 3" xfId="11400" xr:uid="{5EE22C7D-533B-4787-9035-FCB8429A0154}"/>
    <cellStyle name="Comma 4 2 3 2 3 3" xfId="5023" xr:uid="{00000000-0005-0000-0000-000078080000}"/>
    <cellStyle name="Comma 4 2 3 2 3 3 2" xfId="13473" xr:uid="{5C6B3FDD-A44F-40DB-A4BF-A07D20127583}"/>
    <cellStyle name="Comma 4 2 3 2 3 4" xfId="9255" xr:uid="{DECE87E4-56AC-4EEE-8CC5-C6947CC1F6A4}"/>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E22CCC6A-9819-4EBC-90C4-C531E2C8FF31}"/>
    <cellStyle name="Comma 4 2 3 2 4 2 3" xfId="11813" xr:uid="{CC08BEA4-0ACA-4E3D-A6F5-2FA51E19EBDF}"/>
    <cellStyle name="Comma 4 2 3 2 4 3" xfId="5436" xr:uid="{00000000-0005-0000-0000-00007C080000}"/>
    <cellStyle name="Comma 4 2 3 2 4 3 2" xfId="13886" xr:uid="{77469C5B-EBA8-4C4F-8D9D-C21D845AFCE2}"/>
    <cellStyle name="Comma 4 2 3 2 4 4" xfId="9668" xr:uid="{F5963066-CD28-4685-8106-56065903AEA4}"/>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182A3A05-E0C9-447B-BE37-6D3A15081EAD}"/>
    <cellStyle name="Comma 4 2 3 2 5 2 3" xfId="12226" xr:uid="{4296C2BD-71B9-4C88-BD81-CD07CC0D09E8}"/>
    <cellStyle name="Comma 4 2 3 2 5 3" xfId="5849" xr:uid="{00000000-0005-0000-0000-000080080000}"/>
    <cellStyle name="Comma 4 2 3 2 5 3 2" xfId="14299" xr:uid="{C5EC32E8-73F5-47E5-A8E2-1C015018C4D0}"/>
    <cellStyle name="Comma 4 2 3 2 5 4" xfId="10081" xr:uid="{7BE7295E-5FFE-4976-B980-634D0BC2DA64}"/>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2A57DDDB-5D82-48DB-ABE5-075781E94DA9}"/>
    <cellStyle name="Comma 4 2 3 2 6 2 3" xfId="12639" xr:uid="{3A6B1BAB-3347-47FE-A309-2650D025E8F1}"/>
    <cellStyle name="Comma 4 2 3 2 6 3" xfId="6262" xr:uid="{00000000-0005-0000-0000-000084080000}"/>
    <cellStyle name="Comma 4 2 3 2 6 3 2" xfId="14712" xr:uid="{11E0355F-21CF-418F-87A8-A6818D05E547}"/>
    <cellStyle name="Comma 4 2 3 2 6 4" xfId="10494" xr:uid="{9A4E5CA7-727F-4019-AB36-83E324759E9B}"/>
    <cellStyle name="Comma 4 2 3 2 7" xfId="2391" xr:uid="{00000000-0005-0000-0000-000085080000}"/>
    <cellStyle name="Comma 4 2 3 2 7 2" xfId="6675" xr:uid="{00000000-0005-0000-0000-000086080000}"/>
    <cellStyle name="Comma 4 2 3 2 7 2 2" xfId="15125" xr:uid="{16F9FE86-26CD-4675-9B20-3277807D2CAC}"/>
    <cellStyle name="Comma 4 2 3 2 7 3" xfId="10907" xr:uid="{5BF9FEAC-0137-41ED-A45A-6921504989AD}"/>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A5E8C1FE-C070-4FF0-AD29-1B22907CA053}"/>
    <cellStyle name="Comma 4 2 3 2 9 3" xfId="11224" xr:uid="{51864A30-5075-492A-A5F9-2547732705D2}"/>
    <cellStyle name="Comma 4 2 3 3" xfId="139" xr:uid="{00000000-0005-0000-0000-00008A080000}"/>
    <cellStyle name="Comma 4 2 3 3 10" xfId="8843" xr:uid="{FC232810-C00A-4CFE-B063-349D507BB7F9}"/>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458F64B6-E3CC-406D-BC08-0992072111DE}"/>
    <cellStyle name="Comma 4 2 3 3 2 2 3" xfId="11402" xr:uid="{08A368FD-90C1-4115-83BA-5B46600952F3}"/>
    <cellStyle name="Comma 4 2 3 3 2 3" xfId="5025" xr:uid="{00000000-0005-0000-0000-00008E080000}"/>
    <cellStyle name="Comma 4 2 3 3 2 3 2" xfId="13475" xr:uid="{75AB7D3A-932F-4334-9E87-E50458558C56}"/>
    <cellStyle name="Comma 4 2 3 3 2 4" xfId="9257" xr:uid="{69F66678-38EB-4DFE-ACA6-4C20AA1099A5}"/>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B6E04AE1-076E-49FA-B823-6FF86DEAEB89}"/>
    <cellStyle name="Comma 4 2 3 3 3 2 3" xfId="11815" xr:uid="{B81AF3B5-A2A4-46CF-9961-C9BAD2BF7284}"/>
    <cellStyle name="Comma 4 2 3 3 3 3" xfId="5438" xr:uid="{00000000-0005-0000-0000-000092080000}"/>
    <cellStyle name="Comma 4 2 3 3 3 3 2" xfId="13888" xr:uid="{A3770D93-310F-456E-BDC4-02C1293C9A9C}"/>
    <cellStyle name="Comma 4 2 3 3 3 4" xfId="9670" xr:uid="{BDFD68F5-126C-400A-A32E-C2C07E97DB3C}"/>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ECBC4B44-213E-4AB3-B35E-8B936755BD14}"/>
    <cellStyle name="Comma 4 2 3 3 4 2 3" xfId="12228" xr:uid="{C591A434-2123-47B3-B9C8-E77A5B1D779C}"/>
    <cellStyle name="Comma 4 2 3 3 4 3" xfId="5851" xr:uid="{00000000-0005-0000-0000-000096080000}"/>
    <cellStyle name="Comma 4 2 3 3 4 3 2" xfId="14301" xr:uid="{90B3765A-D195-44CD-A2D6-5AB5B6208446}"/>
    <cellStyle name="Comma 4 2 3 3 4 4" xfId="10083" xr:uid="{72DA5003-697B-4948-955B-7913A39AC0C7}"/>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2B4B924A-3D4F-4781-9CED-446991820FCE}"/>
    <cellStyle name="Comma 4 2 3 3 5 2 3" xfId="12641" xr:uid="{25EC2813-2B89-441A-9588-3C8CF11352EE}"/>
    <cellStyle name="Comma 4 2 3 3 5 3" xfId="6264" xr:uid="{00000000-0005-0000-0000-00009A080000}"/>
    <cellStyle name="Comma 4 2 3 3 5 3 2" xfId="14714" xr:uid="{8A961871-7D38-4230-9638-DAFB856E4F5E}"/>
    <cellStyle name="Comma 4 2 3 3 5 4" xfId="10496" xr:uid="{320D402C-938F-428C-AB32-E4CC6B4175F4}"/>
    <cellStyle name="Comma 4 2 3 3 6" xfId="2393" xr:uid="{00000000-0005-0000-0000-00009B080000}"/>
    <cellStyle name="Comma 4 2 3 3 6 2" xfId="6677" xr:uid="{00000000-0005-0000-0000-00009C080000}"/>
    <cellStyle name="Comma 4 2 3 3 6 2 2" xfId="15127" xr:uid="{AB3A4A2E-6FA7-4CC6-A11D-58546D0F7ED0}"/>
    <cellStyle name="Comma 4 2 3 3 6 3" xfId="10909" xr:uid="{894BC4A3-EC9D-46B8-84A6-11FBB14E44A9}"/>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ADE98A6F-E65F-4DD8-AB5A-6459D5FAE605}"/>
    <cellStyle name="Comma 4 2 3 3 8 3" xfId="11226" xr:uid="{BF54A3C3-96DA-4018-A00E-2F4351071976}"/>
    <cellStyle name="Comma 4 2 3 3 9" xfId="4611" xr:uid="{00000000-0005-0000-0000-0000A0080000}"/>
    <cellStyle name="Comma 4 2 3 3 9 2" xfId="13061" xr:uid="{0A0A3A66-F00E-4C91-8744-68C9201BDBB9}"/>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5155A190-E88E-4A7B-9529-8416F6B86BE7}"/>
    <cellStyle name="Comma 4 2 3 4 2 3" xfId="11399" xr:uid="{502A99BC-000B-4D58-8ECA-A2612AED848A}"/>
    <cellStyle name="Comma 4 2 3 4 3" xfId="5022" xr:uid="{00000000-0005-0000-0000-0000A4080000}"/>
    <cellStyle name="Comma 4 2 3 4 3 2" xfId="13472" xr:uid="{30D0434F-B4EB-48B2-979A-909C562118DC}"/>
    <cellStyle name="Comma 4 2 3 4 4" xfId="9254" xr:uid="{5B9F0580-48EF-47AF-8233-B901C3876200}"/>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BA2C582E-9043-40F7-B4D7-5A2FA8E481E6}"/>
    <cellStyle name="Comma 4 2 3 5 2 3" xfId="11812" xr:uid="{88D5B52F-72D0-4FD3-9E67-D441166CA609}"/>
    <cellStyle name="Comma 4 2 3 5 3" xfId="5435" xr:uid="{00000000-0005-0000-0000-0000A8080000}"/>
    <cellStyle name="Comma 4 2 3 5 3 2" xfId="13885" xr:uid="{643A22E2-84E4-4706-9CDB-CADA5246AE05}"/>
    <cellStyle name="Comma 4 2 3 5 4" xfId="9667" xr:uid="{750668B4-7448-450C-9C1C-E093691D15E0}"/>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FDE3A275-029A-484A-979D-B45742ADF0CC}"/>
    <cellStyle name="Comma 4 2 3 6 2 3" xfId="12225" xr:uid="{699C862F-86AD-4CB2-B69E-C4DEC98A52C6}"/>
    <cellStyle name="Comma 4 2 3 6 3" xfId="5848" xr:uid="{00000000-0005-0000-0000-0000AC080000}"/>
    <cellStyle name="Comma 4 2 3 6 3 2" xfId="14298" xr:uid="{046F3E90-BE88-40F1-BB73-2AF7D41F5026}"/>
    <cellStyle name="Comma 4 2 3 6 4" xfId="10080" xr:uid="{30C3277D-F300-468E-AB34-D00B28AD9A75}"/>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CDEFBCE4-3754-4C3A-AFA5-4FA7D4FEA4DB}"/>
    <cellStyle name="Comma 4 2 3 7 2 3" xfId="12638" xr:uid="{2996DF78-115B-4C36-ACA4-3EA4C7CE7210}"/>
    <cellStyle name="Comma 4 2 3 7 3" xfId="6261" xr:uid="{00000000-0005-0000-0000-0000B0080000}"/>
    <cellStyle name="Comma 4 2 3 7 3 2" xfId="14711" xr:uid="{110E4D31-23B3-4F0A-945C-1FD5490A70D3}"/>
    <cellStyle name="Comma 4 2 3 7 4" xfId="10493" xr:uid="{EA66733E-BD61-4BB7-910A-28BABE00C853}"/>
    <cellStyle name="Comma 4 2 3 8" xfId="2390" xr:uid="{00000000-0005-0000-0000-0000B1080000}"/>
    <cellStyle name="Comma 4 2 3 8 2" xfId="6674" xr:uid="{00000000-0005-0000-0000-0000B2080000}"/>
    <cellStyle name="Comma 4 2 3 8 2 2" xfId="15124" xr:uid="{DD8EBFA4-4495-40F6-B1E7-0CE09DE3CA58}"/>
    <cellStyle name="Comma 4 2 3 8 3" xfId="10906" xr:uid="{7E28DF46-4393-4005-9379-80831046D084}"/>
    <cellStyle name="Comma 4 2 3 9" xfId="2373" xr:uid="{00000000-0005-0000-0000-0000B3080000}"/>
    <cellStyle name="Comma 4 2 4" xfId="140" xr:uid="{00000000-0005-0000-0000-0000B4080000}"/>
    <cellStyle name="Comma 4 2 4 10" xfId="4612" xr:uid="{00000000-0005-0000-0000-0000B5080000}"/>
    <cellStyle name="Comma 4 2 4 10 2" xfId="13062" xr:uid="{7701AA5E-3B7F-4C19-8599-216FEE1D9225}"/>
    <cellStyle name="Comma 4 2 4 11" xfId="8844" xr:uid="{C7EEF102-82D8-423D-8E9E-E731171B7A2A}"/>
    <cellStyle name="Comma 4 2 4 2" xfId="141" xr:uid="{00000000-0005-0000-0000-0000B6080000}"/>
    <cellStyle name="Comma 4 2 4 2 10" xfId="8845" xr:uid="{8727B774-DEC4-4FD0-B6B5-06AD7B05D7DD}"/>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2D1CCE26-53EF-4F34-9FF3-F3DCB18E2CF2}"/>
    <cellStyle name="Comma 4 2 4 2 2 2 3" xfId="11404" xr:uid="{6A45528F-0682-46D3-8C02-FFEC40BF880F}"/>
    <cellStyle name="Comma 4 2 4 2 2 3" xfId="5027" xr:uid="{00000000-0005-0000-0000-0000BA080000}"/>
    <cellStyle name="Comma 4 2 4 2 2 3 2" xfId="13477" xr:uid="{3E47FC20-D881-4E5E-A294-B638913D8C7C}"/>
    <cellStyle name="Comma 4 2 4 2 2 4" xfId="9259" xr:uid="{05822CD9-137B-4B89-8949-9AABD3FA6FDC}"/>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A3AB39D0-11A7-484E-91D3-54A4E2C8E815}"/>
    <cellStyle name="Comma 4 2 4 2 3 2 3" xfId="11817" xr:uid="{478C6BC2-7E5C-41F7-BFE0-B9FF1233ACA6}"/>
    <cellStyle name="Comma 4 2 4 2 3 3" xfId="5440" xr:uid="{00000000-0005-0000-0000-0000BE080000}"/>
    <cellStyle name="Comma 4 2 4 2 3 3 2" xfId="13890" xr:uid="{11D40622-C30C-4CEA-A2E0-A7FC8D02D108}"/>
    <cellStyle name="Comma 4 2 4 2 3 4" xfId="9672" xr:uid="{47CF7EF2-1659-4993-926E-8B3D0F2D4545}"/>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BB3E48FA-BFAA-4776-9E79-13036863455B}"/>
    <cellStyle name="Comma 4 2 4 2 4 2 3" xfId="12230" xr:uid="{CE4147A4-BE88-4D26-A7BF-56AB20ABBCEE}"/>
    <cellStyle name="Comma 4 2 4 2 4 3" xfId="5853" xr:uid="{00000000-0005-0000-0000-0000C2080000}"/>
    <cellStyle name="Comma 4 2 4 2 4 3 2" xfId="14303" xr:uid="{4E22C41E-7317-4D17-8EA0-44D8590227E0}"/>
    <cellStyle name="Comma 4 2 4 2 4 4" xfId="10085" xr:uid="{A09E37F7-F2C0-4F66-92F7-631BDDB74205}"/>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AE0F0787-8F4F-4672-BB8E-D19F151D1766}"/>
    <cellStyle name="Comma 4 2 4 2 5 2 3" xfId="12643" xr:uid="{44E6F153-63C2-405D-8D80-5BCB7ACFCC36}"/>
    <cellStyle name="Comma 4 2 4 2 5 3" xfId="6266" xr:uid="{00000000-0005-0000-0000-0000C6080000}"/>
    <cellStyle name="Comma 4 2 4 2 5 3 2" xfId="14716" xr:uid="{338F04C5-333E-4917-9FD8-9E19E895E405}"/>
    <cellStyle name="Comma 4 2 4 2 5 4" xfId="10498" xr:uid="{94663918-9900-439C-92EE-BDC6BFA0D1C4}"/>
    <cellStyle name="Comma 4 2 4 2 6" xfId="2395" xr:uid="{00000000-0005-0000-0000-0000C7080000}"/>
    <cellStyle name="Comma 4 2 4 2 6 2" xfId="6679" xr:uid="{00000000-0005-0000-0000-0000C8080000}"/>
    <cellStyle name="Comma 4 2 4 2 6 2 2" xfId="15129" xr:uid="{A9F8750E-0FC3-47E0-9BF6-79B4A943F4D9}"/>
    <cellStyle name="Comma 4 2 4 2 6 3" xfId="10911" xr:uid="{538D2DDF-97DC-481F-8BDA-84A3D808A63E}"/>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7E63C448-4E26-4379-96B1-83D284EA0BAE}"/>
    <cellStyle name="Comma 4 2 4 2 8 3" xfId="11228" xr:uid="{64DB8289-FE93-455E-A616-A6C6E85E42D8}"/>
    <cellStyle name="Comma 4 2 4 2 9" xfId="4613" xr:uid="{00000000-0005-0000-0000-0000CC080000}"/>
    <cellStyle name="Comma 4 2 4 2 9 2" xfId="13063" xr:uid="{BF825201-F553-46EA-B37A-628911DB55B3}"/>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87BA2A7F-0019-4722-A6F8-DDF99D6516F2}"/>
    <cellStyle name="Comma 4 2 4 3 2 3" xfId="11403" xr:uid="{DBCA184D-C421-481F-948C-403395F15342}"/>
    <cellStyle name="Comma 4 2 4 3 3" xfId="5026" xr:uid="{00000000-0005-0000-0000-0000D0080000}"/>
    <cellStyle name="Comma 4 2 4 3 3 2" xfId="13476" xr:uid="{CD8F6AB5-3A8A-44A8-AB56-EA38BA6F09FC}"/>
    <cellStyle name="Comma 4 2 4 3 4" xfId="9258" xr:uid="{F7C18F8A-66FA-49CB-B831-479F71DCD9C3}"/>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71A15A72-08B0-4680-8257-01D51CB7EC36}"/>
    <cellStyle name="Comma 4 2 4 4 2 3" xfId="11816" xr:uid="{5990A58E-650C-431E-BFA0-1339FDADBA6E}"/>
    <cellStyle name="Comma 4 2 4 4 3" xfId="5439" xr:uid="{00000000-0005-0000-0000-0000D4080000}"/>
    <cellStyle name="Comma 4 2 4 4 3 2" xfId="13889" xr:uid="{DB973C27-BBCC-40CE-9DFE-BA2CC603677C}"/>
    <cellStyle name="Comma 4 2 4 4 4" xfId="9671" xr:uid="{BC624353-2326-4A79-B6CD-FA2BC8851E32}"/>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F4204298-084F-4A87-8C59-37F8ED6DA2A4}"/>
    <cellStyle name="Comma 4 2 4 5 2 3" xfId="12229" xr:uid="{76D5F07C-12E5-4378-A1DD-B52107646E81}"/>
    <cellStyle name="Comma 4 2 4 5 3" xfId="5852" xr:uid="{00000000-0005-0000-0000-0000D8080000}"/>
    <cellStyle name="Comma 4 2 4 5 3 2" xfId="14302" xr:uid="{F10E1524-D0F9-4BB4-BCCF-376F4AA1134C}"/>
    <cellStyle name="Comma 4 2 4 5 4" xfId="10084" xr:uid="{6C153966-1557-4EB7-AE12-96CB0398E30B}"/>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9DA0942A-43B3-4A02-8094-17D60BFA175B}"/>
    <cellStyle name="Comma 4 2 4 6 2 3" xfId="12642" xr:uid="{3A65EC6F-9B09-4B94-81BD-AE42C3343F71}"/>
    <cellStyle name="Comma 4 2 4 6 3" xfId="6265" xr:uid="{00000000-0005-0000-0000-0000DC080000}"/>
    <cellStyle name="Comma 4 2 4 6 3 2" xfId="14715" xr:uid="{E59F9617-A305-405F-8766-820515724091}"/>
    <cellStyle name="Comma 4 2 4 6 4" xfId="10497" xr:uid="{45581FE1-E17C-4249-9E04-E79DABF320A7}"/>
    <cellStyle name="Comma 4 2 4 7" xfId="2394" xr:uid="{00000000-0005-0000-0000-0000DD080000}"/>
    <cellStyle name="Comma 4 2 4 7 2" xfId="6678" xr:uid="{00000000-0005-0000-0000-0000DE080000}"/>
    <cellStyle name="Comma 4 2 4 7 2 2" xfId="15128" xr:uid="{84635E03-DE43-46F9-A688-A1DFAFDFAB4F}"/>
    <cellStyle name="Comma 4 2 4 7 3" xfId="10910" xr:uid="{6734DF44-D6B7-4EE1-BAE6-DE716BF62B4B}"/>
    <cellStyle name="Comma 4 2 4 8" xfId="2369" xr:uid="{00000000-0005-0000-0000-0000DF080000}"/>
    <cellStyle name="Comma 4 2 4 9" xfId="2772" xr:uid="{00000000-0005-0000-0000-0000E0080000}"/>
    <cellStyle name="Comma 4 2 4 9 2" xfId="6995" xr:uid="{00000000-0005-0000-0000-0000E1080000}"/>
    <cellStyle name="Comma 4 2 4 9 2 2" xfId="15445" xr:uid="{236530ED-6E17-402B-8D24-0A6B7AEB5C3F}"/>
    <cellStyle name="Comma 4 2 4 9 3" xfId="11227" xr:uid="{5048F638-D714-4818-83F4-91E4D6F19492}"/>
    <cellStyle name="Comma 4 2 5" xfId="142" xr:uid="{00000000-0005-0000-0000-0000E2080000}"/>
    <cellStyle name="Comma 4 2 5 10" xfId="8846" xr:uid="{2B9BC5CC-4C0D-4578-8EEA-008F633B8097}"/>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51F8ED64-01A1-4672-8F76-651CCA9414BE}"/>
    <cellStyle name="Comma 4 2 5 2 2 3" xfId="11405" xr:uid="{FD1C8932-39B1-46B9-8F7D-DE4F85A8D003}"/>
    <cellStyle name="Comma 4 2 5 2 3" xfId="5028" xr:uid="{00000000-0005-0000-0000-0000E6080000}"/>
    <cellStyle name="Comma 4 2 5 2 3 2" xfId="13478" xr:uid="{0B8E03BF-5E96-419E-A9CF-212E3E844472}"/>
    <cellStyle name="Comma 4 2 5 2 4" xfId="9260" xr:uid="{198F36D0-0EBB-45E4-A26A-8CA48FDB06DD}"/>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758AD02C-98F9-46D7-8AFA-DFABAD798AE9}"/>
    <cellStyle name="Comma 4 2 5 3 2 3" xfId="11818" xr:uid="{78780C27-DFF2-4082-949E-203D9E27DE9D}"/>
    <cellStyle name="Comma 4 2 5 3 3" xfId="5441" xr:uid="{00000000-0005-0000-0000-0000EA080000}"/>
    <cellStyle name="Comma 4 2 5 3 3 2" xfId="13891" xr:uid="{E62F5B9B-F490-48B1-B7B3-E3484661730C}"/>
    <cellStyle name="Comma 4 2 5 3 4" xfId="9673" xr:uid="{0D0B58B4-48EF-4CEE-8501-8FF9479E35D7}"/>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ECFCB1F2-7507-41F9-9789-FB77EB11B5E9}"/>
    <cellStyle name="Comma 4 2 5 4 2 3" xfId="12231" xr:uid="{51EC5572-D74E-423B-BDCC-D602524F2F70}"/>
    <cellStyle name="Comma 4 2 5 4 3" xfId="5854" xr:uid="{00000000-0005-0000-0000-0000EE080000}"/>
    <cellStyle name="Comma 4 2 5 4 3 2" xfId="14304" xr:uid="{8889F70E-18B0-47CA-ADD1-D381636D9342}"/>
    <cellStyle name="Comma 4 2 5 4 4" xfId="10086" xr:uid="{47F7BA3A-F6FC-4E53-BCFF-E2E2C9453A39}"/>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E46A104A-743F-42E6-A424-01FD35CB4B21}"/>
    <cellStyle name="Comma 4 2 5 5 2 3" xfId="12644" xr:uid="{5491CA90-8980-4296-912B-27DFB3574931}"/>
    <cellStyle name="Comma 4 2 5 5 3" xfId="6267" xr:uid="{00000000-0005-0000-0000-0000F2080000}"/>
    <cellStyle name="Comma 4 2 5 5 3 2" xfId="14717" xr:uid="{436C475F-DDEA-4A7C-9378-2CE3E99A52AF}"/>
    <cellStyle name="Comma 4 2 5 5 4" xfId="10499" xr:uid="{C2DB54F6-0FB0-4328-B210-84898A04866F}"/>
    <cellStyle name="Comma 4 2 5 6" xfId="2396" xr:uid="{00000000-0005-0000-0000-0000F3080000}"/>
    <cellStyle name="Comma 4 2 5 6 2" xfId="6680" xr:uid="{00000000-0005-0000-0000-0000F4080000}"/>
    <cellStyle name="Comma 4 2 5 6 2 2" xfId="15130" xr:uid="{6C2F15E1-9673-4566-94FD-CCDC76758747}"/>
    <cellStyle name="Comma 4 2 5 6 3" xfId="10912" xr:uid="{E46D9C17-7C33-4E40-B72D-CA0754BF2B52}"/>
    <cellStyle name="Comma 4 2 5 7" xfId="2367" xr:uid="{00000000-0005-0000-0000-0000F5080000}"/>
    <cellStyle name="Comma 4 2 5 8" xfId="2774" xr:uid="{00000000-0005-0000-0000-0000F6080000}"/>
    <cellStyle name="Comma 4 2 5 8 2" xfId="6997" xr:uid="{00000000-0005-0000-0000-0000F7080000}"/>
    <cellStyle name="Comma 4 2 5 8 2 2" xfId="15447" xr:uid="{8505F6B6-2569-4FFE-89F3-5E21F001A1CA}"/>
    <cellStyle name="Comma 4 2 5 8 3" xfId="11229" xr:uid="{8ADB8395-888D-48FC-BC38-BA17AA3A1A2F}"/>
    <cellStyle name="Comma 4 2 5 9" xfId="4614" xr:uid="{00000000-0005-0000-0000-0000F8080000}"/>
    <cellStyle name="Comma 4 2 5 9 2" xfId="13064" xr:uid="{681CA915-3AC9-47F0-A6BE-6981E2DAF923}"/>
    <cellStyle name="Comma 4 2 6" xfId="143" xr:uid="{00000000-0005-0000-0000-0000F9080000}"/>
    <cellStyle name="Comma 4 2 6 10" xfId="8847" xr:uid="{9E3E4CA7-0B9E-440A-A483-39F0C21F49B5}"/>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B16C1F54-71D1-4BDA-8923-13176C0577AA}"/>
    <cellStyle name="Comma 4 2 6 2 2 3" xfId="11406" xr:uid="{F6EB2644-2EA9-41AC-80F4-1C94C71527CA}"/>
    <cellStyle name="Comma 4 2 6 2 3" xfId="5029" xr:uid="{00000000-0005-0000-0000-0000FD080000}"/>
    <cellStyle name="Comma 4 2 6 2 3 2" xfId="13479" xr:uid="{C49239D7-CC38-41D8-8812-83FB82EC26D9}"/>
    <cellStyle name="Comma 4 2 6 2 4" xfId="9261" xr:uid="{B1400383-11B2-471E-853A-F15F773625CE}"/>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8B685E23-2A4A-4071-95C0-3F9F76F66905}"/>
    <cellStyle name="Comma 4 2 6 3 2 3" xfId="11819" xr:uid="{DC626A3B-C901-4A58-B70F-BE8A57428246}"/>
    <cellStyle name="Comma 4 2 6 3 3" xfId="5442" xr:uid="{00000000-0005-0000-0000-000001090000}"/>
    <cellStyle name="Comma 4 2 6 3 3 2" xfId="13892" xr:uid="{8FA5147C-9ABD-4304-A1F7-58B9B6B5B9D4}"/>
    <cellStyle name="Comma 4 2 6 3 4" xfId="9674" xr:uid="{1FFFC208-7388-4D3A-AAC7-959B08A3F7AE}"/>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44D8B144-BE24-42F1-899C-2C7C0F497F70}"/>
    <cellStyle name="Comma 4 2 6 4 2 3" xfId="12232" xr:uid="{631D41DA-2CC3-49CD-B0CE-D239821C57A5}"/>
    <cellStyle name="Comma 4 2 6 4 3" xfId="5855" xr:uid="{00000000-0005-0000-0000-000005090000}"/>
    <cellStyle name="Comma 4 2 6 4 3 2" xfId="14305" xr:uid="{74189E2E-FD0C-42E3-9F56-0CE13AE93CBF}"/>
    <cellStyle name="Comma 4 2 6 4 4" xfId="10087" xr:uid="{0A298C94-E2A2-4724-B419-95A234024BBD}"/>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44E456F0-3A8F-4BBC-A171-8BF664E06C71}"/>
    <cellStyle name="Comma 4 2 6 5 2 3" xfId="12645" xr:uid="{FB1052B2-B53C-4323-888F-B3B4F40F9E46}"/>
    <cellStyle name="Comma 4 2 6 5 3" xfId="6268" xr:uid="{00000000-0005-0000-0000-000009090000}"/>
    <cellStyle name="Comma 4 2 6 5 3 2" xfId="14718" xr:uid="{92A9FE8F-3CCD-4D16-802C-68304120E3D5}"/>
    <cellStyle name="Comma 4 2 6 5 4" xfId="10500" xr:uid="{5F6FF6A1-07B9-4BBF-8C29-F215FD0825E3}"/>
    <cellStyle name="Comma 4 2 6 6" xfId="2397" xr:uid="{00000000-0005-0000-0000-00000A090000}"/>
    <cellStyle name="Comma 4 2 6 6 2" xfId="6681" xr:uid="{00000000-0005-0000-0000-00000B090000}"/>
    <cellStyle name="Comma 4 2 6 6 2 2" xfId="15131" xr:uid="{810903D8-437C-47E8-8C4B-997F0C434465}"/>
    <cellStyle name="Comma 4 2 6 6 3" xfId="10913" xr:uid="{0E15879A-99FB-40CB-AB28-761FB9A41A72}"/>
    <cellStyle name="Comma 4 2 6 7" xfId="2366" xr:uid="{00000000-0005-0000-0000-00000C090000}"/>
    <cellStyle name="Comma 4 2 6 8" xfId="2775" xr:uid="{00000000-0005-0000-0000-00000D090000}"/>
    <cellStyle name="Comma 4 2 6 8 2" xfId="6998" xr:uid="{00000000-0005-0000-0000-00000E090000}"/>
    <cellStyle name="Comma 4 2 6 8 2 2" xfId="15448" xr:uid="{29014A7E-9BF4-4F2B-A1CD-8B747C27C7ED}"/>
    <cellStyle name="Comma 4 2 6 8 3" xfId="11230" xr:uid="{1047D836-53D1-4990-AAB2-D6BB901F588F}"/>
    <cellStyle name="Comma 4 2 6 9" xfId="4615" xr:uid="{00000000-0005-0000-0000-00000F090000}"/>
    <cellStyle name="Comma 4 2 6 9 2" xfId="13065" xr:uid="{1AF4EE2A-4435-499C-BE98-B61A942C7768}"/>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FA6D904F-5971-48EE-8FA2-3C35074D18AA}"/>
    <cellStyle name="Comma 4 3 2 10 3" xfId="11231" xr:uid="{0147DA10-2042-43C7-8172-B4A9BA0FED7E}"/>
    <cellStyle name="Comma 4 3 2 11" xfId="4616" xr:uid="{00000000-0005-0000-0000-000014090000}"/>
    <cellStyle name="Comma 4 3 2 11 2" xfId="13066" xr:uid="{601D27B1-B382-4390-AA32-8ACA1C3F3728}"/>
    <cellStyle name="Comma 4 3 2 12" xfId="8848" xr:uid="{5CB767D2-9A93-423A-8044-B67D418A7CCF}"/>
    <cellStyle name="Comma 4 3 2 2" xfId="146" xr:uid="{00000000-0005-0000-0000-000015090000}"/>
    <cellStyle name="Comma 4 3 2 2 10" xfId="4617" xr:uid="{00000000-0005-0000-0000-000016090000}"/>
    <cellStyle name="Comma 4 3 2 2 10 2" xfId="13067" xr:uid="{7E7D57B3-5D41-4895-A6D0-5E50E4B0FAC6}"/>
    <cellStyle name="Comma 4 3 2 2 11" xfId="8849" xr:uid="{09B1F63D-CE15-4E30-B513-4344B22C39CC}"/>
    <cellStyle name="Comma 4 3 2 2 2" xfId="147" xr:uid="{00000000-0005-0000-0000-000017090000}"/>
    <cellStyle name="Comma 4 3 2 2 2 10" xfId="8850" xr:uid="{ADAB011B-95CC-4FB8-B9AB-40BEAF3F016B}"/>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8CD7547B-B84F-487E-9B75-995113115E0B}"/>
    <cellStyle name="Comma 4 3 2 2 2 2 2 3" xfId="11409" xr:uid="{77337EBC-FE28-4518-9E4F-B25099061F8E}"/>
    <cellStyle name="Comma 4 3 2 2 2 2 3" xfId="5032" xr:uid="{00000000-0005-0000-0000-00001B090000}"/>
    <cellStyle name="Comma 4 3 2 2 2 2 3 2" xfId="13482" xr:uid="{0EBE8AF2-335D-443E-A9FF-657A5650A2EF}"/>
    <cellStyle name="Comma 4 3 2 2 2 2 4" xfId="9264" xr:uid="{41DCC53D-B0CC-4BCB-A7DE-D1D277DAF2B0}"/>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0ED571BB-49C6-4F21-AF17-7B07FA853C0B}"/>
    <cellStyle name="Comma 4 3 2 2 2 3 2 3" xfId="11822" xr:uid="{2ACF7CD3-FF5C-48A7-AE86-422334B16B47}"/>
    <cellStyle name="Comma 4 3 2 2 2 3 3" xfId="5445" xr:uid="{00000000-0005-0000-0000-00001F090000}"/>
    <cellStyle name="Comma 4 3 2 2 2 3 3 2" xfId="13895" xr:uid="{E0EF1A2F-E049-4297-8238-3229474B30D4}"/>
    <cellStyle name="Comma 4 3 2 2 2 3 4" xfId="9677" xr:uid="{CC9F42BF-5AE9-451C-9AC5-B709893C7046}"/>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E1CAC23C-4DA8-42C8-9AB2-630DCBAE374F}"/>
    <cellStyle name="Comma 4 3 2 2 2 4 2 3" xfId="12235" xr:uid="{4C163413-B104-447B-B224-37EF4A96DAB3}"/>
    <cellStyle name="Comma 4 3 2 2 2 4 3" xfId="5858" xr:uid="{00000000-0005-0000-0000-000023090000}"/>
    <cellStyle name="Comma 4 3 2 2 2 4 3 2" xfId="14308" xr:uid="{2CD897EC-49D8-471F-A4B9-D57F91FB168D}"/>
    <cellStyle name="Comma 4 3 2 2 2 4 4" xfId="10090" xr:uid="{A120BE21-6CBF-47C1-BDA8-B4590317823B}"/>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4DC7B28F-CF66-4385-B6B8-E83CACF628F3}"/>
    <cellStyle name="Comma 4 3 2 2 2 5 2 3" xfId="12648" xr:uid="{6747E4AE-D001-4DA5-9900-E93BC5C38ED5}"/>
    <cellStyle name="Comma 4 3 2 2 2 5 3" xfId="6271" xr:uid="{00000000-0005-0000-0000-000027090000}"/>
    <cellStyle name="Comma 4 3 2 2 2 5 3 2" xfId="14721" xr:uid="{1404A520-BE23-43BC-8BE8-17A2F51DFFDA}"/>
    <cellStyle name="Comma 4 3 2 2 2 5 4" xfId="10503" xr:uid="{1EC6D535-1520-4A2B-92CA-48E1D4F770FA}"/>
    <cellStyle name="Comma 4 3 2 2 2 6" xfId="2400" xr:uid="{00000000-0005-0000-0000-000028090000}"/>
    <cellStyle name="Comma 4 3 2 2 2 6 2" xfId="6684" xr:uid="{00000000-0005-0000-0000-000029090000}"/>
    <cellStyle name="Comma 4 3 2 2 2 6 2 2" xfId="15134" xr:uid="{2720AA71-C022-40BF-B601-95E42C259D2F}"/>
    <cellStyle name="Comma 4 3 2 2 2 6 3" xfId="10916" xr:uid="{8EFF3C41-227D-49B7-8B75-30C8DF1F9D18}"/>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27E949BB-CB4E-4C1B-8526-1CBD1F22364F}"/>
    <cellStyle name="Comma 4 3 2 2 2 8 3" xfId="11233" xr:uid="{62F440FB-EE33-4895-8B9C-A40505B0BDFA}"/>
    <cellStyle name="Comma 4 3 2 2 2 9" xfId="4618" xr:uid="{00000000-0005-0000-0000-00002D090000}"/>
    <cellStyle name="Comma 4 3 2 2 2 9 2" xfId="13068" xr:uid="{4634E549-A81A-447E-B353-96A457D96745}"/>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4C19F5ED-C991-4212-833E-81321B7E5236}"/>
    <cellStyle name="Comma 4 3 2 2 3 2 3" xfId="11408" xr:uid="{10B97263-0B5D-4FED-BDCA-292DECB40675}"/>
    <cellStyle name="Comma 4 3 2 2 3 3" xfId="5031" xr:uid="{00000000-0005-0000-0000-000031090000}"/>
    <cellStyle name="Comma 4 3 2 2 3 3 2" xfId="13481" xr:uid="{00B1DB6E-B01E-4F9A-A965-AA26D5F40571}"/>
    <cellStyle name="Comma 4 3 2 2 3 4" xfId="9263" xr:uid="{8B9A7152-8718-419F-A920-416929540AD6}"/>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381EF7E9-F937-4691-AF97-FDED6BDF8147}"/>
    <cellStyle name="Comma 4 3 2 2 4 2 3" xfId="11821" xr:uid="{6A84CA98-1622-4D7F-8F35-561E787076A4}"/>
    <cellStyle name="Comma 4 3 2 2 4 3" xfId="5444" xr:uid="{00000000-0005-0000-0000-000035090000}"/>
    <cellStyle name="Comma 4 3 2 2 4 3 2" xfId="13894" xr:uid="{67874D3F-8F57-4BB5-9B90-89D5755F4E62}"/>
    <cellStyle name="Comma 4 3 2 2 4 4" xfId="9676" xr:uid="{491AD461-A7A0-4819-80F0-0E32F943E885}"/>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3BC6309B-9845-45B4-8252-336413F909B4}"/>
    <cellStyle name="Comma 4 3 2 2 5 2 3" xfId="12234" xr:uid="{7ACB5C44-2433-432C-B613-FF48AC3C801E}"/>
    <cellStyle name="Comma 4 3 2 2 5 3" xfId="5857" xr:uid="{00000000-0005-0000-0000-000039090000}"/>
    <cellStyle name="Comma 4 3 2 2 5 3 2" xfId="14307" xr:uid="{068240AE-3320-4D85-9860-236B125C3442}"/>
    <cellStyle name="Comma 4 3 2 2 5 4" xfId="10089" xr:uid="{812C3D7C-4F5F-4573-AEA2-88E173EF8E6C}"/>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AB6353CD-7E2D-4699-A2E6-973BA86ECB85}"/>
    <cellStyle name="Comma 4 3 2 2 6 2 3" xfId="12647" xr:uid="{5A17A4BC-0961-460D-BCC9-EDF2C510413F}"/>
    <cellStyle name="Comma 4 3 2 2 6 3" xfId="6270" xr:uid="{00000000-0005-0000-0000-00003D090000}"/>
    <cellStyle name="Comma 4 3 2 2 6 3 2" xfId="14720" xr:uid="{32ED233C-09A2-4AFA-B1A8-4DDD523FE6D8}"/>
    <cellStyle name="Comma 4 3 2 2 6 4" xfId="10502" xr:uid="{6C06B8D9-5024-4A24-8001-8C66A75ED59A}"/>
    <cellStyle name="Comma 4 3 2 2 7" xfId="2399" xr:uid="{00000000-0005-0000-0000-00003E090000}"/>
    <cellStyle name="Comma 4 3 2 2 7 2" xfId="6683" xr:uid="{00000000-0005-0000-0000-00003F090000}"/>
    <cellStyle name="Comma 4 3 2 2 7 2 2" xfId="15133" xr:uid="{0629186C-F5FE-41B7-8147-E195A0581B6B}"/>
    <cellStyle name="Comma 4 3 2 2 7 3" xfId="10915" xr:uid="{625A9218-EA86-4ACA-A114-4C4FA49BC335}"/>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2EA99F27-8C2C-476C-A784-0725935E1098}"/>
    <cellStyle name="Comma 4 3 2 2 9 3" xfId="11232" xr:uid="{7412D4C0-8656-424D-975A-6AFE01F30B09}"/>
    <cellStyle name="Comma 4 3 2 3" xfId="148" xr:uid="{00000000-0005-0000-0000-000043090000}"/>
    <cellStyle name="Comma 4 3 2 3 10" xfId="8851" xr:uid="{209979E8-3FB3-491D-8383-9101123DD28E}"/>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D511D7E0-C63C-43C3-A005-5841A901F66A}"/>
    <cellStyle name="Comma 4 3 2 3 2 2 3" xfId="11410" xr:uid="{E433A106-373E-47B8-A664-B022AF38E34D}"/>
    <cellStyle name="Comma 4 3 2 3 2 3" xfId="5033" xr:uid="{00000000-0005-0000-0000-000047090000}"/>
    <cellStyle name="Comma 4 3 2 3 2 3 2" xfId="13483" xr:uid="{44A7892D-EE54-4831-95C9-0F62D96CEB4E}"/>
    <cellStyle name="Comma 4 3 2 3 2 4" xfId="9265" xr:uid="{BF501010-7A4E-4FDB-8F9F-7D7CCBF62027}"/>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18665573-6CA2-44A9-BCFB-449E97030025}"/>
    <cellStyle name="Comma 4 3 2 3 3 2 3" xfId="11823" xr:uid="{40911340-7650-4317-AB2C-FEB6A29BFF5D}"/>
    <cellStyle name="Comma 4 3 2 3 3 3" xfId="5446" xr:uid="{00000000-0005-0000-0000-00004B090000}"/>
    <cellStyle name="Comma 4 3 2 3 3 3 2" xfId="13896" xr:uid="{5D39BAD0-3053-4C8D-B431-EF71E261719D}"/>
    <cellStyle name="Comma 4 3 2 3 3 4" xfId="9678" xr:uid="{FD452F85-82D2-4249-A72D-AC890AD73F88}"/>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7ED0DDFC-4D46-40E3-B133-1B864BF57433}"/>
    <cellStyle name="Comma 4 3 2 3 4 2 3" xfId="12236" xr:uid="{8E9B37AF-DB4F-4270-9C9B-2184EC48F82D}"/>
    <cellStyle name="Comma 4 3 2 3 4 3" xfId="5859" xr:uid="{00000000-0005-0000-0000-00004F090000}"/>
    <cellStyle name="Comma 4 3 2 3 4 3 2" xfId="14309" xr:uid="{182E9AA1-8280-431F-BE65-BD59BA9A5EE7}"/>
    <cellStyle name="Comma 4 3 2 3 4 4" xfId="10091" xr:uid="{B5369469-4E62-4B6D-B522-2D326D722A5B}"/>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A2F1F21A-A5B1-4E47-AD7B-E4D23C563678}"/>
    <cellStyle name="Comma 4 3 2 3 5 2 3" xfId="12649" xr:uid="{DEE77299-D772-4E81-9557-06762D00A810}"/>
    <cellStyle name="Comma 4 3 2 3 5 3" xfId="6272" xr:uid="{00000000-0005-0000-0000-000053090000}"/>
    <cellStyle name="Comma 4 3 2 3 5 3 2" xfId="14722" xr:uid="{40E17018-9D91-43C7-931D-5F3A5E4B6ADD}"/>
    <cellStyle name="Comma 4 3 2 3 5 4" xfId="10504" xr:uid="{8ACB1C2E-35D0-4647-9015-F622C29F05A4}"/>
    <cellStyle name="Comma 4 3 2 3 6" xfId="2401" xr:uid="{00000000-0005-0000-0000-000054090000}"/>
    <cellStyle name="Comma 4 3 2 3 6 2" xfId="6685" xr:uid="{00000000-0005-0000-0000-000055090000}"/>
    <cellStyle name="Comma 4 3 2 3 6 2 2" xfId="15135" xr:uid="{CD01EF3D-6EC9-48F5-80F2-E83EDB196A69}"/>
    <cellStyle name="Comma 4 3 2 3 6 3" xfId="10917" xr:uid="{7CDC0374-D6F2-4ADF-B97C-169EE0E5F9A1}"/>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2788FCF8-3812-4158-9F08-8F2C4DEDDEBE}"/>
    <cellStyle name="Comma 4 3 2 3 8 3" xfId="11234" xr:uid="{BB38E1F2-346A-4034-9660-72306151D28D}"/>
    <cellStyle name="Comma 4 3 2 3 9" xfId="4619" xr:uid="{00000000-0005-0000-0000-000059090000}"/>
    <cellStyle name="Comma 4 3 2 3 9 2" xfId="13069" xr:uid="{2358FC2E-193C-4B6D-B93A-3CB93B5AB20D}"/>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A086BA42-69E0-4939-9525-8AE69E7A461E}"/>
    <cellStyle name="Comma 4 3 2 4 2 3" xfId="11407" xr:uid="{19AE8B64-A99C-4B7F-8486-925416BCD83A}"/>
    <cellStyle name="Comma 4 3 2 4 3" xfId="5030" xr:uid="{00000000-0005-0000-0000-00005D090000}"/>
    <cellStyle name="Comma 4 3 2 4 3 2" xfId="13480" xr:uid="{31674F10-3066-43CC-8D0C-A337291ABC12}"/>
    <cellStyle name="Comma 4 3 2 4 4" xfId="9262" xr:uid="{423B3968-599F-450E-9CCA-538DC621AF6E}"/>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A633D800-F233-44B9-BBC8-7964CA6376C6}"/>
    <cellStyle name="Comma 4 3 2 5 2 3" xfId="11820" xr:uid="{77D3908E-8EE8-4A9A-9955-DA126A8B86B3}"/>
    <cellStyle name="Comma 4 3 2 5 3" xfId="5443" xr:uid="{00000000-0005-0000-0000-000061090000}"/>
    <cellStyle name="Comma 4 3 2 5 3 2" xfId="13893" xr:uid="{5932E9E4-E82D-4C47-820C-4636AFEAE69B}"/>
    <cellStyle name="Comma 4 3 2 5 4" xfId="9675" xr:uid="{F42AFF37-EBEC-472B-8197-7B0B1D472BEA}"/>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A8C07490-B141-4F3A-93A3-75FE56B1DAE4}"/>
    <cellStyle name="Comma 4 3 2 6 2 3" xfId="12233" xr:uid="{42DC66EB-CD63-46FD-927A-9CD8807F4E99}"/>
    <cellStyle name="Comma 4 3 2 6 3" xfId="5856" xr:uid="{00000000-0005-0000-0000-000065090000}"/>
    <cellStyle name="Comma 4 3 2 6 3 2" xfId="14306" xr:uid="{3142D9C1-09D4-4F1F-B2AC-71A3280988F3}"/>
    <cellStyle name="Comma 4 3 2 6 4" xfId="10088" xr:uid="{16106144-2CC9-4097-A545-DBB16C5EB1CE}"/>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41DBE3A2-1FF9-4A27-93E0-6C53A2DF4E68}"/>
    <cellStyle name="Comma 4 3 2 7 2 3" xfId="12646" xr:uid="{A09C6A58-8301-4FEA-91A2-E17DF41A17A4}"/>
    <cellStyle name="Comma 4 3 2 7 3" xfId="6269" xr:uid="{00000000-0005-0000-0000-000069090000}"/>
    <cellStyle name="Comma 4 3 2 7 3 2" xfId="14719" xr:uid="{6CE1F6EB-00E1-48D1-BC0B-D404BDEB45C8}"/>
    <cellStyle name="Comma 4 3 2 7 4" xfId="10501" xr:uid="{817843AF-052C-4DF1-8EAE-795E81FF04AE}"/>
    <cellStyle name="Comma 4 3 2 8" xfId="2398" xr:uid="{00000000-0005-0000-0000-00006A090000}"/>
    <cellStyle name="Comma 4 3 2 8 2" xfId="6682" xr:uid="{00000000-0005-0000-0000-00006B090000}"/>
    <cellStyle name="Comma 4 3 2 8 2 2" xfId="15132" xr:uid="{D421DCF8-52A9-4127-B761-EE9F6533401C}"/>
    <cellStyle name="Comma 4 3 2 8 3" xfId="10914" xr:uid="{22BC3283-FB05-467A-8B59-6A5B5BBE7DCD}"/>
    <cellStyle name="Comma 4 3 2 9" xfId="2365" xr:uid="{00000000-0005-0000-0000-00006C090000}"/>
    <cellStyle name="Comma 4 3 3" xfId="149" xr:uid="{00000000-0005-0000-0000-00006D090000}"/>
    <cellStyle name="Comma 4 3 3 10" xfId="4620" xr:uid="{00000000-0005-0000-0000-00006E090000}"/>
    <cellStyle name="Comma 4 3 3 10 2" xfId="13070" xr:uid="{3678487C-FB16-463F-A15C-AEEA3E0AF660}"/>
    <cellStyle name="Comma 4 3 3 11" xfId="8852" xr:uid="{F4C8FFD9-60C8-4C7C-82FB-CAD072855AD2}"/>
    <cellStyle name="Comma 4 3 3 2" xfId="150" xr:uid="{00000000-0005-0000-0000-00006F090000}"/>
    <cellStyle name="Comma 4 3 3 2 10" xfId="8853" xr:uid="{D4DF64FE-1AA9-4C89-9415-E1BEC125E715}"/>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A6D2589D-40B5-4973-A4A6-75ADBD84618D}"/>
    <cellStyle name="Comma 4 3 3 2 2 2 3" xfId="11412" xr:uid="{0EB166AF-63B8-45C6-BF67-D1DBFB947C33}"/>
    <cellStyle name="Comma 4 3 3 2 2 3" xfId="5035" xr:uid="{00000000-0005-0000-0000-000073090000}"/>
    <cellStyle name="Comma 4 3 3 2 2 3 2" xfId="13485" xr:uid="{50094808-186C-4387-86F5-55A573C32DBC}"/>
    <cellStyle name="Comma 4 3 3 2 2 4" xfId="9267" xr:uid="{FA6A97C8-5AF1-445D-8444-542E178073A5}"/>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20265C9A-52E5-47E0-B402-379BC8EFD1DC}"/>
    <cellStyle name="Comma 4 3 3 2 3 2 3" xfId="11825" xr:uid="{23353959-03D1-4E30-AB38-13DEB5211A68}"/>
    <cellStyle name="Comma 4 3 3 2 3 3" xfId="5448" xr:uid="{00000000-0005-0000-0000-000077090000}"/>
    <cellStyle name="Comma 4 3 3 2 3 3 2" xfId="13898" xr:uid="{AE541B04-0408-438E-A23C-50E4CDBFCEA8}"/>
    <cellStyle name="Comma 4 3 3 2 3 4" xfId="9680" xr:uid="{853BFF14-E437-4F8B-AC39-B5EC7CB4925C}"/>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AA4D3C22-CE1D-48FD-99C1-6F177474FF22}"/>
    <cellStyle name="Comma 4 3 3 2 4 2 3" xfId="12238" xr:uid="{F4280D5E-110D-44A5-8605-43BB1CE97CD1}"/>
    <cellStyle name="Comma 4 3 3 2 4 3" xfId="5861" xr:uid="{00000000-0005-0000-0000-00007B090000}"/>
    <cellStyle name="Comma 4 3 3 2 4 3 2" xfId="14311" xr:uid="{DC6FA48E-5AB2-4BEF-9FBD-68378A06128F}"/>
    <cellStyle name="Comma 4 3 3 2 4 4" xfId="10093" xr:uid="{A391AE32-3008-42F3-A802-7ABE71853C3C}"/>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D8622ABD-15ED-4963-941D-B8DC56E3C542}"/>
    <cellStyle name="Comma 4 3 3 2 5 2 3" xfId="12651" xr:uid="{2A7588A0-E0FA-4D5D-B655-13F29FC43256}"/>
    <cellStyle name="Comma 4 3 3 2 5 3" xfId="6274" xr:uid="{00000000-0005-0000-0000-00007F090000}"/>
    <cellStyle name="Comma 4 3 3 2 5 3 2" xfId="14724" xr:uid="{98DF6A84-B338-4F18-B813-0CE6C4ED4DB3}"/>
    <cellStyle name="Comma 4 3 3 2 5 4" xfId="10506" xr:uid="{950B95A8-0C32-4C27-9853-628571B34857}"/>
    <cellStyle name="Comma 4 3 3 2 6" xfId="2403" xr:uid="{00000000-0005-0000-0000-000080090000}"/>
    <cellStyle name="Comma 4 3 3 2 6 2" xfId="6687" xr:uid="{00000000-0005-0000-0000-000081090000}"/>
    <cellStyle name="Comma 4 3 3 2 6 2 2" xfId="15137" xr:uid="{C94F229D-2BDB-43A7-A3E1-9CC9D30C590E}"/>
    <cellStyle name="Comma 4 3 3 2 6 3" xfId="10919" xr:uid="{C8C45A93-93D8-4755-B75B-14412F71E0FB}"/>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93B26695-BAA4-4D5D-8BB2-C6B2C316F4DB}"/>
    <cellStyle name="Comma 4 3 3 2 8 3" xfId="11236" xr:uid="{FD37C0A1-BB5C-40B8-BFC4-304A4F91895B}"/>
    <cellStyle name="Comma 4 3 3 2 9" xfId="4621" xr:uid="{00000000-0005-0000-0000-000085090000}"/>
    <cellStyle name="Comma 4 3 3 2 9 2" xfId="13071" xr:uid="{7ADC7DCD-17F0-4630-AF8B-2D7FD3F26FE3}"/>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9D401D6C-1015-478A-88CB-856D1AC02C2A}"/>
    <cellStyle name="Comma 4 3 3 3 2 3" xfId="11411" xr:uid="{2E183917-28C9-41E1-ADBA-836D8EAA5985}"/>
    <cellStyle name="Comma 4 3 3 3 3" xfId="5034" xr:uid="{00000000-0005-0000-0000-000089090000}"/>
    <cellStyle name="Comma 4 3 3 3 3 2" xfId="13484" xr:uid="{7DE9880A-29FB-493C-843A-5BB44CEED527}"/>
    <cellStyle name="Comma 4 3 3 3 4" xfId="9266" xr:uid="{5AC620BB-6D12-445A-834F-5F82DBD224AC}"/>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60E63B34-E689-46E9-83DF-C006C82AAA51}"/>
    <cellStyle name="Comma 4 3 3 4 2 3" xfId="11824" xr:uid="{E2BBD24C-7FEA-4D41-B094-E7DB721F371B}"/>
    <cellStyle name="Comma 4 3 3 4 3" xfId="5447" xr:uid="{00000000-0005-0000-0000-00008D090000}"/>
    <cellStyle name="Comma 4 3 3 4 3 2" xfId="13897" xr:uid="{D768DA3D-4574-4686-A223-639316532650}"/>
    <cellStyle name="Comma 4 3 3 4 4" xfId="9679" xr:uid="{765725E6-4FCE-4B49-8A3E-685CAAFF0C41}"/>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848019D6-FB23-427D-A822-3FF43DB480CF}"/>
    <cellStyle name="Comma 4 3 3 5 2 3" xfId="12237" xr:uid="{A949AF28-AF34-413A-88A6-0371112C4358}"/>
    <cellStyle name="Comma 4 3 3 5 3" xfId="5860" xr:uid="{00000000-0005-0000-0000-000091090000}"/>
    <cellStyle name="Comma 4 3 3 5 3 2" xfId="14310" xr:uid="{7C562EB5-8B02-4D70-8D7B-0F96D2A37071}"/>
    <cellStyle name="Comma 4 3 3 5 4" xfId="10092" xr:uid="{441F465E-5981-441D-94FE-DCA63C9845FC}"/>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3D560F92-6453-4CA1-9D1E-08D8B230A829}"/>
    <cellStyle name="Comma 4 3 3 6 2 3" xfId="12650" xr:uid="{7AF65594-A162-446A-AD51-5C890DB1397E}"/>
    <cellStyle name="Comma 4 3 3 6 3" xfId="6273" xr:uid="{00000000-0005-0000-0000-000095090000}"/>
    <cellStyle name="Comma 4 3 3 6 3 2" xfId="14723" xr:uid="{2F88C931-EDBD-4616-8CC9-4915E8483113}"/>
    <cellStyle name="Comma 4 3 3 6 4" xfId="10505" xr:uid="{C38BF16F-5FB0-4BA7-8072-3C7DC545D202}"/>
    <cellStyle name="Comma 4 3 3 7" xfId="2402" xr:uid="{00000000-0005-0000-0000-000096090000}"/>
    <cellStyle name="Comma 4 3 3 7 2" xfId="6686" xr:uid="{00000000-0005-0000-0000-000097090000}"/>
    <cellStyle name="Comma 4 3 3 7 2 2" xfId="15136" xr:uid="{024A0131-D145-4C72-BB69-5C5AF1AF84FF}"/>
    <cellStyle name="Comma 4 3 3 7 3" xfId="10918" xr:uid="{149063AF-E126-4E6E-9223-8F437DB4DEBC}"/>
    <cellStyle name="Comma 4 3 3 8" xfId="2361" xr:uid="{00000000-0005-0000-0000-000098090000}"/>
    <cellStyle name="Comma 4 3 3 9" xfId="2780" xr:uid="{00000000-0005-0000-0000-000099090000}"/>
    <cellStyle name="Comma 4 3 3 9 2" xfId="7003" xr:uid="{00000000-0005-0000-0000-00009A090000}"/>
    <cellStyle name="Comma 4 3 3 9 2 2" xfId="15453" xr:uid="{5AE19697-7890-40E5-B85A-28B9A6A452ED}"/>
    <cellStyle name="Comma 4 3 3 9 3" xfId="11235" xr:uid="{84EC6DD5-1E1F-4875-BE6C-77347296DCE8}"/>
    <cellStyle name="Comma 4 3 4" xfId="151" xr:uid="{00000000-0005-0000-0000-00009B090000}"/>
    <cellStyle name="Comma 4 3 4 10" xfId="8854" xr:uid="{584016D7-F5D6-4D91-BFB0-5F5727F9F732}"/>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F02E85A9-BB7C-4B90-A33C-2009117864E6}"/>
    <cellStyle name="Comma 4 3 4 2 2 3" xfId="11413" xr:uid="{FB6F1BDB-8B48-4AC3-8E5E-83ECFF29191C}"/>
    <cellStyle name="Comma 4 3 4 2 3" xfId="5036" xr:uid="{00000000-0005-0000-0000-00009F090000}"/>
    <cellStyle name="Comma 4 3 4 2 3 2" xfId="13486" xr:uid="{E43C685B-6AA7-4447-A207-60CA3E99E1C0}"/>
    <cellStyle name="Comma 4 3 4 2 4" xfId="9268" xr:uid="{06E958BD-61B8-4E64-B7AD-D93F3EBBCAF3}"/>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AF7A3D3F-F5BF-422B-8828-BB8C92630543}"/>
    <cellStyle name="Comma 4 3 4 3 2 3" xfId="11826" xr:uid="{78DBD259-16CD-446C-860B-F686A7CCABC3}"/>
    <cellStyle name="Comma 4 3 4 3 3" xfId="5449" xr:uid="{00000000-0005-0000-0000-0000A3090000}"/>
    <cellStyle name="Comma 4 3 4 3 3 2" xfId="13899" xr:uid="{B5B32F31-8453-4252-BEAC-EBF0D207E259}"/>
    <cellStyle name="Comma 4 3 4 3 4" xfId="9681" xr:uid="{A030EA41-39FA-4FA3-AD97-C161EE65B04C}"/>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6496CA70-7A9A-4C2E-AEB2-A403003E92D0}"/>
    <cellStyle name="Comma 4 3 4 4 2 3" xfId="12239" xr:uid="{35FAE95D-CA27-49D5-A7C2-9C933B02C302}"/>
    <cellStyle name="Comma 4 3 4 4 3" xfId="5862" xr:uid="{00000000-0005-0000-0000-0000A7090000}"/>
    <cellStyle name="Comma 4 3 4 4 3 2" xfId="14312" xr:uid="{55CB54B7-4B31-4659-BB1A-D97A876D53B0}"/>
    <cellStyle name="Comma 4 3 4 4 4" xfId="10094" xr:uid="{B104DD4E-3CE4-417A-9187-61ED13C74531}"/>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792DCD30-6E61-48F2-BF67-83F8DA890C2B}"/>
    <cellStyle name="Comma 4 3 4 5 2 3" xfId="12652" xr:uid="{4265EC6D-AC77-4EB2-A5E2-A4234ECF6C51}"/>
    <cellStyle name="Comma 4 3 4 5 3" xfId="6275" xr:uid="{00000000-0005-0000-0000-0000AB090000}"/>
    <cellStyle name="Comma 4 3 4 5 3 2" xfId="14725" xr:uid="{6ACE50DF-C7B9-467A-AA23-F04DF0478833}"/>
    <cellStyle name="Comma 4 3 4 5 4" xfId="10507" xr:uid="{018FD97A-37F9-4A81-B1F8-0E6D711BAB74}"/>
    <cellStyle name="Comma 4 3 4 6" xfId="2404" xr:uid="{00000000-0005-0000-0000-0000AC090000}"/>
    <cellStyle name="Comma 4 3 4 6 2" xfId="6688" xr:uid="{00000000-0005-0000-0000-0000AD090000}"/>
    <cellStyle name="Comma 4 3 4 6 2 2" xfId="15138" xr:uid="{1452BBA9-66BA-4A85-AA0B-8CB451C224BE}"/>
    <cellStyle name="Comma 4 3 4 6 3" xfId="10920" xr:uid="{B1D5D4E4-8535-4853-ABED-65CB424AEFA0}"/>
    <cellStyle name="Comma 4 3 4 7" xfId="2700" xr:uid="{00000000-0005-0000-0000-0000AE090000}"/>
    <cellStyle name="Comma 4 3 4 8" xfId="2782" xr:uid="{00000000-0005-0000-0000-0000AF090000}"/>
    <cellStyle name="Comma 4 3 4 8 2" xfId="7005" xr:uid="{00000000-0005-0000-0000-0000B0090000}"/>
    <cellStyle name="Comma 4 3 4 8 2 2" xfId="15455" xr:uid="{63995C61-FEA0-4722-8271-F26CBC1ADD3B}"/>
    <cellStyle name="Comma 4 3 4 8 3" xfId="11237" xr:uid="{11BEA09B-3105-4147-B46E-7CCC8CC2A2D0}"/>
    <cellStyle name="Comma 4 3 4 9" xfId="4622" xr:uid="{00000000-0005-0000-0000-0000B1090000}"/>
    <cellStyle name="Comma 4 3 4 9 2" xfId="13072" xr:uid="{E8827CE1-7AF1-44E9-BC7A-E921D20FDDF1}"/>
    <cellStyle name="Comma 4 3 5" xfId="152" xr:uid="{00000000-0005-0000-0000-0000B2090000}"/>
    <cellStyle name="Comma 4 3 5 10" xfId="8855" xr:uid="{5A253058-194A-4986-B68C-4CC0BB08C0DA}"/>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1C0BE54C-7347-4C47-85A7-7DBE716EFB1F}"/>
    <cellStyle name="Comma 4 3 5 2 2 3" xfId="11414" xr:uid="{57414581-1FC9-4AFE-A349-2331B8999061}"/>
    <cellStyle name="Comma 4 3 5 2 3" xfId="5037" xr:uid="{00000000-0005-0000-0000-0000B6090000}"/>
    <cellStyle name="Comma 4 3 5 2 3 2" xfId="13487" xr:uid="{863CD9AE-7B84-4EBE-B60B-FE6BA558F39B}"/>
    <cellStyle name="Comma 4 3 5 2 4" xfId="9269" xr:uid="{2CB30EB5-F95A-434E-852D-119EB38AFA8A}"/>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BC2113C6-02B5-442B-BD21-3DDB50B84C38}"/>
    <cellStyle name="Comma 4 3 5 3 2 3" xfId="11827" xr:uid="{95BF41F4-E503-42A5-8C91-A369C45C5022}"/>
    <cellStyle name="Comma 4 3 5 3 3" xfId="5450" xr:uid="{00000000-0005-0000-0000-0000BA090000}"/>
    <cellStyle name="Comma 4 3 5 3 3 2" xfId="13900" xr:uid="{245312B7-C4D1-4D5E-9BB7-DDA6A4FB31B9}"/>
    <cellStyle name="Comma 4 3 5 3 4" xfId="9682" xr:uid="{2923308A-7122-49D6-8723-1A676048A917}"/>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4E641FE7-9753-4E24-B8DB-6AB459F60FB6}"/>
    <cellStyle name="Comma 4 3 5 4 2 3" xfId="12240" xr:uid="{574D9ACE-4D14-4AF9-84F8-F663C1D0C7A3}"/>
    <cellStyle name="Comma 4 3 5 4 3" xfId="5863" xr:uid="{00000000-0005-0000-0000-0000BE090000}"/>
    <cellStyle name="Comma 4 3 5 4 3 2" xfId="14313" xr:uid="{E6D24E37-3B70-4455-B296-A744DA7AF544}"/>
    <cellStyle name="Comma 4 3 5 4 4" xfId="10095" xr:uid="{9CBA850A-B43A-43A3-9FE5-8EBACEE4E48F}"/>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51658720-D3D8-471B-8DB5-23185D8E15AA}"/>
    <cellStyle name="Comma 4 3 5 5 2 3" xfId="12653" xr:uid="{D8A9BD60-1AC4-4126-A48A-638DAA4491D4}"/>
    <cellStyle name="Comma 4 3 5 5 3" xfId="6276" xr:uid="{00000000-0005-0000-0000-0000C2090000}"/>
    <cellStyle name="Comma 4 3 5 5 3 2" xfId="14726" xr:uid="{99795029-0CDB-4944-8C0D-FC93BDB58E51}"/>
    <cellStyle name="Comma 4 3 5 5 4" xfId="10508" xr:uid="{CEBB0F2C-8762-4C4D-A7CB-CA8311836D7C}"/>
    <cellStyle name="Comma 4 3 5 6" xfId="2405" xr:uid="{00000000-0005-0000-0000-0000C3090000}"/>
    <cellStyle name="Comma 4 3 5 6 2" xfId="6689" xr:uid="{00000000-0005-0000-0000-0000C4090000}"/>
    <cellStyle name="Comma 4 3 5 6 2 2" xfId="15139" xr:uid="{BC2398FC-56D1-4133-AD2E-66C990C7E133}"/>
    <cellStyle name="Comma 4 3 5 6 3" xfId="10921" xr:uid="{B56916A5-645F-4607-A0CB-F0DD3BAB2168}"/>
    <cellStyle name="Comma 4 3 5 7" xfId="2701" xr:uid="{00000000-0005-0000-0000-0000C5090000}"/>
    <cellStyle name="Comma 4 3 5 8" xfId="2783" xr:uid="{00000000-0005-0000-0000-0000C6090000}"/>
    <cellStyle name="Comma 4 3 5 8 2" xfId="7006" xr:uid="{00000000-0005-0000-0000-0000C7090000}"/>
    <cellStyle name="Comma 4 3 5 8 2 2" xfId="15456" xr:uid="{1FE07A4F-FB40-4BB6-8659-F642DFEC2CDB}"/>
    <cellStyle name="Comma 4 3 5 8 3" xfId="11238" xr:uid="{C7467539-D05E-4518-8F2D-4E59B068B998}"/>
    <cellStyle name="Comma 4 3 5 9" xfId="4623" xr:uid="{00000000-0005-0000-0000-0000C8090000}"/>
    <cellStyle name="Comma 4 3 5 9 2" xfId="13073" xr:uid="{9F8323DF-5015-4BB3-A31A-E3FF0086932F}"/>
    <cellStyle name="Comma 4 4" xfId="153" xr:uid="{00000000-0005-0000-0000-0000C9090000}"/>
    <cellStyle name="Comma 4 4 10" xfId="2784" xr:uid="{00000000-0005-0000-0000-0000CA090000}"/>
    <cellStyle name="Comma 4 4 10 2" xfId="7007" xr:uid="{00000000-0005-0000-0000-0000CB090000}"/>
    <cellStyle name="Comma 4 4 10 2 2" xfId="15457" xr:uid="{7C5B0031-7D39-4229-A0AA-7A50E040E52F}"/>
    <cellStyle name="Comma 4 4 10 3" xfId="11239" xr:uid="{8046A643-EB72-4430-913D-36704D2F2BD2}"/>
    <cellStyle name="Comma 4 4 11" xfId="4624" xr:uid="{00000000-0005-0000-0000-0000CC090000}"/>
    <cellStyle name="Comma 4 4 11 2" xfId="13074" xr:uid="{0DBD74B5-BBF4-4F76-8043-028BA827B2FB}"/>
    <cellStyle name="Comma 4 4 12" xfId="8856" xr:uid="{16EDDCE8-17B4-4B05-80FA-D0BF30B8A111}"/>
    <cellStyle name="Comma 4 4 2" xfId="154" xr:uid="{00000000-0005-0000-0000-0000CD090000}"/>
    <cellStyle name="Comma 4 4 2 10" xfId="4625" xr:uid="{00000000-0005-0000-0000-0000CE090000}"/>
    <cellStyle name="Comma 4 4 2 10 2" xfId="13075" xr:uid="{B23E1E3C-349A-4DC0-840E-C6A5EFB9DABD}"/>
    <cellStyle name="Comma 4 4 2 11" xfId="8857" xr:uid="{AE56C539-FB34-4628-97B8-7BD43F11DDE5}"/>
    <cellStyle name="Comma 4 4 2 2" xfId="155" xr:uid="{00000000-0005-0000-0000-0000CF090000}"/>
    <cellStyle name="Comma 4 4 2 2 10" xfId="8858" xr:uid="{D0681CB0-1F03-449E-BDAA-4BDCBCF929EA}"/>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C4E136D8-5B7D-4E35-9169-FBD7481E57C1}"/>
    <cellStyle name="Comma 4 4 2 2 2 2 3" xfId="11417" xr:uid="{90AC27EF-C009-4C42-A08E-BE6F6F1CFE4C}"/>
    <cellStyle name="Comma 4 4 2 2 2 3" xfId="5040" xr:uid="{00000000-0005-0000-0000-0000D3090000}"/>
    <cellStyle name="Comma 4 4 2 2 2 3 2" xfId="13490" xr:uid="{9E46CD54-4E32-4CCA-BD42-D8D5B2EBF4E0}"/>
    <cellStyle name="Comma 4 4 2 2 2 4" xfId="9272" xr:uid="{25E22F87-4E75-4A1F-9076-7C5C9E0DE3E2}"/>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043B7D24-DDA3-41CD-AFA0-0000B58B8DBF}"/>
    <cellStyle name="Comma 4 4 2 2 3 2 3" xfId="11830" xr:uid="{80696C98-C253-42F8-B6DD-5EB1C85937BC}"/>
    <cellStyle name="Comma 4 4 2 2 3 3" xfId="5453" xr:uid="{00000000-0005-0000-0000-0000D7090000}"/>
    <cellStyle name="Comma 4 4 2 2 3 3 2" xfId="13903" xr:uid="{3E2FDB7A-4D28-4B4D-948B-2CEC4A40B51B}"/>
    <cellStyle name="Comma 4 4 2 2 3 4" xfId="9685" xr:uid="{7312E59C-ED91-485F-8F66-9AFB4F3CB593}"/>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6A05695B-07A7-4088-B473-D20AD94A5B85}"/>
    <cellStyle name="Comma 4 4 2 2 4 2 3" xfId="12243" xr:uid="{0B68F456-7459-41E9-9F97-C0113712F47C}"/>
    <cellStyle name="Comma 4 4 2 2 4 3" xfId="5866" xr:uid="{00000000-0005-0000-0000-0000DB090000}"/>
    <cellStyle name="Comma 4 4 2 2 4 3 2" xfId="14316" xr:uid="{73AAFDF3-B96A-4F38-92C8-8A0D753127DC}"/>
    <cellStyle name="Comma 4 4 2 2 4 4" xfId="10098" xr:uid="{80DE4A58-8081-40C8-AB32-695A8BC8A25C}"/>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2C53A771-C149-4EA1-8492-F1AB94E45E7D}"/>
    <cellStyle name="Comma 4 4 2 2 5 2 3" xfId="12656" xr:uid="{43A3DE05-E27D-408B-864D-FA2020995DE8}"/>
    <cellStyle name="Comma 4 4 2 2 5 3" xfId="6279" xr:uid="{00000000-0005-0000-0000-0000DF090000}"/>
    <cellStyle name="Comma 4 4 2 2 5 3 2" xfId="14729" xr:uid="{DCA431B5-490F-4BC9-887F-AA6EA25404B1}"/>
    <cellStyle name="Comma 4 4 2 2 5 4" xfId="10511" xr:uid="{E6587FE6-2D0D-47C2-8FAF-C902A1A046F0}"/>
    <cellStyle name="Comma 4 4 2 2 6" xfId="2408" xr:uid="{00000000-0005-0000-0000-0000E0090000}"/>
    <cellStyle name="Comma 4 4 2 2 6 2" xfId="6692" xr:uid="{00000000-0005-0000-0000-0000E1090000}"/>
    <cellStyle name="Comma 4 4 2 2 6 2 2" xfId="15142" xr:uid="{CB4C7A4E-892B-4F98-8CC9-78ED074AB40B}"/>
    <cellStyle name="Comma 4 4 2 2 6 3" xfId="10924" xr:uid="{4DD6FA35-B5B3-4999-B4C6-5F8C2DF783ED}"/>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D0C1212E-CC8E-4054-A349-A6845F157D9A}"/>
    <cellStyle name="Comma 4 4 2 2 8 3" xfId="11241" xr:uid="{B9A2238D-C6F3-4944-9F77-17AB804752E0}"/>
    <cellStyle name="Comma 4 4 2 2 9" xfId="4626" xr:uid="{00000000-0005-0000-0000-0000E5090000}"/>
    <cellStyle name="Comma 4 4 2 2 9 2" xfId="13076" xr:uid="{0D2444AE-48BA-4590-BBB6-AB0EE4EBEB4B}"/>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48FF9890-CA41-40D3-B43C-3C6C63510A52}"/>
    <cellStyle name="Comma 4 4 2 3 2 3" xfId="11416" xr:uid="{593183D2-35C8-438F-8096-A96EB3092462}"/>
    <cellStyle name="Comma 4 4 2 3 3" xfId="5039" xr:uid="{00000000-0005-0000-0000-0000E9090000}"/>
    <cellStyle name="Comma 4 4 2 3 3 2" xfId="13489" xr:uid="{9EA548BD-4E9E-4A50-882A-D39266DA5151}"/>
    <cellStyle name="Comma 4 4 2 3 4" xfId="9271" xr:uid="{FC45F0CA-59D3-41B9-B944-4898E2A354F4}"/>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3201E479-5F5B-4434-A723-51A8C6F38C0C}"/>
    <cellStyle name="Comma 4 4 2 4 2 3" xfId="11829" xr:uid="{40BD356A-55F2-4738-ACF7-0B4BAB9E61D6}"/>
    <cellStyle name="Comma 4 4 2 4 3" xfId="5452" xr:uid="{00000000-0005-0000-0000-0000ED090000}"/>
    <cellStyle name="Comma 4 4 2 4 3 2" xfId="13902" xr:uid="{D4B9400C-FDBC-441B-9638-F2C607D83F2C}"/>
    <cellStyle name="Comma 4 4 2 4 4" xfId="9684" xr:uid="{D5B2E86C-CE31-4D81-977E-369AE9CD290B}"/>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2ACF93E4-5A3D-4D38-BD29-571F61697467}"/>
    <cellStyle name="Comma 4 4 2 5 2 3" xfId="12242" xr:uid="{15C8222A-DFC8-4658-B5DA-2AD636E0DBA8}"/>
    <cellStyle name="Comma 4 4 2 5 3" xfId="5865" xr:uid="{00000000-0005-0000-0000-0000F1090000}"/>
    <cellStyle name="Comma 4 4 2 5 3 2" xfId="14315" xr:uid="{3A4FE07F-FC7A-4CB2-A4F1-7C1D44EAC24F}"/>
    <cellStyle name="Comma 4 4 2 5 4" xfId="10097" xr:uid="{973B3CEC-EB51-4318-8E24-3DFEA793F348}"/>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C62F8CF3-4F32-443E-A87B-08484C0BEFA0}"/>
    <cellStyle name="Comma 4 4 2 6 2 3" xfId="12655" xr:uid="{D513698E-5CED-4639-8206-1E725866396D}"/>
    <cellStyle name="Comma 4 4 2 6 3" xfId="6278" xr:uid="{00000000-0005-0000-0000-0000F5090000}"/>
    <cellStyle name="Comma 4 4 2 6 3 2" xfId="14728" xr:uid="{4E9815C6-DB96-4A34-9364-90CFD19B79D0}"/>
    <cellStyle name="Comma 4 4 2 6 4" xfId="10510" xr:uid="{03EB6989-8CC1-4E08-9755-AFA07BF102B4}"/>
    <cellStyle name="Comma 4 4 2 7" xfId="2407" xr:uid="{00000000-0005-0000-0000-0000F6090000}"/>
    <cellStyle name="Comma 4 4 2 7 2" xfId="6691" xr:uid="{00000000-0005-0000-0000-0000F7090000}"/>
    <cellStyle name="Comma 4 4 2 7 2 2" xfId="15141" xr:uid="{B3A5ECA4-CE5B-42FD-ADC4-59C9DB613DA0}"/>
    <cellStyle name="Comma 4 4 2 7 3" xfId="10923" xr:uid="{6B62B577-C0F5-4950-8950-EBFC44B3C089}"/>
    <cellStyle name="Comma 4 4 2 8" xfId="2703" xr:uid="{00000000-0005-0000-0000-0000F8090000}"/>
    <cellStyle name="Comma 4 4 2 9" xfId="2785" xr:uid="{00000000-0005-0000-0000-0000F9090000}"/>
    <cellStyle name="Comma 4 4 2 9 2" xfId="7008" xr:uid="{00000000-0005-0000-0000-0000FA090000}"/>
    <cellStyle name="Comma 4 4 2 9 2 2" xfId="15458" xr:uid="{F40ECF55-79A1-436B-8013-01BDF141D337}"/>
    <cellStyle name="Comma 4 4 2 9 3" xfId="11240" xr:uid="{107BCDF1-8B79-4D61-A8DF-0A45B4A3C8C8}"/>
    <cellStyle name="Comma 4 4 3" xfId="156" xr:uid="{00000000-0005-0000-0000-0000FB090000}"/>
    <cellStyle name="Comma 4 4 3 10" xfId="8859" xr:uid="{E8613BF1-A4E1-4A18-AC5E-E615A2DECD0B}"/>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7C07C8CB-232C-413C-A4D4-29A78B96D2E4}"/>
    <cellStyle name="Comma 4 4 3 2 2 3" xfId="11418" xr:uid="{8AEA11CA-B845-48BF-9E34-48C4907074BB}"/>
    <cellStyle name="Comma 4 4 3 2 3" xfId="5041" xr:uid="{00000000-0005-0000-0000-0000FF090000}"/>
    <cellStyle name="Comma 4 4 3 2 3 2" xfId="13491" xr:uid="{349695AA-9169-4BAF-8D05-2E5289AAD1CA}"/>
    <cellStyle name="Comma 4 4 3 2 4" xfId="9273" xr:uid="{7076E957-02C0-4E39-B3FE-DF402146420F}"/>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C467135A-F200-4D4F-8E14-7C9D9A508CFF}"/>
    <cellStyle name="Comma 4 4 3 3 2 3" xfId="11831" xr:uid="{5EAA2273-C458-4DB2-AD50-29BE569D2158}"/>
    <cellStyle name="Comma 4 4 3 3 3" xfId="5454" xr:uid="{00000000-0005-0000-0000-0000030A0000}"/>
    <cellStyle name="Comma 4 4 3 3 3 2" xfId="13904" xr:uid="{D9465BA7-8941-427A-925D-1343B6766A9B}"/>
    <cellStyle name="Comma 4 4 3 3 4" xfId="9686" xr:uid="{E0BAB1C3-0C30-4BF7-8E81-B7A45C7FEAC3}"/>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41A1BB43-BF76-4718-81E2-9E34E45BA0BB}"/>
    <cellStyle name="Comma 4 4 3 4 2 3" xfId="12244" xr:uid="{536E8F43-CBDC-492C-9E0E-8BBFEE3D452F}"/>
    <cellStyle name="Comma 4 4 3 4 3" xfId="5867" xr:uid="{00000000-0005-0000-0000-0000070A0000}"/>
    <cellStyle name="Comma 4 4 3 4 3 2" xfId="14317" xr:uid="{F51D1188-5031-49AE-94C1-09851870D9E0}"/>
    <cellStyle name="Comma 4 4 3 4 4" xfId="10099" xr:uid="{279F9936-FF0F-4152-AB29-696284498104}"/>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96EE5E01-EF0E-4310-894E-B68D244A4713}"/>
    <cellStyle name="Comma 4 4 3 5 2 3" xfId="12657" xr:uid="{D92252F3-182C-4BD8-A4F8-69F9BFAEB45D}"/>
    <cellStyle name="Comma 4 4 3 5 3" xfId="6280" xr:uid="{00000000-0005-0000-0000-00000B0A0000}"/>
    <cellStyle name="Comma 4 4 3 5 3 2" xfId="14730" xr:uid="{5BF20C77-3255-4D82-A078-626CBDA214CE}"/>
    <cellStyle name="Comma 4 4 3 5 4" xfId="10512" xr:uid="{3A7D4358-EE8A-42F2-93E3-69CFBB918C70}"/>
    <cellStyle name="Comma 4 4 3 6" xfId="2409" xr:uid="{00000000-0005-0000-0000-00000C0A0000}"/>
    <cellStyle name="Comma 4 4 3 6 2" xfId="6693" xr:uid="{00000000-0005-0000-0000-00000D0A0000}"/>
    <cellStyle name="Comma 4 4 3 6 2 2" xfId="15143" xr:uid="{C05B08FF-BDF1-4442-9038-30921A332EA1}"/>
    <cellStyle name="Comma 4 4 3 6 3" xfId="10925" xr:uid="{6902F64A-CD4C-4B25-AE4F-7D72AB153C8C}"/>
    <cellStyle name="Comma 4 4 3 7" xfId="2705" xr:uid="{00000000-0005-0000-0000-00000E0A0000}"/>
    <cellStyle name="Comma 4 4 3 8" xfId="2787" xr:uid="{00000000-0005-0000-0000-00000F0A0000}"/>
    <cellStyle name="Comma 4 4 3 8 2" xfId="7010" xr:uid="{00000000-0005-0000-0000-0000100A0000}"/>
    <cellStyle name="Comma 4 4 3 8 2 2" xfId="15460" xr:uid="{F9C10EEA-B3A6-47A3-B7DC-75631C8096DB}"/>
    <cellStyle name="Comma 4 4 3 8 3" xfId="11242" xr:uid="{5957A87C-0F85-4AD8-B27E-C75B8DA5F5AD}"/>
    <cellStyle name="Comma 4 4 3 9" xfId="4627" xr:uid="{00000000-0005-0000-0000-0000110A0000}"/>
    <cellStyle name="Comma 4 4 3 9 2" xfId="13077" xr:uid="{B96653F5-7683-4CE3-A2DF-88D67A4BDC77}"/>
    <cellStyle name="Comma 4 4 4" xfId="690" xr:uid="{00000000-0005-0000-0000-0000120A0000}"/>
    <cellStyle name="Comma 4 4 4 2" xfId="2961" xr:uid="{00000000-0005-0000-0000-0000130A0000}"/>
    <cellStyle name="Comma 4 4 4 2 2" xfId="7183" xr:uid="{00000000-0005-0000-0000-0000140A0000}"/>
    <cellStyle name="Comma 4 4 4 2 2 2" xfId="15633" xr:uid="{8CFA9ED0-C56F-4BA3-8279-69FA4BDE65F7}"/>
    <cellStyle name="Comma 4 4 4 2 3" xfId="11415" xr:uid="{56C4CB34-DE76-4463-8137-A560A4F4EF04}"/>
    <cellStyle name="Comma 4 4 4 3" xfId="5038" xr:uid="{00000000-0005-0000-0000-0000150A0000}"/>
    <cellStyle name="Comma 4 4 4 3 2" xfId="13488" xr:uid="{416250FF-D194-4A86-A0E8-7BC2F2F11A67}"/>
    <cellStyle name="Comma 4 4 4 4" xfId="9270" xr:uid="{59A68D14-C8F2-41AA-A7B6-DE406AA8F495}"/>
    <cellStyle name="Comma 4 4 5" xfId="1143" xr:uid="{00000000-0005-0000-0000-0000160A0000}"/>
    <cellStyle name="Comma 4 4 5 2" xfId="3374" xr:uid="{00000000-0005-0000-0000-0000170A0000}"/>
    <cellStyle name="Comma 4 4 5 2 2" xfId="7596" xr:uid="{00000000-0005-0000-0000-0000180A0000}"/>
    <cellStyle name="Comma 4 4 5 2 2 2" xfId="16046" xr:uid="{3A0C5EA1-CC84-4771-9DE9-DDBCA32DD2A7}"/>
    <cellStyle name="Comma 4 4 5 2 3" xfId="11828" xr:uid="{90FBB8F1-C4D5-4B2F-A915-8776A5CED9BC}"/>
    <cellStyle name="Comma 4 4 5 3" xfId="5451" xr:uid="{00000000-0005-0000-0000-0000190A0000}"/>
    <cellStyle name="Comma 4 4 5 3 2" xfId="13901" xr:uid="{123AC139-5CC3-4713-BD6C-4ACE190063E1}"/>
    <cellStyle name="Comma 4 4 5 4" xfId="9683" xr:uid="{864F508B-8407-4F66-A31F-623C61672150}"/>
    <cellStyle name="Comma 4 4 6" xfId="1557" xr:uid="{00000000-0005-0000-0000-00001A0A0000}"/>
    <cellStyle name="Comma 4 4 6 2" xfId="3787" xr:uid="{00000000-0005-0000-0000-00001B0A0000}"/>
    <cellStyle name="Comma 4 4 6 2 2" xfId="8009" xr:uid="{00000000-0005-0000-0000-00001C0A0000}"/>
    <cellStyle name="Comma 4 4 6 2 2 2" xfId="16459" xr:uid="{3707B20A-14DB-42E7-87A0-8817A5A12F48}"/>
    <cellStyle name="Comma 4 4 6 2 3" xfId="12241" xr:uid="{95EA8616-9919-4AB0-AB25-7201059E2EEB}"/>
    <cellStyle name="Comma 4 4 6 3" xfId="5864" xr:uid="{00000000-0005-0000-0000-00001D0A0000}"/>
    <cellStyle name="Comma 4 4 6 3 2" xfId="14314" xr:uid="{9ACE9DD6-C910-4C4A-A7C4-B584346A6E9A}"/>
    <cellStyle name="Comma 4 4 6 4" xfId="10096" xr:uid="{3729FA08-8A5C-4185-B432-55E8CE64E050}"/>
    <cellStyle name="Comma 4 4 7" xfId="1971" xr:uid="{00000000-0005-0000-0000-00001E0A0000}"/>
    <cellStyle name="Comma 4 4 7 2" xfId="4200" xr:uid="{00000000-0005-0000-0000-00001F0A0000}"/>
    <cellStyle name="Comma 4 4 7 2 2" xfId="8422" xr:uid="{00000000-0005-0000-0000-0000200A0000}"/>
    <cellStyle name="Comma 4 4 7 2 2 2" xfId="16872" xr:uid="{7A9EEB63-5D9B-41DE-9D69-370F50759E84}"/>
    <cellStyle name="Comma 4 4 7 2 3" xfId="12654" xr:uid="{5F3FCE24-D09F-48E5-A6C3-2B9E2B858E0C}"/>
    <cellStyle name="Comma 4 4 7 3" xfId="6277" xr:uid="{00000000-0005-0000-0000-0000210A0000}"/>
    <cellStyle name="Comma 4 4 7 3 2" xfId="14727" xr:uid="{F9C25FE7-3C2D-41E6-932D-B4AFBDD71F34}"/>
    <cellStyle name="Comma 4 4 7 4" xfId="10509" xr:uid="{0515D242-3251-4262-802B-C6A869D4C251}"/>
    <cellStyle name="Comma 4 4 8" xfId="2406" xr:uid="{00000000-0005-0000-0000-0000220A0000}"/>
    <cellStyle name="Comma 4 4 8 2" xfId="6690" xr:uid="{00000000-0005-0000-0000-0000230A0000}"/>
    <cellStyle name="Comma 4 4 8 2 2" xfId="15140" xr:uid="{D7CC7E51-2D56-48C6-A192-13B9133F2C0B}"/>
    <cellStyle name="Comma 4 4 8 3" xfId="10922" xr:uid="{098DAD05-E928-4D08-8D22-192A88E7F5F9}"/>
    <cellStyle name="Comma 4 4 9" xfId="2702" xr:uid="{00000000-0005-0000-0000-0000240A0000}"/>
    <cellStyle name="Comma 4 5" xfId="157" xr:uid="{00000000-0005-0000-0000-0000250A0000}"/>
    <cellStyle name="Comma 4 5 10" xfId="4628" xr:uid="{00000000-0005-0000-0000-0000260A0000}"/>
    <cellStyle name="Comma 4 5 10 2" xfId="13078" xr:uid="{59317260-29F5-41A1-9EC3-349FBBE25D32}"/>
    <cellStyle name="Comma 4 5 11" xfId="8860" xr:uid="{279B03B4-520C-45DB-9D20-0C3724546845}"/>
    <cellStyle name="Comma 4 5 2" xfId="158" xr:uid="{00000000-0005-0000-0000-0000270A0000}"/>
    <cellStyle name="Comma 4 5 2 10" xfId="8861" xr:uid="{C3CF2FB2-7484-4638-9B71-2C8F66E55EC7}"/>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1B4946A0-23B2-4C3B-A33B-2959444A300C}"/>
    <cellStyle name="Comma 4 5 2 2 2 3" xfId="11420" xr:uid="{6C765AA5-131C-4FF8-A192-5EDC6622BCAB}"/>
    <cellStyle name="Comma 4 5 2 2 3" xfId="5043" xr:uid="{00000000-0005-0000-0000-00002B0A0000}"/>
    <cellStyle name="Comma 4 5 2 2 3 2" xfId="13493" xr:uid="{6AB34687-5729-407F-AC58-05F187BED392}"/>
    <cellStyle name="Comma 4 5 2 2 4" xfId="9275" xr:uid="{F9E18FCD-B84A-4888-93BC-B9FD57338F7B}"/>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F77FDF32-489F-4DAD-A909-49CFE4E037CE}"/>
    <cellStyle name="Comma 4 5 2 3 2 3" xfId="11833" xr:uid="{42065AE4-56CA-463C-9B60-737D1505BDC8}"/>
    <cellStyle name="Comma 4 5 2 3 3" xfId="5456" xr:uid="{00000000-0005-0000-0000-00002F0A0000}"/>
    <cellStyle name="Comma 4 5 2 3 3 2" xfId="13906" xr:uid="{202A3703-E056-4035-A72D-8F1B870A2462}"/>
    <cellStyle name="Comma 4 5 2 3 4" xfId="9688" xr:uid="{72836433-064B-407F-A0A1-306F4FF48766}"/>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BE6ADA7A-B73A-453E-9992-1B93D61CCCAF}"/>
    <cellStyle name="Comma 4 5 2 4 2 3" xfId="12246" xr:uid="{4A033D56-D112-4A1E-9BBF-EDFE1962C006}"/>
    <cellStyle name="Comma 4 5 2 4 3" xfId="5869" xr:uid="{00000000-0005-0000-0000-0000330A0000}"/>
    <cellStyle name="Comma 4 5 2 4 3 2" xfId="14319" xr:uid="{435E1584-373D-48AF-83FB-DFA0CF1BDBEB}"/>
    <cellStyle name="Comma 4 5 2 4 4" xfId="10101" xr:uid="{B923678F-A675-4DCE-B324-DBC153FC5142}"/>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7E470360-E6A9-46F0-9090-81790DEA99AE}"/>
    <cellStyle name="Comma 4 5 2 5 2 3" xfId="12659" xr:uid="{70E70314-683C-4457-92E6-33353B86FBD6}"/>
    <cellStyle name="Comma 4 5 2 5 3" xfId="6282" xr:uid="{00000000-0005-0000-0000-0000370A0000}"/>
    <cellStyle name="Comma 4 5 2 5 3 2" xfId="14732" xr:uid="{05C5997A-48A4-4B3F-BE7B-E206E3BB87A7}"/>
    <cellStyle name="Comma 4 5 2 5 4" xfId="10514" xr:uid="{55174FB4-5D1F-46C5-9B5D-F3523460221B}"/>
    <cellStyle name="Comma 4 5 2 6" xfId="2411" xr:uid="{00000000-0005-0000-0000-0000380A0000}"/>
    <cellStyle name="Comma 4 5 2 6 2" xfId="6695" xr:uid="{00000000-0005-0000-0000-0000390A0000}"/>
    <cellStyle name="Comma 4 5 2 6 2 2" xfId="15145" xr:uid="{97C5FE7F-3F6F-4335-93B5-DEF6D8717D63}"/>
    <cellStyle name="Comma 4 5 2 6 3" xfId="10927" xr:uid="{D05FF4DE-28AD-48A7-9F8A-1A72C6D037B9}"/>
    <cellStyle name="Comma 4 5 2 7" xfId="2707" xr:uid="{00000000-0005-0000-0000-00003A0A0000}"/>
    <cellStyle name="Comma 4 5 2 8" xfId="2789" xr:uid="{00000000-0005-0000-0000-00003B0A0000}"/>
    <cellStyle name="Comma 4 5 2 8 2" xfId="7012" xr:uid="{00000000-0005-0000-0000-00003C0A0000}"/>
    <cellStyle name="Comma 4 5 2 8 2 2" xfId="15462" xr:uid="{489CC887-6D8F-4339-8F5C-4F3ECAF28B45}"/>
    <cellStyle name="Comma 4 5 2 8 3" xfId="11244" xr:uid="{E0C3CD4C-72F6-4790-954D-44AD13C77595}"/>
    <cellStyle name="Comma 4 5 2 9" xfId="4629" xr:uid="{00000000-0005-0000-0000-00003D0A0000}"/>
    <cellStyle name="Comma 4 5 2 9 2" xfId="13079" xr:uid="{A7CC7985-CD81-4EC2-B92C-9DA58E264109}"/>
    <cellStyle name="Comma 4 5 3" xfId="694" xr:uid="{00000000-0005-0000-0000-00003E0A0000}"/>
    <cellStyle name="Comma 4 5 3 2" xfId="2965" xr:uid="{00000000-0005-0000-0000-00003F0A0000}"/>
    <cellStyle name="Comma 4 5 3 2 2" xfId="7187" xr:uid="{00000000-0005-0000-0000-0000400A0000}"/>
    <cellStyle name="Comma 4 5 3 2 2 2" xfId="15637" xr:uid="{990626AD-8DE2-485F-9833-F24402A630B2}"/>
    <cellStyle name="Comma 4 5 3 2 3" xfId="11419" xr:uid="{8BEF4665-5C49-4301-AF60-F4D8323653CC}"/>
    <cellStyle name="Comma 4 5 3 3" xfId="5042" xr:uid="{00000000-0005-0000-0000-0000410A0000}"/>
    <cellStyle name="Comma 4 5 3 3 2" xfId="13492" xr:uid="{58BEDC1F-DCC4-4F75-9EAD-FE56E1819089}"/>
    <cellStyle name="Comma 4 5 3 4" xfId="9274" xr:uid="{C6EC87D3-CEF4-4F7B-9E4D-3F0DB1FCA0B3}"/>
    <cellStyle name="Comma 4 5 4" xfId="1147" xr:uid="{00000000-0005-0000-0000-0000420A0000}"/>
    <cellStyle name="Comma 4 5 4 2" xfId="3378" xr:uid="{00000000-0005-0000-0000-0000430A0000}"/>
    <cellStyle name="Comma 4 5 4 2 2" xfId="7600" xr:uid="{00000000-0005-0000-0000-0000440A0000}"/>
    <cellStyle name="Comma 4 5 4 2 2 2" xfId="16050" xr:uid="{0B4329B3-F7CC-432A-84BB-891BC3E2D5F9}"/>
    <cellStyle name="Comma 4 5 4 2 3" xfId="11832" xr:uid="{0491277B-2D6D-4667-9B88-2E0AB776CD6C}"/>
    <cellStyle name="Comma 4 5 4 3" xfId="5455" xr:uid="{00000000-0005-0000-0000-0000450A0000}"/>
    <cellStyle name="Comma 4 5 4 3 2" xfId="13905" xr:uid="{481D4F6B-495B-47CB-9016-79CD07993D07}"/>
    <cellStyle name="Comma 4 5 4 4" xfId="9687" xr:uid="{4F49781A-B088-4EA4-8F62-5912934811D1}"/>
    <cellStyle name="Comma 4 5 5" xfId="1561" xr:uid="{00000000-0005-0000-0000-0000460A0000}"/>
    <cellStyle name="Comma 4 5 5 2" xfId="3791" xr:uid="{00000000-0005-0000-0000-0000470A0000}"/>
    <cellStyle name="Comma 4 5 5 2 2" xfId="8013" xr:uid="{00000000-0005-0000-0000-0000480A0000}"/>
    <cellStyle name="Comma 4 5 5 2 2 2" xfId="16463" xr:uid="{276ECCC3-E859-4CD4-8AA8-57A3F5D0A776}"/>
    <cellStyle name="Comma 4 5 5 2 3" xfId="12245" xr:uid="{9E2D9ED4-9A9D-4150-B9B7-E5685F56B417}"/>
    <cellStyle name="Comma 4 5 5 3" xfId="5868" xr:uid="{00000000-0005-0000-0000-0000490A0000}"/>
    <cellStyle name="Comma 4 5 5 3 2" xfId="14318" xr:uid="{31E72B2D-9035-4051-AD36-9F7623854ED5}"/>
    <cellStyle name="Comma 4 5 5 4" xfId="10100" xr:uid="{6E032909-C489-4E5C-9E4C-61D564BCDE5E}"/>
    <cellStyle name="Comma 4 5 6" xfId="1975" xr:uid="{00000000-0005-0000-0000-00004A0A0000}"/>
    <cellStyle name="Comma 4 5 6 2" xfId="4204" xr:uid="{00000000-0005-0000-0000-00004B0A0000}"/>
    <cellStyle name="Comma 4 5 6 2 2" xfId="8426" xr:uid="{00000000-0005-0000-0000-00004C0A0000}"/>
    <cellStyle name="Comma 4 5 6 2 2 2" xfId="16876" xr:uid="{3B19653A-B55D-442D-BFC0-5A750C490BCD}"/>
    <cellStyle name="Comma 4 5 6 2 3" xfId="12658" xr:uid="{A2484C6F-AEF8-49B0-94C1-46B185E22E37}"/>
    <cellStyle name="Comma 4 5 6 3" xfId="6281" xr:uid="{00000000-0005-0000-0000-00004D0A0000}"/>
    <cellStyle name="Comma 4 5 6 3 2" xfId="14731" xr:uid="{7E9F60A2-C8E3-4908-AB9D-5C2C76D30D69}"/>
    <cellStyle name="Comma 4 5 6 4" xfId="10513" xr:uid="{75882C2E-B42D-4287-A8C7-61807689C7E2}"/>
    <cellStyle name="Comma 4 5 7" xfId="2410" xr:uid="{00000000-0005-0000-0000-00004E0A0000}"/>
    <cellStyle name="Comma 4 5 7 2" xfId="6694" xr:uid="{00000000-0005-0000-0000-00004F0A0000}"/>
    <cellStyle name="Comma 4 5 7 2 2" xfId="15144" xr:uid="{78B0DB4D-2BEA-4596-91F3-E1D19B1ACDAA}"/>
    <cellStyle name="Comma 4 5 7 3" xfId="10926" xr:uid="{4E473DE2-597E-4776-91E7-20B463D68D2E}"/>
    <cellStyle name="Comma 4 5 8" xfId="2706" xr:uid="{00000000-0005-0000-0000-0000500A0000}"/>
    <cellStyle name="Comma 4 5 9" xfId="2788" xr:uid="{00000000-0005-0000-0000-0000510A0000}"/>
    <cellStyle name="Comma 4 5 9 2" xfId="7011" xr:uid="{00000000-0005-0000-0000-0000520A0000}"/>
    <cellStyle name="Comma 4 5 9 2 2" xfId="15461" xr:uid="{A886525A-7D5D-466D-8C3B-29ECF1A78398}"/>
    <cellStyle name="Comma 4 5 9 3" xfId="11243" xr:uid="{1C0FC605-38E0-4AD3-907C-8AA7FB8EFCFE}"/>
    <cellStyle name="Comma 4 6" xfId="159" xr:uid="{00000000-0005-0000-0000-0000530A0000}"/>
    <cellStyle name="Comma 4 6 10" xfId="8862" xr:uid="{4039066C-6F96-45E7-BEFA-4F2BA430DC8F}"/>
    <cellStyle name="Comma 4 6 2" xfId="696" xr:uid="{00000000-0005-0000-0000-0000540A0000}"/>
    <cellStyle name="Comma 4 6 2 2" xfId="2967" xr:uid="{00000000-0005-0000-0000-0000550A0000}"/>
    <cellStyle name="Comma 4 6 2 2 2" xfId="7189" xr:uid="{00000000-0005-0000-0000-0000560A0000}"/>
    <cellStyle name="Comma 4 6 2 2 2 2" xfId="15639" xr:uid="{119007C2-0E1C-4FD2-AD47-BB81820B443C}"/>
    <cellStyle name="Comma 4 6 2 2 3" xfId="11421" xr:uid="{671BFF1C-26EF-4D0F-BD82-BA42E305AD18}"/>
    <cellStyle name="Comma 4 6 2 3" xfId="5044" xr:uid="{00000000-0005-0000-0000-0000570A0000}"/>
    <cellStyle name="Comma 4 6 2 3 2" xfId="13494" xr:uid="{E3933ECD-C221-466B-988B-72DF7B28F343}"/>
    <cellStyle name="Comma 4 6 2 4" xfId="9276" xr:uid="{1B1C1815-6C4C-4FF1-8125-86904FFD4AEE}"/>
    <cellStyle name="Comma 4 6 3" xfId="1149" xr:uid="{00000000-0005-0000-0000-0000580A0000}"/>
    <cellStyle name="Comma 4 6 3 2" xfId="3380" xr:uid="{00000000-0005-0000-0000-0000590A0000}"/>
    <cellStyle name="Comma 4 6 3 2 2" xfId="7602" xr:uid="{00000000-0005-0000-0000-00005A0A0000}"/>
    <cellStyle name="Comma 4 6 3 2 2 2" xfId="16052" xr:uid="{F68D64BE-714F-42EC-A468-38021D245D9A}"/>
    <cellStyle name="Comma 4 6 3 2 3" xfId="11834" xr:uid="{C397FAA6-B8AE-4110-BE98-95D29C534CD4}"/>
    <cellStyle name="Comma 4 6 3 3" xfId="5457" xr:uid="{00000000-0005-0000-0000-00005B0A0000}"/>
    <cellStyle name="Comma 4 6 3 3 2" xfId="13907" xr:uid="{5937A230-6382-4E37-A355-5024E3625F71}"/>
    <cellStyle name="Comma 4 6 3 4" xfId="9689" xr:uid="{493F01E5-9CAB-4EA6-A008-E703292687F6}"/>
    <cellStyle name="Comma 4 6 4" xfId="1563" xr:uid="{00000000-0005-0000-0000-00005C0A0000}"/>
    <cellStyle name="Comma 4 6 4 2" xfId="3793" xr:uid="{00000000-0005-0000-0000-00005D0A0000}"/>
    <cellStyle name="Comma 4 6 4 2 2" xfId="8015" xr:uid="{00000000-0005-0000-0000-00005E0A0000}"/>
    <cellStyle name="Comma 4 6 4 2 2 2" xfId="16465" xr:uid="{F0349745-9999-4F54-BB02-E1A247DCA73F}"/>
    <cellStyle name="Comma 4 6 4 2 3" xfId="12247" xr:uid="{96912952-FB42-4E2F-BB03-262DBE1B2BDA}"/>
    <cellStyle name="Comma 4 6 4 3" xfId="5870" xr:uid="{00000000-0005-0000-0000-00005F0A0000}"/>
    <cellStyle name="Comma 4 6 4 3 2" xfId="14320" xr:uid="{9B41693E-1E40-46EB-BFBE-E79B5D90DACC}"/>
    <cellStyle name="Comma 4 6 4 4" xfId="10102" xr:uid="{983544CA-A384-4538-8B96-65958E789B36}"/>
    <cellStyle name="Comma 4 6 5" xfId="1977" xr:uid="{00000000-0005-0000-0000-0000600A0000}"/>
    <cellStyle name="Comma 4 6 5 2" xfId="4206" xr:uid="{00000000-0005-0000-0000-0000610A0000}"/>
    <cellStyle name="Comma 4 6 5 2 2" xfId="8428" xr:uid="{00000000-0005-0000-0000-0000620A0000}"/>
    <cellStyle name="Comma 4 6 5 2 2 2" xfId="16878" xr:uid="{CCA4CC6C-2529-482A-8F73-2DDEECB36E14}"/>
    <cellStyle name="Comma 4 6 5 2 3" xfId="12660" xr:uid="{847D03F2-2168-431A-973D-22E638AD9E33}"/>
    <cellStyle name="Comma 4 6 5 3" xfId="6283" xr:uid="{00000000-0005-0000-0000-0000630A0000}"/>
    <cellStyle name="Comma 4 6 5 3 2" xfId="14733" xr:uid="{6F14FC1D-0379-4F3E-8363-E9151D8126FB}"/>
    <cellStyle name="Comma 4 6 5 4" xfId="10515" xr:uid="{3075E66E-86BA-4EFD-B91C-72D9D3170CC0}"/>
    <cellStyle name="Comma 4 6 6" xfId="2412" xr:uid="{00000000-0005-0000-0000-0000640A0000}"/>
    <cellStyle name="Comma 4 6 6 2" xfId="6696" xr:uid="{00000000-0005-0000-0000-0000650A0000}"/>
    <cellStyle name="Comma 4 6 6 2 2" xfId="15146" xr:uid="{E3E2C829-76EA-46C3-8813-50D3ED100197}"/>
    <cellStyle name="Comma 4 6 6 3" xfId="10928" xr:uid="{EAD7623F-DE22-44F2-A526-FCBC1ED8157A}"/>
    <cellStyle name="Comma 4 6 7" xfId="2708" xr:uid="{00000000-0005-0000-0000-0000660A0000}"/>
    <cellStyle name="Comma 4 6 8" xfId="2790" xr:uid="{00000000-0005-0000-0000-0000670A0000}"/>
    <cellStyle name="Comma 4 6 8 2" xfId="7013" xr:uid="{00000000-0005-0000-0000-0000680A0000}"/>
    <cellStyle name="Comma 4 6 8 2 2" xfId="15463" xr:uid="{983E7133-81E6-4C45-BF7F-8811BEBC801A}"/>
    <cellStyle name="Comma 4 6 8 3" xfId="11245" xr:uid="{D9CE2DFA-3430-45BE-9541-7CDA11B63FB3}"/>
    <cellStyle name="Comma 4 6 9" xfId="4630" xr:uid="{00000000-0005-0000-0000-0000690A0000}"/>
    <cellStyle name="Comma 4 6 9 2" xfId="13080" xr:uid="{DF99C68D-6F1E-4211-9EB6-1F0B16B67BD2}"/>
    <cellStyle name="Comma 4 7" xfId="160" xr:uid="{00000000-0005-0000-0000-00006A0A0000}"/>
    <cellStyle name="Comma 4 7 10" xfId="8863" xr:uid="{C6952418-9075-442B-89BA-170C90224932}"/>
    <cellStyle name="Comma 4 7 2" xfId="697" xr:uid="{00000000-0005-0000-0000-00006B0A0000}"/>
    <cellStyle name="Comma 4 7 2 2" xfId="2968" xr:uid="{00000000-0005-0000-0000-00006C0A0000}"/>
    <cellStyle name="Comma 4 7 2 2 2" xfId="7190" xr:uid="{00000000-0005-0000-0000-00006D0A0000}"/>
    <cellStyle name="Comma 4 7 2 2 2 2" xfId="15640" xr:uid="{91679A69-9574-4C18-858D-07E4DDEE06D3}"/>
    <cellStyle name="Comma 4 7 2 2 3" xfId="11422" xr:uid="{4773FF93-5396-425E-A42D-E9D1326333C8}"/>
    <cellStyle name="Comma 4 7 2 3" xfId="5045" xr:uid="{00000000-0005-0000-0000-00006E0A0000}"/>
    <cellStyle name="Comma 4 7 2 3 2" xfId="13495" xr:uid="{7D844118-30F2-4506-93F1-571CAF3F7890}"/>
    <cellStyle name="Comma 4 7 2 4" xfId="9277" xr:uid="{07D6429D-F370-490A-9AAD-053F0DBE720F}"/>
    <cellStyle name="Comma 4 7 3" xfId="1150" xr:uid="{00000000-0005-0000-0000-00006F0A0000}"/>
    <cellStyle name="Comma 4 7 3 2" xfId="3381" xr:uid="{00000000-0005-0000-0000-0000700A0000}"/>
    <cellStyle name="Comma 4 7 3 2 2" xfId="7603" xr:uid="{00000000-0005-0000-0000-0000710A0000}"/>
    <cellStyle name="Comma 4 7 3 2 2 2" xfId="16053" xr:uid="{0D9943B0-35AC-44BA-B86D-444EC266A97C}"/>
    <cellStyle name="Comma 4 7 3 2 3" xfId="11835" xr:uid="{EB09823B-89A9-40E1-ADF8-45FDD3D4706F}"/>
    <cellStyle name="Comma 4 7 3 3" xfId="5458" xr:uid="{00000000-0005-0000-0000-0000720A0000}"/>
    <cellStyle name="Comma 4 7 3 3 2" xfId="13908" xr:uid="{76730923-318D-4242-AE34-5153916591A7}"/>
    <cellStyle name="Comma 4 7 3 4" xfId="9690" xr:uid="{9072C5F1-A1C4-4DD0-9CCC-54AB7404E7F4}"/>
    <cellStyle name="Comma 4 7 4" xfId="1564" xr:uid="{00000000-0005-0000-0000-0000730A0000}"/>
    <cellStyle name="Comma 4 7 4 2" xfId="3794" xr:uid="{00000000-0005-0000-0000-0000740A0000}"/>
    <cellStyle name="Comma 4 7 4 2 2" xfId="8016" xr:uid="{00000000-0005-0000-0000-0000750A0000}"/>
    <cellStyle name="Comma 4 7 4 2 2 2" xfId="16466" xr:uid="{C7B77798-678A-445A-A1D5-8CECCE017D61}"/>
    <cellStyle name="Comma 4 7 4 2 3" xfId="12248" xr:uid="{5B31E386-D776-4C91-85D8-AB76783805E5}"/>
    <cellStyle name="Comma 4 7 4 3" xfId="5871" xr:uid="{00000000-0005-0000-0000-0000760A0000}"/>
    <cellStyle name="Comma 4 7 4 3 2" xfId="14321" xr:uid="{0F527189-A1CB-47C8-9F83-34622409EA8B}"/>
    <cellStyle name="Comma 4 7 4 4" xfId="10103" xr:uid="{D474B4ED-4795-4907-B114-B82356929186}"/>
    <cellStyle name="Comma 4 7 5" xfId="1978" xr:uid="{00000000-0005-0000-0000-0000770A0000}"/>
    <cellStyle name="Comma 4 7 5 2" xfId="4207" xr:uid="{00000000-0005-0000-0000-0000780A0000}"/>
    <cellStyle name="Comma 4 7 5 2 2" xfId="8429" xr:uid="{00000000-0005-0000-0000-0000790A0000}"/>
    <cellStyle name="Comma 4 7 5 2 2 2" xfId="16879" xr:uid="{7693B098-9F60-4B4D-B995-4746702C5796}"/>
    <cellStyle name="Comma 4 7 5 2 3" xfId="12661" xr:uid="{DA3BA699-13F1-4CC0-995B-C56BDAFA9343}"/>
    <cellStyle name="Comma 4 7 5 3" xfId="6284" xr:uid="{00000000-0005-0000-0000-00007A0A0000}"/>
    <cellStyle name="Comma 4 7 5 3 2" xfId="14734" xr:uid="{BE26A9B2-41A4-455D-83E9-A58DA437A1EE}"/>
    <cellStyle name="Comma 4 7 5 4" xfId="10516" xr:uid="{40810B5F-C158-4037-8DD0-931E6D046760}"/>
    <cellStyle name="Comma 4 7 6" xfId="2413" xr:uid="{00000000-0005-0000-0000-00007B0A0000}"/>
    <cellStyle name="Comma 4 7 6 2" xfId="6697" xr:uid="{00000000-0005-0000-0000-00007C0A0000}"/>
    <cellStyle name="Comma 4 7 6 2 2" xfId="15147" xr:uid="{6FCBF220-B413-4FA8-933B-0A5003781540}"/>
    <cellStyle name="Comma 4 7 6 3" xfId="10929" xr:uid="{CB5F24B3-C1AB-4E9D-ABAA-53F1BE204BC9}"/>
    <cellStyle name="Comma 4 7 7" xfId="2709" xr:uid="{00000000-0005-0000-0000-00007D0A0000}"/>
    <cellStyle name="Comma 4 7 8" xfId="2791" xr:uid="{00000000-0005-0000-0000-00007E0A0000}"/>
    <cellStyle name="Comma 4 7 8 2" xfId="7014" xr:uid="{00000000-0005-0000-0000-00007F0A0000}"/>
    <cellStyle name="Comma 4 7 8 2 2" xfId="15464" xr:uid="{9207E61B-2F43-4668-931F-310A2CDE047D}"/>
    <cellStyle name="Comma 4 7 8 3" xfId="11246" xr:uid="{F8BC4791-57D0-495D-9E5C-6816C38D75D7}"/>
    <cellStyle name="Comma 4 7 9" xfId="4631" xr:uid="{00000000-0005-0000-0000-0000800A0000}"/>
    <cellStyle name="Comma 4 7 9 2" xfId="13081" xr:uid="{51AB1348-7762-4675-91D3-C640784396BD}"/>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3E9DB395-5869-480F-ADD6-DDD119086311}"/>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7079B6F1-9687-42D1-8FB1-2401DCC69E8F}"/>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D787BAF6-5724-4C54-976F-87483F5E3EBA}"/>
    <cellStyle name="Currency 14 3 2 2 2 3" xfId="17179" xr:uid="{DDB35905-81C2-46E4-BCF0-89B876F55448}"/>
    <cellStyle name="Currency 14 3 2 2 3" xfId="17175" xr:uid="{72A3DD55-1DAE-449E-BD04-BA6CE17E1800}"/>
    <cellStyle name="Currency 14 3 2 3" xfId="17172" xr:uid="{F841E92C-DE14-4CFC-853F-6AF31E638A2C}"/>
    <cellStyle name="Currency 14 3 3" xfId="17169" xr:uid="{9C5C4B87-2931-47C4-8F72-7D8810856CA5}"/>
    <cellStyle name="Currency 14 4" xfId="12952" xr:uid="{088EC8DF-FBCB-4841-AEDD-FB82D41448A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02FD0F28-84C7-400E-A8B8-10704FBF603B}"/>
    <cellStyle name="Currency 3 2 2 10 3" xfId="11247" xr:uid="{EA40991D-28D1-4A50-A70A-CE419249A221}"/>
    <cellStyle name="Currency 3 2 2 11" xfId="4632" xr:uid="{00000000-0005-0000-0000-0000A50A0000}"/>
    <cellStyle name="Currency 3 2 2 11 2" xfId="13082" xr:uid="{6BD2DE8A-72D7-43A2-8061-E3764982E4C6}"/>
    <cellStyle name="Currency 3 2 2 12" xfId="8864" xr:uid="{5FBC20CE-050F-4FC2-B95C-2CED3B8DD2D0}"/>
    <cellStyle name="Currency 3 2 2 2" xfId="179" xr:uid="{00000000-0005-0000-0000-0000A60A0000}"/>
    <cellStyle name="Currency 3 2 2 2 10" xfId="4633" xr:uid="{00000000-0005-0000-0000-0000A70A0000}"/>
    <cellStyle name="Currency 3 2 2 2 10 2" xfId="13083" xr:uid="{721F3CD9-6542-499A-A3B1-070B6B3E65B2}"/>
    <cellStyle name="Currency 3 2 2 2 11" xfId="8865" xr:uid="{8F53A637-4520-47DA-AA9A-C54C945DDE1D}"/>
    <cellStyle name="Currency 3 2 2 2 2" xfId="180" xr:uid="{00000000-0005-0000-0000-0000A80A0000}"/>
    <cellStyle name="Currency 3 2 2 2 2 10" xfId="8866" xr:uid="{4288605D-254F-4410-BE80-058D456E408A}"/>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1EFC0EA8-02D1-4A85-AF62-A96CAFB9D898}"/>
    <cellStyle name="Currency 3 2 2 2 2 2 2 3" xfId="11425" xr:uid="{5F8A9F6F-5275-4934-A58B-4E70145AE287}"/>
    <cellStyle name="Currency 3 2 2 2 2 2 3" xfId="5048" xr:uid="{00000000-0005-0000-0000-0000AC0A0000}"/>
    <cellStyle name="Currency 3 2 2 2 2 2 3 2" xfId="13498" xr:uid="{741F7745-D038-4F86-9858-84DAE91A834D}"/>
    <cellStyle name="Currency 3 2 2 2 2 2 4" xfId="9280" xr:uid="{9FCAAEEB-F901-4676-A213-FAA5BD2DFEB1}"/>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658D18BF-F7EB-4FC8-AEDD-905A47596030}"/>
    <cellStyle name="Currency 3 2 2 2 2 3 2 3" xfId="11838" xr:uid="{C4836AC2-35DB-495E-A27B-27671FAE224E}"/>
    <cellStyle name="Currency 3 2 2 2 2 3 3" xfId="5461" xr:uid="{00000000-0005-0000-0000-0000B00A0000}"/>
    <cellStyle name="Currency 3 2 2 2 2 3 3 2" xfId="13911" xr:uid="{E4EBD897-FB86-4DE4-81BF-0D577B39CED8}"/>
    <cellStyle name="Currency 3 2 2 2 2 3 4" xfId="9693" xr:uid="{336AF133-8C62-412F-9D35-E1DE0AB4CBA4}"/>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AEF758A0-5113-4E76-9950-41BD10A1CCD9}"/>
    <cellStyle name="Currency 3 2 2 2 2 4 2 3" xfId="12251" xr:uid="{B06CE3F4-17D6-4F08-BEBC-7524BD9FD705}"/>
    <cellStyle name="Currency 3 2 2 2 2 4 3" xfId="5874" xr:uid="{00000000-0005-0000-0000-0000B40A0000}"/>
    <cellStyle name="Currency 3 2 2 2 2 4 3 2" xfId="14324" xr:uid="{3482648A-F788-4643-87C3-65F599D200EE}"/>
    <cellStyle name="Currency 3 2 2 2 2 4 4" xfId="10106" xr:uid="{DB2D8227-0075-4B94-A2A4-664AF40D98B2}"/>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B8BBB1E2-54CE-411D-9F3B-B10B409ACEB8}"/>
    <cellStyle name="Currency 3 2 2 2 2 5 2 3" xfId="12664" xr:uid="{EEF071FA-611B-4EC0-9800-0E4F77BC5F88}"/>
    <cellStyle name="Currency 3 2 2 2 2 5 3" xfId="6287" xr:uid="{00000000-0005-0000-0000-0000B80A0000}"/>
    <cellStyle name="Currency 3 2 2 2 2 5 3 2" xfId="14737" xr:uid="{5A2FFB53-C81B-40C4-AA28-0AAA583269A2}"/>
    <cellStyle name="Currency 3 2 2 2 2 5 4" xfId="10519" xr:uid="{B6C56059-0DA6-4703-B04D-44CDF1FF7C54}"/>
    <cellStyle name="Currency 3 2 2 2 2 6" xfId="2416" xr:uid="{00000000-0005-0000-0000-0000B90A0000}"/>
    <cellStyle name="Currency 3 2 2 2 2 6 2" xfId="6700" xr:uid="{00000000-0005-0000-0000-0000BA0A0000}"/>
    <cellStyle name="Currency 3 2 2 2 2 6 2 2" xfId="15150" xr:uid="{F0D615EB-04E8-4A6E-9DD9-B837AE951511}"/>
    <cellStyle name="Currency 3 2 2 2 2 6 3" xfId="10932" xr:uid="{12C17B63-BF4A-4F45-AF4E-C56E92DF5142}"/>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6DA0B893-0EDD-483D-80D2-291DA8E21D8C}"/>
    <cellStyle name="Currency 3 2 2 2 2 8 3" xfId="11249" xr:uid="{95AC74EA-2956-4FAB-BEEE-64875D1FD051}"/>
    <cellStyle name="Currency 3 2 2 2 2 9" xfId="4634" xr:uid="{00000000-0005-0000-0000-0000BE0A0000}"/>
    <cellStyle name="Currency 3 2 2 2 2 9 2" xfId="13084" xr:uid="{0DDB2A0B-A037-4A44-A35B-856D277F4371}"/>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B0D3866D-7056-46D7-8A31-6741BD9E1113}"/>
    <cellStyle name="Currency 3 2 2 2 3 2 3" xfId="11424" xr:uid="{68F3AD61-9E08-441D-9C76-7BECEFA5803B}"/>
    <cellStyle name="Currency 3 2 2 2 3 3" xfId="5047" xr:uid="{00000000-0005-0000-0000-0000C20A0000}"/>
    <cellStyle name="Currency 3 2 2 2 3 3 2" xfId="13497" xr:uid="{D8961886-CD55-4610-817D-14D3CFDD506A}"/>
    <cellStyle name="Currency 3 2 2 2 3 4" xfId="9279" xr:uid="{9412233F-F2F2-496B-90DA-B3CC1868C0A4}"/>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0E794A6D-148B-4C0B-AD19-CD711E21F370}"/>
    <cellStyle name="Currency 3 2 2 2 4 2 3" xfId="11837" xr:uid="{0DAD0C31-4CA4-4474-A04C-B44E3E51413C}"/>
    <cellStyle name="Currency 3 2 2 2 4 3" xfId="5460" xr:uid="{00000000-0005-0000-0000-0000C60A0000}"/>
    <cellStyle name="Currency 3 2 2 2 4 3 2" xfId="13910" xr:uid="{EE932AC1-B1E9-43E6-8D5F-E0CF992BAADF}"/>
    <cellStyle name="Currency 3 2 2 2 4 4" xfId="9692" xr:uid="{A1AAA1E9-9EC2-4B91-8900-54B2D413C92B}"/>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94648FC0-C382-4E14-9CB7-64CAB7E0C21A}"/>
    <cellStyle name="Currency 3 2 2 2 5 2 3" xfId="12250" xr:uid="{04588005-2DC8-4684-8144-FF2FD45AF7E3}"/>
    <cellStyle name="Currency 3 2 2 2 5 3" xfId="5873" xr:uid="{00000000-0005-0000-0000-0000CA0A0000}"/>
    <cellStyle name="Currency 3 2 2 2 5 3 2" xfId="14323" xr:uid="{8D76D15D-9A4A-4F2F-BE5E-2B044DF4F820}"/>
    <cellStyle name="Currency 3 2 2 2 5 4" xfId="10105" xr:uid="{FD1AFCED-AF43-4F99-BEB1-6A59D5E8DDB2}"/>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868E615F-7E5B-4342-8642-9D071E963749}"/>
    <cellStyle name="Currency 3 2 2 2 6 2 3" xfId="12663" xr:uid="{8F1DD4DB-F4CC-4CCD-9F41-DA49C9A2575A}"/>
    <cellStyle name="Currency 3 2 2 2 6 3" xfId="6286" xr:uid="{00000000-0005-0000-0000-0000CE0A0000}"/>
    <cellStyle name="Currency 3 2 2 2 6 3 2" xfId="14736" xr:uid="{31E05F27-FCF7-4A8D-B081-E8760B5C5DC7}"/>
    <cellStyle name="Currency 3 2 2 2 6 4" xfId="10518" xr:uid="{0175A33E-CFCB-4537-A159-8D3796208A2B}"/>
    <cellStyle name="Currency 3 2 2 2 7" xfId="2415" xr:uid="{00000000-0005-0000-0000-0000CF0A0000}"/>
    <cellStyle name="Currency 3 2 2 2 7 2" xfId="6699" xr:uid="{00000000-0005-0000-0000-0000D00A0000}"/>
    <cellStyle name="Currency 3 2 2 2 7 2 2" xfId="15149" xr:uid="{6C3BF96C-969B-487F-A80F-93DD133019CC}"/>
    <cellStyle name="Currency 3 2 2 2 7 3" xfId="10931" xr:uid="{D83A650D-C757-45BC-BFD9-D4B37343B02F}"/>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16527E41-557E-4460-8039-46DCBFEA7947}"/>
    <cellStyle name="Currency 3 2 2 2 9 3" xfId="11248" xr:uid="{0867D089-676B-41ED-B5F7-A5283D058C9C}"/>
    <cellStyle name="Currency 3 2 2 3" xfId="181" xr:uid="{00000000-0005-0000-0000-0000D40A0000}"/>
    <cellStyle name="Currency 3 2 2 3 10" xfId="8867" xr:uid="{1E23F466-C7D5-4B69-8382-79BCDD39DB5E}"/>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310903B6-A535-4FC8-A2C0-F52D36296D50}"/>
    <cellStyle name="Currency 3 2 2 3 2 2 3" xfId="11426" xr:uid="{D958E978-C96B-485D-98CC-02B2969EB64A}"/>
    <cellStyle name="Currency 3 2 2 3 2 3" xfId="5049" xr:uid="{00000000-0005-0000-0000-0000D80A0000}"/>
    <cellStyle name="Currency 3 2 2 3 2 3 2" xfId="13499" xr:uid="{9A9BC22D-1BC1-4704-A1CA-7027D64A501F}"/>
    <cellStyle name="Currency 3 2 2 3 2 4" xfId="9281" xr:uid="{3E27C8BD-493B-4707-8D89-FB4FBB707C4B}"/>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2CEB8002-DC84-4FB4-8661-EC471EA0C275}"/>
    <cellStyle name="Currency 3 2 2 3 3 2 3" xfId="11839" xr:uid="{9240B82D-1D23-4208-A2F2-FE822AEA0040}"/>
    <cellStyle name="Currency 3 2 2 3 3 3" xfId="5462" xr:uid="{00000000-0005-0000-0000-0000DC0A0000}"/>
    <cellStyle name="Currency 3 2 2 3 3 3 2" xfId="13912" xr:uid="{1FCF6DF0-A6AE-4616-8633-FD5AD25BF20F}"/>
    <cellStyle name="Currency 3 2 2 3 3 4" xfId="9694" xr:uid="{24F2D134-3081-42EA-8C50-C29D3185CC2B}"/>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42F3ECBC-D145-4D1C-89A3-4702784F6D33}"/>
    <cellStyle name="Currency 3 2 2 3 4 2 3" xfId="12252" xr:uid="{DB2E5A5B-14FA-4E2B-85B1-17A4E4A27431}"/>
    <cellStyle name="Currency 3 2 2 3 4 3" xfId="5875" xr:uid="{00000000-0005-0000-0000-0000E00A0000}"/>
    <cellStyle name="Currency 3 2 2 3 4 3 2" xfId="14325" xr:uid="{11994B2A-6812-486B-A769-693B5B38EC9B}"/>
    <cellStyle name="Currency 3 2 2 3 4 4" xfId="10107" xr:uid="{1DD5843A-B125-41D3-9792-731CD01BA942}"/>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C09CB16E-DC18-4BBD-9FC8-6A2917446B0C}"/>
    <cellStyle name="Currency 3 2 2 3 5 2 3" xfId="12665" xr:uid="{CAF64CAB-C4C6-4A79-A4AF-14BDCD963406}"/>
    <cellStyle name="Currency 3 2 2 3 5 3" xfId="6288" xr:uid="{00000000-0005-0000-0000-0000E40A0000}"/>
    <cellStyle name="Currency 3 2 2 3 5 3 2" xfId="14738" xr:uid="{7A294014-58FD-46F9-B72D-EF01DAE10767}"/>
    <cellStyle name="Currency 3 2 2 3 5 4" xfId="10520" xr:uid="{108D98C2-9A86-40F6-BE82-58C005EB6F34}"/>
    <cellStyle name="Currency 3 2 2 3 6" xfId="2417" xr:uid="{00000000-0005-0000-0000-0000E50A0000}"/>
    <cellStyle name="Currency 3 2 2 3 6 2" xfId="6701" xr:uid="{00000000-0005-0000-0000-0000E60A0000}"/>
    <cellStyle name="Currency 3 2 2 3 6 2 2" xfId="15151" xr:uid="{D5B457A0-B951-45E2-96C0-A95682689DB1}"/>
    <cellStyle name="Currency 3 2 2 3 6 3" xfId="10933" xr:uid="{EFE5E53F-8A19-4A3B-A54B-18857122F758}"/>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975745D4-9D84-420F-B9F5-F87ABC5B5AD5}"/>
    <cellStyle name="Currency 3 2 2 3 8 3" xfId="11250" xr:uid="{A67DCFB6-6826-41CB-AB98-62C6F07DD4E0}"/>
    <cellStyle name="Currency 3 2 2 3 9" xfId="4635" xr:uid="{00000000-0005-0000-0000-0000EA0A0000}"/>
    <cellStyle name="Currency 3 2 2 3 9 2" xfId="13085" xr:uid="{58D83061-2E34-411A-A98A-7E98C525DD75}"/>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74FF7E18-95E2-4269-A86F-E26807CD998B}"/>
    <cellStyle name="Currency 3 2 2 4 2 3" xfId="11423" xr:uid="{D3F35171-4E8D-473A-A300-0911D1D974C0}"/>
    <cellStyle name="Currency 3 2 2 4 3" xfId="5046" xr:uid="{00000000-0005-0000-0000-0000EE0A0000}"/>
    <cellStyle name="Currency 3 2 2 4 3 2" xfId="13496" xr:uid="{27F857EE-241C-4B72-B98A-96EAADC50CA3}"/>
    <cellStyle name="Currency 3 2 2 4 4" xfId="9278" xr:uid="{EF5332CE-DD26-42FA-94E7-69215989C2B5}"/>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4EF41058-DB96-4420-A4A5-CADCF8DD9970}"/>
    <cellStyle name="Currency 3 2 2 5 2 3" xfId="11836" xr:uid="{F1EF81D7-EADE-48DD-8C0D-01DCB645C629}"/>
    <cellStyle name="Currency 3 2 2 5 3" xfId="5459" xr:uid="{00000000-0005-0000-0000-0000F20A0000}"/>
    <cellStyle name="Currency 3 2 2 5 3 2" xfId="13909" xr:uid="{F21453E9-3A92-4FD8-97B2-EA1255DA79BF}"/>
    <cellStyle name="Currency 3 2 2 5 4" xfId="9691" xr:uid="{B8EA7351-7C90-4DBC-8B42-F5A22346F1E3}"/>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E07F0839-5E88-4F16-AC6B-C43BA8E918F8}"/>
    <cellStyle name="Currency 3 2 2 6 2 3" xfId="12249" xr:uid="{8ACE00F0-7D57-431D-8EC0-FFF7EEBAC582}"/>
    <cellStyle name="Currency 3 2 2 6 3" xfId="5872" xr:uid="{00000000-0005-0000-0000-0000F60A0000}"/>
    <cellStyle name="Currency 3 2 2 6 3 2" xfId="14322" xr:uid="{5D235430-F508-47C9-80CD-1BD02C5A8530}"/>
    <cellStyle name="Currency 3 2 2 6 4" xfId="10104" xr:uid="{29E64A2A-CB2B-489F-8583-E7444CB99C54}"/>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F6042AFC-62BC-40E2-BB3C-5FA4A6B0DAFC}"/>
    <cellStyle name="Currency 3 2 2 7 2 3" xfId="12662" xr:uid="{BFED09D7-35D9-4993-B260-C77968A27895}"/>
    <cellStyle name="Currency 3 2 2 7 3" xfId="6285" xr:uid="{00000000-0005-0000-0000-0000FA0A0000}"/>
    <cellStyle name="Currency 3 2 2 7 3 2" xfId="14735" xr:uid="{A528B05E-EA5F-4154-ADF0-02C90E83350C}"/>
    <cellStyle name="Currency 3 2 2 7 4" xfId="10517" xr:uid="{93502C10-4444-4B89-969E-4B51ADC8EC68}"/>
    <cellStyle name="Currency 3 2 2 8" xfId="2414" xr:uid="{00000000-0005-0000-0000-0000FB0A0000}"/>
    <cellStyle name="Currency 3 2 2 8 2" xfId="6698" xr:uid="{00000000-0005-0000-0000-0000FC0A0000}"/>
    <cellStyle name="Currency 3 2 2 8 2 2" xfId="15148" xr:uid="{1B699ACC-3BFF-4BA7-A2B0-4F1670D97771}"/>
    <cellStyle name="Currency 3 2 2 8 3" xfId="10930" xr:uid="{8C8D78B4-3D98-4FBF-8659-AF05158C4E11}"/>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5F9B32BC-5EAD-4908-8E8B-575C71157894}"/>
    <cellStyle name="Currency 3 2 3 11" xfId="8868" xr:uid="{92FADAAC-7C79-420D-A41A-81E12BAA8C9A}"/>
    <cellStyle name="Currency 3 2 3 2" xfId="183" xr:uid="{00000000-0005-0000-0000-0000000B0000}"/>
    <cellStyle name="Currency 3 2 3 2 10" xfId="8869" xr:uid="{3D5C5A27-E419-45F4-9B02-380281001489}"/>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0A65B718-2C64-41C1-B538-DB37D473BA20}"/>
    <cellStyle name="Currency 3 2 3 2 2 2 3" xfId="11428" xr:uid="{E4931AF1-7C08-4BDD-955D-683AE2BA59CF}"/>
    <cellStyle name="Currency 3 2 3 2 2 3" xfId="5051" xr:uid="{00000000-0005-0000-0000-0000040B0000}"/>
    <cellStyle name="Currency 3 2 3 2 2 3 2" xfId="13501" xr:uid="{4C2481C4-721B-444E-AF28-5B919F393936}"/>
    <cellStyle name="Currency 3 2 3 2 2 4" xfId="9283" xr:uid="{53AEBF4C-D817-45CF-ADBF-0127E0A749B3}"/>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E858A27A-C6E5-48C0-AB52-A2BE33DE8B52}"/>
    <cellStyle name="Currency 3 2 3 2 3 2 3" xfId="11841" xr:uid="{C513C6C5-0B40-4B79-A22D-A91FC75EB3FA}"/>
    <cellStyle name="Currency 3 2 3 2 3 3" xfId="5464" xr:uid="{00000000-0005-0000-0000-0000080B0000}"/>
    <cellStyle name="Currency 3 2 3 2 3 3 2" xfId="13914" xr:uid="{BC34C586-4773-4161-95FA-233DFA406293}"/>
    <cellStyle name="Currency 3 2 3 2 3 4" xfId="9696" xr:uid="{173F58B4-A3CF-4191-A130-F920FF696426}"/>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3094401C-C715-4EF4-BF20-794C4DE86470}"/>
    <cellStyle name="Currency 3 2 3 2 4 2 3" xfId="12254" xr:uid="{F5C737AD-7F2B-42F6-9448-6A996490D5C4}"/>
    <cellStyle name="Currency 3 2 3 2 4 3" xfId="5877" xr:uid="{00000000-0005-0000-0000-00000C0B0000}"/>
    <cellStyle name="Currency 3 2 3 2 4 3 2" xfId="14327" xr:uid="{FEBF989F-CD5F-493D-9C70-3415CF7EA95A}"/>
    <cellStyle name="Currency 3 2 3 2 4 4" xfId="10109" xr:uid="{C8335C37-F936-4F87-AE73-C270A639610A}"/>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111331FF-008C-48F4-A8EB-ADCD4E6EAB51}"/>
    <cellStyle name="Currency 3 2 3 2 5 2 3" xfId="12667" xr:uid="{7BDDA215-8986-42F8-85DF-9E455C27D39F}"/>
    <cellStyle name="Currency 3 2 3 2 5 3" xfId="6290" xr:uid="{00000000-0005-0000-0000-0000100B0000}"/>
    <cellStyle name="Currency 3 2 3 2 5 3 2" xfId="14740" xr:uid="{C96C4283-6BD3-4978-9B55-4F640BD2DEC8}"/>
    <cellStyle name="Currency 3 2 3 2 5 4" xfId="10522" xr:uid="{EBE5DD46-2B52-4295-B352-F750E87A69C5}"/>
    <cellStyle name="Currency 3 2 3 2 6" xfId="2419" xr:uid="{00000000-0005-0000-0000-0000110B0000}"/>
    <cellStyle name="Currency 3 2 3 2 6 2" xfId="6703" xr:uid="{00000000-0005-0000-0000-0000120B0000}"/>
    <cellStyle name="Currency 3 2 3 2 6 2 2" xfId="15153" xr:uid="{B20EC002-8543-4675-B71A-8E7F1F807ACE}"/>
    <cellStyle name="Currency 3 2 3 2 6 3" xfId="10935" xr:uid="{B895107C-2B43-49CD-B430-B9E39D646AA2}"/>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444BD6DB-DE37-48D1-84D9-B87AB0C0C241}"/>
    <cellStyle name="Currency 3 2 3 2 8 3" xfId="11252" xr:uid="{A7CA76AC-0A79-46CB-8FFF-20DC93A47E58}"/>
    <cellStyle name="Currency 3 2 3 2 9" xfId="4637" xr:uid="{00000000-0005-0000-0000-0000160B0000}"/>
    <cellStyle name="Currency 3 2 3 2 9 2" xfId="13087" xr:uid="{8A7A651B-A8B1-4F3C-9377-1E7E46479FF5}"/>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4676D733-6CA5-47E2-B2F8-5D15C32E44EC}"/>
    <cellStyle name="Currency 3 2 3 3 2 3" xfId="11427" xr:uid="{FFF17723-F9F2-4936-9FB2-83A5D389564F}"/>
    <cellStyle name="Currency 3 2 3 3 3" xfId="5050" xr:uid="{00000000-0005-0000-0000-00001A0B0000}"/>
    <cellStyle name="Currency 3 2 3 3 3 2" xfId="13500" xr:uid="{F7E42AAF-487D-46D4-AF53-9250925C835A}"/>
    <cellStyle name="Currency 3 2 3 3 4" xfId="9282" xr:uid="{50249C2E-042A-41F3-917C-C4CD85C92CED}"/>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AA39126E-2488-4AF8-BC23-74C01D03E383}"/>
    <cellStyle name="Currency 3 2 3 4 2 3" xfId="11840" xr:uid="{E52224D0-D025-4EA0-A689-5979ADD0268E}"/>
    <cellStyle name="Currency 3 2 3 4 3" xfId="5463" xr:uid="{00000000-0005-0000-0000-00001E0B0000}"/>
    <cellStyle name="Currency 3 2 3 4 3 2" xfId="13913" xr:uid="{DF5B76EE-4ACD-490C-BDF7-AF023027B2AE}"/>
    <cellStyle name="Currency 3 2 3 4 4" xfId="9695" xr:uid="{2E0A0766-C822-4044-A56A-9FC61EC09015}"/>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A5679A39-5CA0-43D4-8109-3560F4252735}"/>
    <cellStyle name="Currency 3 2 3 5 2 3" xfId="12253" xr:uid="{14B45B59-A350-4EC5-A279-9FA6E7C6E5DA}"/>
    <cellStyle name="Currency 3 2 3 5 3" xfId="5876" xr:uid="{00000000-0005-0000-0000-0000220B0000}"/>
    <cellStyle name="Currency 3 2 3 5 3 2" xfId="14326" xr:uid="{42A0D9F3-2B28-4D7B-85E3-E8BDBFDBA658}"/>
    <cellStyle name="Currency 3 2 3 5 4" xfId="10108" xr:uid="{52B835FE-7F79-4DDE-BD5F-26D147EA4173}"/>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54D3D64C-AE13-4727-AF8D-2E5D4A2BE8DE}"/>
    <cellStyle name="Currency 3 2 3 6 2 3" xfId="12666" xr:uid="{B84DC95D-0494-4FC5-A401-492F7492FBF7}"/>
    <cellStyle name="Currency 3 2 3 6 3" xfId="6289" xr:uid="{00000000-0005-0000-0000-0000260B0000}"/>
    <cellStyle name="Currency 3 2 3 6 3 2" xfId="14739" xr:uid="{79166BB6-493B-4B19-BED3-0130AAD91F64}"/>
    <cellStyle name="Currency 3 2 3 6 4" xfId="10521" xr:uid="{89C47026-5E3B-4F17-BC99-E7ACF0B02EA1}"/>
    <cellStyle name="Currency 3 2 3 7" xfId="2418" xr:uid="{00000000-0005-0000-0000-0000270B0000}"/>
    <cellStyle name="Currency 3 2 3 7 2" xfId="6702" xr:uid="{00000000-0005-0000-0000-0000280B0000}"/>
    <cellStyle name="Currency 3 2 3 7 2 2" xfId="15152" xr:uid="{AEA6DD2C-6FEE-4430-85D5-1D9269876504}"/>
    <cellStyle name="Currency 3 2 3 7 3" xfId="10934" xr:uid="{AC3AA0AB-5B8F-4DFC-B85F-2966B2DC1D20}"/>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E2EE7BAC-732B-470D-A683-8EE4420A760F}"/>
    <cellStyle name="Currency 3 2 3 9 3" xfId="11251" xr:uid="{2953E424-9602-4BA2-AF3A-92A0FE6CBAA6}"/>
    <cellStyle name="Currency 3 2 4" xfId="184" xr:uid="{00000000-0005-0000-0000-00002C0B0000}"/>
    <cellStyle name="Currency 3 2 4 10" xfId="8870" xr:uid="{0BF50FF3-B424-4401-9E0B-4B66C96A42A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C3114944-712E-4658-88F3-652B311C0888}"/>
    <cellStyle name="Currency 3 2 4 2 2 3" xfId="11429" xr:uid="{7B18AC4D-97C8-4B52-9969-91CD76525FBC}"/>
    <cellStyle name="Currency 3 2 4 2 3" xfId="5052" xr:uid="{00000000-0005-0000-0000-0000300B0000}"/>
    <cellStyle name="Currency 3 2 4 2 3 2" xfId="13502" xr:uid="{682DE1B6-3220-4D4D-B32E-9D76E58174E3}"/>
    <cellStyle name="Currency 3 2 4 2 4" xfId="9284" xr:uid="{CB17B648-88BD-4063-BCA4-5F2C73C6BC93}"/>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6CB26422-9B86-42BD-9393-CAB9B231D72F}"/>
    <cellStyle name="Currency 3 2 4 3 2 3" xfId="11842" xr:uid="{317D6673-A693-4FFF-9B4B-A0956B9E9CE2}"/>
    <cellStyle name="Currency 3 2 4 3 3" xfId="5465" xr:uid="{00000000-0005-0000-0000-0000340B0000}"/>
    <cellStyle name="Currency 3 2 4 3 3 2" xfId="13915" xr:uid="{99182288-051C-4F83-AFE7-57E7C606513D}"/>
    <cellStyle name="Currency 3 2 4 3 4" xfId="9697" xr:uid="{F4ABF95C-D2CD-4290-9999-3F1AE996C40D}"/>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3801717A-5580-4B11-926D-2C97C1CDC866}"/>
    <cellStyle name="Currency 3 2 4 4 2 3" xfId="12255" xr:uid="{ED5DE70D-1065-4F26-9461-8826B9936131}"/>
    <cellStyle name="Currency 3 2 4 4 3" xfId="5878" xr:uid="{00000000-0005-0000-0000-0000380B0000}"/>
    <cellStyle name="Currency 3 2 4 4 3 2" xfId="14328" xr:uid="{B1BEA8B4-2BE5-4EE9-BA0D-79DA76748FCD}"/>
    <cellStyle name="Currency 3 2 4 4 4" xfId="10110" xr:uid="{5A6CB815-75ED-43FC-A873-DAABE0AC0306}"/>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2BAFC37A-910C-49DA-880F-D47A3ECC53CD}"/>
    <cellStyle name="Currency 3 2 4 5 2 3" xfId="12668" xr:uid="{9D7EAC3C-1A0D-4D8B-BF3A-28FE6F43D45E}"/>
    <cellStyle name="Currency 3 2 4 5 3" xfId="6291" xr:uid="{00000000-0005-0000-0000-00003C0B0000}"/>
    <cellStyle name="Currency 3 2 4 5 3 2" xfId="14741" xr:uid="{B6CC5DD1-088D-463D-B490-6A505C882B48}"/>
    <cellStyle name="Currency 3 2 4 5 4" xfId="10523" xr:uid="{3AB35B93-27FE-4BFF-ABE2-EBDDCE80E26E}"/>
    <cellStyle name="Currency 3 2 4 6" xfId="2420" xr:uid="{00000000-0005-0000-0000-00003D0B0000}"/>
    <cellStyle name="Currency 3 2 4 6 2" xfId="6704" xr:uid="{00000000-0005-0000-0000-00003E0B0000}"/>
    <cellStyle name="Currency 3 2 4 6 2 2" xfId="15154" xr:uid="{449F78DA-F6E5-413C-BD1A-0EF0E4F09316}"/>
    <cellStyle name="Currency 3 2 4 6 3" xfId="10936" xr:uid="{30A7C4A5-EF92-4AE6-98CC-E80071367197}"/>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B1C92A36-1414-4714-ADFB-25E3B614F2AE}"/>
    <cellStyle name="Currency 3 2 4 8 3" xfId="11253" xr:uid="{6BA7A83C-C29B-4341-915B-85006400AE80}"/>
    <cellStyle name="Currency 3 2 4 9" xfId="4638" xr:uid="{00000000-0005-0000-0000-0000420B0000}"/>
    <cellStyle name="Currency 3 2 4 9 2" xfId="13088" xr:uid="{16FD5545-C5E1-4E28-B4F3-53B841E8D64D}"/>
    <cellStyle name="Currency 3 2 5" xfId="185" xr:uid="{00000000-0005-0000-0000-0000430B0000}"/>
    <cellStyle name="Currency 3 2 5 10" xfId="8871" xr:uid="{D7A320A8-5ADE-4B0B-A05B-DC13681A5F62}"/>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946C5447-2204-4B8C-BF47-E9A3359D026D}"/>
    <cellStyle name="Currency 3 2 5 2 2 3" xfId="11430" xr:uid="{BA26BF1D-068B-4E49-9B85-FB61D2B14613}"/>
    <cellStyle name="Currency 3 2 5 2 3" xfId="5053" xr:uid="{00000000-0005-0000-0000-0000470B0000}"/>
    <cellStyle name="Currency 3 2 5 2 3 2" xfId="13503" xr:uid="{8671C1A0-FE6E-496E-8A2E-E74C665467E3}"/>
    <cellStyle name="Currency 3 2 5 2 4" xfId="9285" xr:uid="{5867480C-BE68-4C5B-A2B5-578C7431220A}"/>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D525FB0A-7B31-4247-8C71-B0AF91ABB752}"/>
    <cellStyle name="Currency 3 2 5 3 2 3" xfId="11843" xr:uid="{28B18B54-8D76-4727-AF5A-FBBE5F74A83C}"/>
    <cellStyle name="Currency 3 2 5 3 3" xfId="5466" xr:uid="{00000000-0005-0000-0000-00004B0B0000}"/>
    <cellStyle name="Currency 3 2 5 3 3 2" xfId="13916" xr:uid="{5F0F157A-B312-48C3-A7CC-E5C90B7919A8}"/>
    <cellStyle name="Currency 3 2 5 3 4" xfId="9698" xr:uid="{453A5D4D-BA50-4B73-993B-383ECB4052CA}"/>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E76A92AB-A985-410C-A009-F8F8900CE6C1}"/>
    <cellStyle name="Currency 3 2 5 4 2 3" xfId="12256" xr:uid="{AC8BE234-011B-4FE0-A4A9-97E569A37018}"/>
    <cellStyle name="Currency 3 2 5 4 3" xfId="5879" xr:uid="{00000000-0005-0000-0000-00004F0B0000}"/>
    <cellStyle name="Currency 3 2 5 4 3 2" xfId="14329" xr:uid="{B6BB24CB-D176-4126-9509-424D6AEEA4F5}"/>
    <cellStyle name="Currency 3 2 5 4 4" xfId="10111" xr:uid="{8F2E0F78-8742-4184-BC3A-F078C6AB7504}"/>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3AA51F6C-592E-498B-B0C1-60A96080A2E5}"/>
    <cellStyle name="Currency 3 2 5 5 2 3" xfId="12669" xr:uid="{4F8AEE05-55E6-49B2-BA31-041E1D8E2741}"/>
    <cellStyle name="Currency 3 2 5 5 3" xfId="6292" xr:uid="{00000000-0005-0000-0000-0000530B0000}"/>
    <cellStyle name="Currency 3 2 5 5 3 2" xfId="14742" xr:uid="{641C5480-9C93-4E68-9D03-AE69E1955403}"/>
    <cellStyle name="Currency 3 2 5 5 4" xfId="10524" xr:uid="{EB0A655C-7669-4AB4-9615-0AC88038CE28}"/>
    <cellStyle name="Currency 3 2 5 6" xfId="2421" xr:uid="{00000000-0005-0000-0000-0000540B0000}"/>
    <cellStyle name="Currency 3 2 5 6 2" xfId="6705" xr:uid="{00000000-0005-0000-0000-0000550B0000}"/>
    <cellStyle name="Currency 3 2 5 6 2 2" xfId="15155" xr:uid="{B7031C3D-1DBB-4F35-AF27-FF90C0ACE0D4}"/>
    <cellStyle name="Currency 3 2 5 6 3" xfId="10937" xr:uid="{44E19A67-411C-4F1A-8C08-5A3531CA31FC}"/>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F6A34BB1-7BB2-4D9B-8EE9-BB720E59CEA6}"/>
    <cellStyle name="Currency 3 2 5 8 3" xfId="11254" xr:uid="{2BD08149-DF58-413B-AC04-F2D8EEF60452}"/>
    <cellStyle name="Currency 3 2 5 9" xfId="4639" xr:uid="{00000000-0005-0000-0000-0000590B0000}"/>
    <cellStyle name="Currency 3 2 5 9 2" xfId="13089" xr:uid="{F015BF0A-272C-4949-A07D-98B937F77025}"/>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AF1701C7-60A1-4B9A-8424-891E1F380142}"/>
    <cellStyle name="Currency 5 2 2 2 10 3" xfId="11255" xr:uid="{B0324D85-52F7-4EDA-A9E3-C5D283A0D0CB}"/>
    <cellStyle name="Currency 5 2 2 2 11" xfId="4640" xr:uid="{00000000-0005-0000-0000-00006C0B0000}"/>
    <cellStyle name="Currency 5 2 2 2 11 2" xfId="13090" xr:uid="{4A1F6478-6D14-457C-8E56-41F602C087A2}"/>
    <cellStyle name="Currency 5 2 2 2 12" xfId="8872" xr:uid="{36A8774B-DF0F-48EA-B93E-552DA14844D9}"/>
    <cellStyle name="Currency 5 2 2 2 2" xfId="197" xr:uid="{00000000-0005-0000-0000-00006D0B0000}"/>
    <cellStyle name="Currency 5 2 2 2 2 10" xfId="4641" xr:uid="{00000000-0005-0000-0000-00006E0B0000}"/>
    <cellStyle name="Currency 5 2 2 2 2 10 2" xfId="13091" xr:uid="{178B23E1-1F4F-4BA5-B85C-4F349A24CCFC}"/>
    <cellStyle name="Currency 5 2 2 2 2 11" xfId="8873" xr:uid="{E51CE0E3-7090-4A54-9071-251BD73C4D0B}"/>
    <cellStyle name="Currency 5 2 2 2 2 2" xfId="198" xr:uid="{00000000-0005-0000-0000-00006F0B0000}"/>
    <cellStyle name="Currency 5 2 2 2 2 2 10" xfId="8874" xr:uid="{F2406F4A-0C68-433B-94AF-FABA5AE26F88}"/>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BE1E248F-EA30-4883-8687-6B9D970B6A11}"/>
    <cellStyle name="Currency 5 2 2 2 2 2 2 2 3" xfId="11433" xr:uid="{B49C6DBE-F909-48B9-8793-461B77B9402A}"/>
    <cellStyle name="Currency 5 2 2 2 2 2 2 3" xfId="5056" xr:uid="{00000000-0005-0000-0000-0000730B0000}"/>
    <cellStyle name="Currency 5 2 2 2 2 2 2 3 2" xfId="13506" xr:uid="{AD94F269-12C4-438F-9384-2E6424791628}"/>
    <cellStyle name="Currency 5 2 2 2 2 2 2 4" xfId="9288" xr:uid="{FDAA235E-40BB-4176-B164-21CC590DB5EB}"/>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87941EB7-B352-4FD0-A861-94B1A659A3A7}"/>
    <cellStyle name="Currency 5 2 2 2 2 2 3 2 3" xfId="11846" xr:uid="{5F4FC39E-2EB1-418A-B254-BF3CCC240DA3}"/>
    <cellStyle name="Currency 5 2 2 2 2 2 3 3" xfId="5469" xr:uid="{00000000-0005-0000-0000-0000770B0000}"/>
    <cellStyle name="Currency 5 2 2 2 2 2 3 3 2" xfId="13919" xr:uid="{34D22974-C0FF-4711-AEC4-AABD39B59316}"/>
    <cellStyle name="Currency 5 2 2 2 2 2 3 4" xfId="9701" xr:uid="{E277BA04-9C80-48A0-AC02-F5A2E2CEAA33}"/>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3AC2FF39-02EE-48C7-8AB6-C5DBB7EF1E1C}"/>
    <cellStyle name="Currency 5 2 2 2 2 2 4 2 3" xfId="12259" xr:uid="{54197D8F-9B53-4A2E-9C0A-88B0EE5C4AA2}"/>
    <cellStyle name="Currency 5 2 2 2 2 2 4 3" xfId="5882" xr:uid="{00000000-0005-0000-0000-00007B0B0000}"/>
    <cellStyle name="Currency 5 2 2 2 2 2 4 3 2" xfId="14332" xr:uid="{9C32D3E3-9708-4EE6-92F9-CCE23BEDFBCE}"/>
    <cellStyle name="Currency 5 2 2 2 2 2 4 4" xfId="10114" xr:uid="{F5EB59D8-6DC1-4063-A62D-ACDD6BF11994}"/>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65B02090-D02B-41A1-ABFB-C07B3173EE37}"/>
    <cellStyle name="Currency 5 2 2 2 2 2 5 2 3" xfId="12672" xr:uid="{C55128AD-7360-4570-A401-6153B31468C6}"/>
    <cellStyle name="Currency 5 2 2 2 2 2 5 3" xfId="6295" xr:uid="{00000000-0005-0000-0000-00007F0B0000}"/>
    <cellStyle name="Currency 5 2 2 2 2 2 5 3 2" xfId="14745" xr:uid="{5082DDD4-ED02-4EBB-B458-8F5B543331E9}"/>
    <cellStyle name="Currency 5 2 2 2 2 2 5 4" xfId="10527" xr:uid="{320CD829-8FA0-443B-B68B-EEBBB20669DB}"/>
    <cellStyle name="Currency 5 2 2 2 2 2 6" xfId="2424" xr:uid="{00000000-0005-0000-0000-0000800B0000}"/>
    <cellStyle name="Currency 5 2 2 2 2 2 6 2" xfId="6708" xr:uid="{00000000-0005-0000-0000-0000810B0000}"/>
    <cellStyle name="Currency 5 2 2 2 2 2 6 2 2" xfId="15158" xr:uid="{EEE48F1C-BDC5-422D-A73E-09F03361FED9}"/>
    <cellStyle name="Currency 5 2 2 2 2 2 6 3" xfId="10940" xr:uid="{B2841F0F-7A76-4727-8BC2-2CB591F0C316}"/>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1BDB4D16-5A55-457C-BA94-5C745CD658F6}"/>
    <cellStyle name="Currency 5 2 2 2 2 2 8 3" xfId="11257" xr:uid="{B194FCC6-E9EF-407B-AEE4-F65886F48BD9}"/>
    <cellStyle name="Currency 5 2 2 2 2 2 9" xfId="4642" xr:uid="{00000000-0005-0000-0000-0000850B0000}"/>
    <cellStyle name="Currency 5 2 2 2 2 2 9 2" xfId="13092" xr:uid="{0438FE75-58EE-42F6-9D2F-DFE8DF8BBF7B}"/>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A7D4AE1E-2165-43AE-9102-89A5EA231D2D}"/>
    <cellStyle name="Currency 5 2 2 2 2 3 2 3" xfId="11432" xr:uid="{1E466F35-9DB5-44AA-A844-35D48F5F98D1}"/>
    <cellStyle name="Currency 5 2 2 2 2 3 3" xfId="5055" xr:uid="{00000000-0005-0000-0000-0000890B0000}"/>
    <cellStyle name="Currency 5 2 2 2 2 3 3 2" xfId="13505" xr:uid="{1509BEBB-98FB-42D0-9B26-F92B1989C5B3}"/>
    <cellStyle name="Currency 5 2 2 2 2 3 4" xfId="9287" xr:uid="{56970609-41C9-4648-8ECC-AA561B60364B}"/>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C5271BF6-F172-460F-883F-E1A14EC0ACC8}"/>
    <cellStyle name="Currency 5 2 2 2 2 4 2 3" xfId="11845" xr:uid="{590154CA-7129-4F85-A537-C33BA4F7D276}"/>
    <cellStyle name="Currency 5 2 2 2 2 4 3" xfId="5468" xr:uid="{00000000-0005-0000-0000-00008D0B0000}"/>
    <cellStyle name="Currency 5 2 2 2 2 4 3 2" xfId="13918" xr:uid="{DDE76FDD-2ADD-4499-913B-F4FFEF071D0D}"/>
    <cellStyle name="Currency 5 2 2 2 2 4 4" xfId="9700" xr:uid="{5A429FD9-4C7C-439E-81FE-354CEEA9E896}"/>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929A87D1-659F-47EA-BBF4-F8578D45BC33}"/>
    <cellStyle name="Currency 5 2 2 2 2 5 2 3" xfId="12258" xr:uid="{DEFB226B-33B4-440A-B9A8-DB8790BFAF7D}"/>
    <cellStyle name="Currency 5 2 2 2 2 5 3" xfId="5881" xr:uid="{00000000-0005-0000-0000-0000910B0000}"/>
    <cellStyle name="Currency 5 2 2 2 2 5 3 2" xfId="14331" xr:uid="{03AAA544-739B-4AD5-BEC4-9F2ECBFEFDDA}"/>
    <cellStyle name="Currency 5 2 2 2 2 5 4" xfId="10113" xr:uid="{19DE5D72-2AB5-4D30-BCE3-62EA19161003}"/>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B6F108BC-B200-4B51-B7C1-3C4DE97183E4}"/>
    <cellStyle name="Currency 5 2 2 2 2 6 2 3" xfId="12671" xr:uid="{470F80C6-B4EA-46AE-88C0-65E6CD786FE0}"/>
    <cellStyle name="Currency 5 2 2 2 2 6 3" xfId="6294" xr:uid="{00000000-0005-0000-0000-0000950B0000}"/>
    <cellStyle name="Currency 5 2 2 2 2 6 3 2" xfId="14744" xr:uid="{5676A172-50F3-4AC2-8F7A-F7A94271CD5E}"/>
    <cellStyle name="Currency 5 2 2 2 2 6 4" xfId="10526" xr:uid="{2D15C0FE-B851-41A5-81BE-E8BEA06B0AF7}"/>
    <cellStyle name="Currency 5 2 2 2 2 7" xfId="2423" xr:uid="{00000000-0005-0000-0000-0000960B0000}"/>
    <cellStyle name="Currency 5 2 2 2 2 7 2" xfId="6707" xr:uid="{00000000-0005-0000-0000-0000970B0000}"/>
    <cellStyle name="Currency 5 2 2 2 2 7 2 2" xfId="15157" xr:uid="{1A28DC65-3D0B-4CC9-8BEE-4BFEA4E37139}"/>
    <cellStyle name="Currency 5 2 2 2 2 7 3" xfId="10939" xr:uid="{A02C484D-D426-4DC6-BD50-16D1673C86CA}"/>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1AB35750-BB67-4104-8CC7-DC58CCC26F20}"/>
    <cellStyle name="Currency 5 2 2 2 2 9 3" xfId="11256" xr:uid="{422DC04C-5D95-4DA8-AA22-BDA5531040E0}"/>
    <cellStyle name="Currency 5 2 2 2 3" xfId="199" xr:uid="{00000000-0005-0000-0000-00009B0B0000}"/>
    <cellStyle name="Currency 5 2 2 2 3 10" xfId="8875" xr:uid="{C24E7CBE-9EB2-4A1A-9F9F-A616C0AEBC7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F5F9C10F-EA7C-4C9E-8165-084C46B0FE4C}"/>
    <cellStyle name="Currency 5 2 2 2 3 2 2 3" xfId="11434" xr:uid="{D8BB9F7D-E10E-4F29-B59A-0EB00D0E142F}"/>
    <cellStyle name="Currency 5 2 2 2 3 2 3" xfId="5057" xr:uid="{00000000-0005-0000-0000-00009F0B0000}"/>
    <cellStyle name="Currency 5 2 2 2 3 2 3 2" xfId="13507" xr:uid="{2CB8240B-261D-4590-B942-EA916BD36883}"/>
    <cellStyle name="Currency 5 2 2 2 3 2 4" xfId="9289" xr:uid="{8604EDBE-F1B6-4487-8115-3A2C3D8C4008}"/>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53AA82E9-F7A5-4E08-921A-4F7C336F5732}"/>
    <cellStyle name="Currency 5 2 2 2 3 3 2 3" xfId="11847" xr:uid="{F596BF91-223A-47E8-B1BF-F8880E8E6D4C}"/>
    <cellStyle name="Currency 5 2 2 2 3 3 3" xfId="5470" xr:uid="{00000000-0005-0000-0000-0000A30B0000}"/>
    <cellStyle name="Currency 5 2 2 2 3 3 3 2" xfId="13920" xr:uid="{1F231EEC-EBC9-434F-8302-6AF074343233}"/>
    <cellStyle name="Currency 5 2 2 2 3 3 4" xfId="9702" xr:uid="{4C85E4D8-96DD-45BF-B96C-5D083EF23F1B}"/>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15CB5670-7879-45C9-8F73-034A379AF884}"/>
    <cellStyle name="Currency 5 2 2 2 3 4 2 3" xfId="12260" xr:uid="{CC7B3CE8-0CB6-4C03-BE80-BCF0854F1607}"/>
    <cellStyle name="Currency 5 2 2 2 3 4 3" xfId="5883" xr:uid="{00000000-0005-0000-0000-0000A70B0000}"/>
    <cellStyle name="Currency 5 2 2 2 3 4 3 2" xfId="14333" xr:uid="{0965D2B2-34E1-4BEC-BED2-6E4293EC68EF}"/>
    <cellStyle name="Currency 5 2 2 2 3 4 4" xfId="10115" xr:uid="{92BB06E9-BAFF-4437-BEBD-BB70C9C36609}"/>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E0D08C1A-E5FC-4CBA-AB04-99C1EB6BD096}"/>
    <cellStyle name="Currency 5 2 2 2 3 5 2 3" xfId="12673" xr:uid="{833E818D-2A6F-4600-BD49-9659F484C1B4}"/>
    <cellStyle name="Currency 5 2 2 2 3 5 3" xfId="6296" xr:uid="{00000000-0005-0000-0000-0000AB0B0000}"/>
    <cellStyle name="Currency 5 2 2 2 3 5 3 2" xfId="14746" xr:uid="{53BAD690-9BA6-4531-A7C1-4C9A28859464}"/>
    <cellStyle name="Currency 5 2 2 2 3 5 4" xfId="10528" xr:uid="{BE4DCCAE-D078-4B3C-A7A7-987C05DB15CD}"/>
    <cellStyle name="Currency 5 2 2 2 3 6" xfId="2425" xr:uid="{00000000-0005-0000-0000-0000AC0B0000}"/>
    <cellStyle name="Currency 5 2 2 2 3 6 2" xfId="6709" xr:uid="{00000000-0005-0000-0000-0000AD0B0000}"/>
    <cellStyle name="Currency 5 2 2 2 3 6 2 2" xfId="15159" xr:uid="{56C84745-ECB8-44C4-91E7-ABECABCD54E9}"/>
    <cellStyle name="Currency 5 2 2 2 3 6 3" xfId="10941" xr:uid="{05E0E83B-A954-4FA5-B0BC-4C4FF9710827}"/>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4BAD7C27-EDAD-4205-8249-76775D922363}"/>
    <cellStyle name="Currency 5 2 2 2 3 8 3" xfId="11258" xr:uid="{50EF3355-DD93-44B5-A06A-63D88F27D80C}"/>
    <cellStyle name="Currency 5 2 2 2 3 9" xfId="4643" xr:uid="{00000000-0005-0000-0000-0000B10B0000}"/>
    <cellStyle name="Currency 5 2 2 2 3 9 2" xfId="13093" xr:uid="{42ABFFD6-A4AC-4920-8417-7E82144F22CC}"/>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DA43B4B0-5916-4D88-9455-51F3F8828E1E}"/>
    <cellStyle name="Currency 5 2 2 2 4 2 3" xfId="11431" xr:uid="{BC8A127B-4155-4F98-876E-8C58F9E38E64}"/>
    <cellStyle name="Currency 5 2 2 2 4 3" xfId="5054" xr:uid="{00000000-0005-0000-0000-0000B50B0000}"/>
    <cellStyle name="Currency 5 2 2 2 4 3 2" xfId="13504" xr:uid="{A6B3A15C-3887-43AD-B0F2-BDA6D170FC51}"/>
    <cellStyle name="Currency 5 2 2 2 4 4" xfId="9286" xr:uid="{A8B57686-7613-4B81-9022-39092F3172C6}"/>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E8694343-3048-48C8-8EF6-77EA0A4D3E11}"/>
    <cellStyle name="Currency 5 2 2 2 5 2 3" xfId="11844" xr:uid="{A8F174D9-8C60-4D3F-8D13-CA67C58EBC62}"/>
    <cellStyle name="Currency 5 2 2 2 5 3" xfId="5467" xr:uid="{00000000-0005-0000-0000-0000B90B0000}"/>
    <cellStyle name="Currency 5 2 2 2 5 3 2" xfId="13917" xr:uid="{B34C2FD3-7BF1-44DB-BB3B-0DEF613A5240}"/>
    <cellStyle name="Currency 5 2 2 2 5 4" xfId="9699" xr:uid="{C9734DC0-D167-46FA-93B6-BDDD52936C19}"/>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11D682FB-745C-4382-9223-E459B7ECE020}"/>
    <cellStyle name="Currency 5 2 2 2 6 2 3" xfId="12257" xr:uid="{A36FC09D-2713-421E-9590-D61F5C3019C3}"/>
    <cellStyle name="Currency 5 2 2 2 6 3" xfId="5880" xr:uid="{00000000-0005-0000-0000-0000BD0B0000}"/>
    <cellStyle name="Currency 5 2 2 2 6 3 2" xfId="14330" xr:uid="{510A47AA-D122-4BAA-8A6E-7883C7B0CFCC}"/>
    <cellStyle name="Currency 5 2 2 2 6 4" xfId="10112" xr:uid="{17A1404A-9C11-48EA-BBD9-5DF90532306E}"/>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4CA8602C-4771-45D1-A5D2-6E88C3BA7F98}"/>
    <cellStyle name="Currency 5 2 2 2 7 2 3" xfId="12670" xr:uid="{2A6AAA7C-031D-41E3-BAD3-0F4CEAE0C092}"/>
    <cellStyle name="Currency 5 2 2 2 7 3" xfId="6293" xr:uid="{00000000-0005-0000-0000-0000C10B0000}"/>
    <cellStyle name="Currency 5 2 2 2 7 3 2" xfId="14743" xr:uid="{70512B4C-DAAC-41D6-845E-ABE849E8B033}"/>
    <cellStyle name="Currency 5 2 2 2 7 4" xfId="10525" xr:uid="{A5C6A74C-7EA3-40C9-B5ED-0FA5866169B1}"/>
    <cellStyle name="Currency 5 2 2 2 8" xfId="2422" xr:uid="{00000000-0005-0000-0000-0000C20B0000}"/>
    <cellStyle name="Currency 5 2 2 2 8 2" xfId="6706" xr:uid="{00000000-0005-0000-0000-0000C30B0000}"/>
    <cellStyle name="Currency 5 2 2 2 8 2 2" xfId="15156" xr:uid="{C454B3DD-0C1D-4721-81B7-AF1B7C33C860}"/>
    <cellStyle name="Currency 5 2 2 2 8 3" xfId="10938" xr:uid="{BF69BF84-D9A1-48E8-A17F-C1EF688D715A}"/>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6E69AB03-AC9C-4ED0-9EF1-CF1C0CA93C86}"/>
    <cellStyle name="Currency 5 2 2 3 11" xfId="8876" xr:uid="{01FD1EA3-D14D-488F-836C-AA81133E9804}"/>
    <cellStyle name="Currency 5 2 2 3 2" xfId="201" xr:uid="{00000000-0005-0000-0000-0000C70B0000}"/>
    <cellStyle name="Currency 5 2 2 3 2 10" xfId="8877" xr:uid="{241AD98F-C9DC-4017-8FB7-B0D50FF7E152}"/>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97A6DCF6-4225-4CAC-BF5F-62AFF5F9B585}"/>
    <cellStyle name="Currency 5 2 2 3 2 2 2 3" xfId="11436" xr:uid="{4C7E55A6-1217-4C06-9FBE-43D69B953257}"/>
    <cellStyle name="Currency 5 2 2 3 2 2 3" xfId="5059" xr:uid="{00000000-0005-0000-0000-0000CB0B0000}"/>
    <cellStyle name="Currency 5 2 2 3 2 2 3 2" xfId="13509" xr:uid="{F794D724-AFC8-4BB3-90A8-556875FE6B37}"/>
    <cellStyle name="Currency 5 2 2 3 2 2 4" xfId="9291" xr:uid="{CF1D4982-4F37-4899-9E3A-00EA93DCD7B7}"/>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A16DFD95-C7EB-499D-8DC9-8ED016061AAB}"/>
    <cellStyle name="Currency 5 2 2 3 2 3 2 3" xfId="11849" xr:uid="{8DF1262C-BF55-4AF3-AEAE-ED66A2E98BE3}"/>
    <cellStyle name="Currency 5 2 2 3 2 3 3" xfId="5472" xr:uid="{00000000-0005-0000-0000-0000CF0B0000}"/>
    <cellStyle name="Currency 5 2 2 3 2 3 3 2" xfId="13922" xr:uid="{EADA9C5E-4557-4AD6-B663-89806DC49476}"/>
    <cellStyle name="Currency 5 2 2 3 2 3 4" xfId="9704" xr:uid="{B94D7A7F-367E-4249-BAB4-EA419298CDB5}"/>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C09E3A79-8EB9-4EA7-B3E0-3F4502AF2C8D}"/>
    <cellStyle name="Currency 5 2 2 3 2 4 2 3" xfId="12262" xr:uid="{1216F66C-CA70-4AC9-A554-12E52C9B83CE}"/>
    <cellStyle name="Currency 5 2 2 3 2 4 3" xfId="5885" xr:uid="{00000000-0005-0000-0000-0000D30B0000}"/>
    <cellStyle name="Currency 5 2 2 3 2 4 3 2" xfId="14335" xr:uid="{9F3FDDFA-D610-4B82-B30C-5A86F6BA7B0F}"/>
    <cellStyle name="Currency 5 2 2 3 2 4 4" xfId="10117" xr:uid="{4B12CC02-DC0A-4E87-B024-C503E406F6D7}"/>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008E8007-4F05-4313-9233-0AF1BFD13984}"/>
    <cellStyle name="Currency 5 2 2 3 2 5 2 3" xfId="12675" xr:uid="{49C94515-802A-492F-B249-1ACAF6F64DA5}"/>
    <cellStyle name="Currency 5 2 2 3 2 5 3" xfId="6298" xr:uid="{00000000-0005-0000-0000-0000D70B0000}"/>
    <cellStyle name="Currency 5 2 2 3 2 5 3 2" xfId="14748" xr:uid="{8897E8F4-04C4-4BDA-885C-579F30A6F2A6}"/>
    <cellStyle name="Currency 5 2 2 3 2 5 4" xfId="10530" xr:uid="{DFCE45C2-225F-4FB1-A84F-9E302C345860}"/>
    <cellStyle name="Currency 5 2 2 3 2 6" xfId="2427" xr:uid="{00000000-0005-0000-0000-0000D80B0000}"/>
    <cellStyle name="Currency 5 2 2 3 2 6 2" xfId="6711" xr:uid="{00000000-0005-0000-0000-0000D90B0000}"/>
    <cellStyle name="Currency 5 2 2 3 2 6 2 2" xfId="15161" xr:uid="{4FD6A1A8-ADCC-4DB7-AC45-88A3FF3EC0B0}"/>
    <cellStyle name="Currency 5 2 2 3 2 6 3" xfId="10943" xr:uid="{E5EEF889-7C9A-4F3D-B7A1-E55BD9985B47}"/>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0CC4DD7A-168E-4892-A1D4-5FD8AF89FB09}"/>
    <cellStyle name="Currency 5 2 2 3 2 8 3" xfId="11260" xr:uid="{EEEA388F-2026-4851-A7F1-FE029291A853}"/>
    <cellStyle name="Currency 5 2 2 3 2 9" xfId="4645" xr:uid="{00000000-0005-0000-0000-0000DD0B0000}"/>
    <cellStyle name="Currency 5 2 2 3 2 9 2" xfId="13095" xr:uid="{744BF5C9-5BC3-4675-88F4-C338C3B3AAAB}"/>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873391F1-03CE-4871-897A-0B7992936DCB}"/>
    <cellStyle name="Currency 5 2 2 3 3 2 3" xfId="11435" xr:uid="{9D65C934-0785-4F6D-9E26-8D3CA288E623}"/>
    <cellStyle name="Currency 5 2 2 3 3 3" xfId="5058" xr:uid="{00000000-0005-0000-0000-0000E10B0000}"/>
    <cellStyle name="Currency 5 2 2 3 3 3 2" xfId="13508" xr:uid="{70BFF81D-7EC2-4BB8-AE0B-EF37C2B62206}"/>
    <cellStyle name="Currency 5 2 2 3 3 4" xfId="9290" xr:uid="{14F8128B-A227-48B1-BD14-CC8441E9F8D6}"/>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1AB838C1-EDDE-4CB5-AE5F-C6B362CCF244}"/>
    <cellStyle name="Currency 5 2 2 3 4 2 3" xfId="11848" xr:uid="{D1C82F9E-4DAE-4A68-8E6E-91E40736F838}"/>
    <cellStyle name="Currency 5 2 2 3 4 3" xfId="5471" xr:uid="{00000000-0005-0000-0000-0000E50B0000}"/>
    <cellStyle name="Currency 5 2 2 3 4 3 2" xfId="13921" xr:uid="{124D1186-F8BB-46CB-BA2F-504C511695DC}"/>
    <cellStyle name="Currency 5 2 2 3 4 4" xfId="9703" xr:uid="{EF79BA05-CA33-4E98-9E57-DA264690B66F}"/>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F6CF9661-7A42-4E53-9C2A-0B1050B18761}"/>
    <cellStyle name="Currency 5 2 2 3 5 2 3" xfId="12261" xr:uid="{1A17DECE-3ED5-4A4B-9985-BBF2B182FC76}"/>
    <cellStyle name="Currency 5 2 2 3 5 3" xfId="5884" xr:uid="{00000000-0005-0000-0000-0000E90B0000}"/>
    <cellStyle name="Currency 5 2 2 3 5 3 2" xfId="14334" xr:uid="{7C9B75F1-4BD4-45D1-97CD-2CF63760CDCE}"/>
    <cellStyle name="Currency 5 2 2 3 5 4" xfId="10116" xr:uid="{C6612E39-FE6F-4B64-A86E-38D7A0316B65}"/>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C0949680-7934-4925-91EA-217A3BC0BFAA}"/>
    <cellStyle name="Currency 5 2 2 3 6 2 3" xfId="12674" xr:uid="{D1DE7918-CCB4-48ED-BE78-02C737C17B3F}"/>
    <cellStyle name="Currency 5 2 2 3 6 3" xfId="6297" xr:uid="{00000000-0005-0000-0000-0000ED0B0000}"/>
    <cellStyle name="Currency 5 2 2 3 6 3 2" xfId="14747" xr:uid="{2942E145-9487-4215-A92C-7628191171E0}"/>
    <cellStyle name="Currency 5 2 2 3 6 4" xfId="10529" xr:uid="{F332A9EA-AFF7-4451-900B-5E97FE073E4B}"/>
    <cellStyle name="Currency 5 2 2 3 7" xfId="2426" xr:uid="{00000000-0005-0000-0000-0000EE0B0000}"/>
    <cellStyle name="Currency 5 2 2 3 7 2" xfId="6710" xr:uid="{00000000-0005-0000-0000-0000EF0B0000}"/>
    <cellStyle name="Currency 5 2 2 3 7 2 2" xfId="15160" xr:uid="{7E16BA44-01B6-41DE-8039-D74B095ED255}"/>
    <cellStyle name="Currency 5 2 2 3 7 3" xfId="10942" xr:uid="{9AB0C142-726F-4394-AC65-FEA688F57BED}"/>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07873FC2-3283-42B0-8495-7569F837449C}"/>
    <cellStyle name="Currency 5 2 2 3 9 3" xfId="11259" xr:uid="{7B358A99-C97F-4E07-AE8E-B8C4B496E1B7}"/>
    <cellStyle name="Currency 5 2 2 4" xfId="202" xr:uid="{00000000-0005-0000-0000-0000F30B0000}"/>
    <cellStyle name="Currency 5 2 2 4 10" xfId="8878" xr:uid="{C34B2479-237D-480D-ADE9-7FB6F4ECF92C}"/>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8F71CF3E-FEEC-4A6C-9932-1D9A431CC5C1}"/>
    <cellStyle name="Currency 5 2 2 4 2 2 3" xfId="11437" xr:uid="{AC595362-754D-4516-B731-2C970319D80E}"/>
    <cellStyle name="Currency 5 2 2 4 2 3" xfId="5060" xr:uid="{00000000-0005-0000-0000-0000F70B0000}"/>
    <cellStyle name="Currency 5 2 2 4 2 3 2" xfId="13510" xr:uid="{0E7EC668-FCB2-4E5C-B4F4-2EE55A80CABE}"/>
    <cellStyle name="Currency 5 2 2 4 2 4" xfId="9292" xr:uid="{71AC400E-D6BA-4520-97DF-E47DB511C815}"/>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05BF105F-D3CD-4F6B-849A-CAD4BB07C28D}"/>
    <cellStyle name="Currency 5 2 2 4 3 2 3" xfId="11850" xr:uid="{6CAA0D07-0817-40FA-BC11-A6C369177965}"/>
    <cellStyle name="Currency 5 2 2 4 3 3" xfId="5473" xr:uid="{00000000-0005-0000-0000-0000FB0B0000}"/>
    <cellStyle name="Currency 5 2 2 4 3 3 2" xfId="13923" xr:uid="{B5A177FD-FB14-4252-8244-E5DD72C5FD7F}"/>
    <cellStyle name="Currency 5 2 2 4 3 4" xfId="9705" xr:uid="{E52C7386-05EF-48F5-AD38-AE7B347736F7}"/>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43CCC82E-E58F-464F-B5C6-5125868B0FDC}"/>
    <cellStyle name="Currency 5 2 2 4 4 2 3" xfId="12263" xr:uid="{5A770D23-9A71-4BFE-BEDA-7F072A97B182}"/>
    <cellStyle name="Currency 5 2 2 4 4 3" xfId="5886" xr:uid="{00000000-0005-0000-0000-0000FF0B0000}"/>
    <cellStyle name="Currency 5 2 2 4 4 3 2" xfId="14336" xr:uid="{868CDF3A-AABF-4AFB-B106-418F586093EB}"/>
    <cellStyle name="Currency 5 2 2 4 4 4" xfId="10118" xr:uid="{01B9A15C-6ACE-4E5B-B4E5-D36D0F255C5E}"/>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1C111F79-BA1E-4447-9EF5-872FB215E7AD}"/>
    <cellStyle name="Currency 5 2 2 4 5 2 3" xfId="12676" xr:uid="{58A89520-A5C1-4313-BA4A-4DBFFF353E18}"/>
    <cellStyle name="Currency 5 2 2 4 5 3" xfId="6299" xr:uid="{00000000-0005-0000-0000-0000030C0000}"/>
    <cellStyle name="Currency 5 2 2 4 5 3 2" xfId="14749" xr:uid="{A12CD293-11B7-421F-92E3-2F4D5CD574B8}"/>
    <cellStyle name="Currency 5 2 2 4 5 4" xfId="10531" xr:uid="{0D4D476E-9A51-4D1D-944B-954C266C4B67}"/>
    <cellStyle name="Currency 5 2 2 4 6" xfId="2428" xr:uid="{00000000-0005-0000-0000-0000040C0000}"/>
    <cellStyle name="Currency 5 2 2 4 6 2" xfId="6712" xr:uid="{00000000-0005-0000-0000-0000050C0000}"/>
    <cellStyle name="Currency 5 2 2 4 6 2 2" xfId="15162" xr:uid="{E5584FDF-701F-49A6-A88E-97B44F7160C5}"/>
    <cellStyle name="Currency 5 2 2 4 6 3" xfId="10944" xr:uid="{4930A618-1521-423A-BF3E-2D3EB55E3D9A}"/>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C4BA658F-F2E9-4F74-9036-88D5F7A9BA72}"/>
    <cellStyle name="Currency 5 2 2 4 8 3" xfId="11261" xr:uid="{AA0231FA-5979-486E-9F8B-249569C7A55F}"/>
    <cellStyle name="Currency 5 2 2 4 9" xfId="4646" xr:uid="{00000000-0005-0000-0000-0000090C0000}"/>
    <cellStyle name="Currency 5 2 2 4 9 2" xfId="13096" xr:uid="{DCA7CFED-4759-4AF1-ACF9-0E7257C3E08E}"/>
    <cellStyle name="Currency 5 2 2 5" xfId="203" xr:uid="{00000000-0005-0000-0000-00000A0C0000}"/>
    <cellStyle name="Currency 5 2 2 5 10" xfId="8879" xr:uid="{ED0E0625-53B7-47AA-AE65-06D788D2AFAB}"/>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E3AEEF68-3BA9-459A-85A7-D5C5A77172F1}"/>
    <cellStyle name="Currency 5 2 2 5 2 2 3" xfId="11438" xr:uid="{BC8B152B-BF01-4398-83C2-5179C753B3E9}"/>
    <cellStyle name="Currency 5 2 2 5 2 3" xfId="5061" xr:uid="{00000000-0005-0000-0000-00000E0C0000}"/>
    <cellStyle name="Currency 5 2 2 5 2 3 2" xfId="13511" xr:uid="{5D325C30-7496-4E63-AD65-E3BD4BDD9CFC}"/>
    <cellStyle name="Currency 5 2 2 5 2 4" xfId="9293" xr:uid="{568E1D15-E3B3-4535-9B9C-98CCE5D087DA}"/>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C9702B92-CA2B-4493-A606-AD2F052F9E59}"/>
    <cellStyle name="Currency 5 2 2 5 3 2 3" xfId="11851" xr:uid="{A9FFDF62-30AE-4E36-946C-7358E87B2AB1}"/>
    <cellStyle name="Currency 5 2 2 5 3 3" xfId="5474" xr:uid="{00000000-0005-0000-0000-0000120C0000}"/>
    <cellStyle name="Currency 5 2 2 5 3 3 2" xfId="13924" xr:uid="{4597ED15-7363-48DB-951D-F3220297E0A6}"/>
    <cellStyle name="Currency 5 2 2 5 3 4" xfId="9706" xr:uid="{71086266-1657-4025-9484-359E772734EA}"/>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B629C703-B531-4F51-9A99-B43037CB2143}"/>
    <cellStyle name="Currency 5 2 2 5 4 2 3" xfId="12264" xr:uid="{5AC3825E-097D-4A67-A364-B1F13FB2763C}"/>
    <cellStyle name="Currency 5 2 2 5 4 3" xfId="5887" xr:uid="{00000000-0005-0000-0000-0000160C0000}"/>
    <cellStyle name="Currency 5 2 2 5 4 3 2" xfId="14337" xr:uid="{2D1A5317-E881-4D0E-9FD3-0E0A24CCD97F}"/>
    <cellStyle name="Currency 5 2 2 5 4 4" xfId="10119" xr:uid="{B8746F5D-53C0-4139-9265-47AA79E7B215}"/>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A2B9EE73-50B0-4B69-8749-BE6D80EF852D}"/>
    <cellStyle name="Currency 5 2 2 5 5 2 3" xfId="12677" xr:uid="{72E0D1C9-486D-4FD4-87BD-41289C919AB0}"/>
    <cellStyle name="Currency 5 2 2 5 5 3" xfId="6300" xr:uid="{00000000-0005-0000-0000-00001A0C0000}"/>
    <cellStyle name="Currency 5 2 2 5 5 3 2" xfId="14750" xr:uid="{DAD68002-FA89-45B8-A634-BD264A86B248}"/>
    <cellStyle name="Currency 5 2 2 5 5 4" xfId="10532" xr:uid="{EAEEBA54-1A0A-4E8A-A071-3FB16AED3552}"/>
    <cellStyle name="Currency 5 2 2 5 6" xfId="2429" xr:uid="{00000000-0005-0000-0000-00001B0C0000}"/>
    <cellStyle name="Currency 5 2 2 5 6 2" xfId="6713" xr:uid="{00000000-0005-0000-0000-00001C0C0000}"/>
    <cellStyle name="Currency 5 2 2 5 6 2 2" xfId="15163" xr:uid="{EFD7269F-EBED-4150-B334-DD17238837E5}"/>
    <cellStyle name="Currency 5 2 2 5 6 3" xfId="10945" xr:uid="{B96C3C63-EBBB-43CE-83A6-B8F4735FAE82}"/>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6093C351-A348-439D-A4D8-AF2937789F21}"/>
    <cellStyle name="Currency 5 2 2 5 8 3" xfId="11262" xr:uid="{52FE795D-51E7-4792-A37B-26BFB1ED9A6F}"/>
    <cellStyle name="Currency 5 2 2 5 9" xfId="4647" xr:uid="{00000000-0005-0000-0000-0000200C0000}"/>
    <cellStyle name="Currency 5 2 2 5 9 2" xfId="13097" xr:uid="{8B13B23D-197B-4FCF-9D51-243ED850B365}"/>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B8A411BF-9D91-40DA-B936-1628A37FACC7}"/>
    <cellStyle name="Currency 5 2 4 11" xfId="8880" xr:uid="{8301820A-CC74-4CCE-9088-8F16DB7809E4}"/>
    <cellStyle name="Currency 5 2 4 2" xfId="206" xr:uid="{00000000-0005-0000-0000-0000250C0000}"/>
    <cellStyle name="Currency 5 2 4 2 10" xfId="8881" xr:uid="{29D8A084-61B5-4767-8613-7CDC3EEB264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B616C9C7-9C72-43BB-8856-F3297941C48E}"/>
    <cellStyle name="Currency 5 2 4 2 2 2 3" xfId="11440" xr:uid="{7BD4A206-BFFF-4F2D-8C48-04CDDFD16B76}"/>
    <cellStyle name="Currency 5 2 4 2 2 3" xfId="5063" xr:uid="{00000000-0005-0000-0000-0000290C0000}"/>
    <cellStyle name="Currency 5 2 4 2 2 3 2" xfId="13513" xr:uid="{843F9BD7-E119-49F9-9229-1E700F40A446}"/>
    <cellStyle name="Currency 5 2 4 2 2 4" xfId="9295" xr:uid="{A063524B-3F3F-4326-B7C0-C67FC1FB6027}"/>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ABB6596A-EEBF-4410-AF0D-559106969047}"/>
    <cellStyle name="Currency 5 2 4 2 3 2 3" xfId="11853" xr:uid="{8E710C1C-2869-47A1-AC63-4723764B3A0D}"/>
    <cellStyle name="Currency 5 2 4 2 3 3" xfId="5476" xr:uid="{00000000-0005-0000-0000-00002D0C0000}"/>
    <cellStyle name="Currency 5 2 4 2 3 3 2" xfId="13926" xr:uid="{6FD5DCB4-C24C-4ED7-94B7-3770F6460CAE}"/>
    <cellStyle name="Currency 5 2 4 2 3 4" xfId="9708" xr:uid="{97A6916D-AC24-454B-951D-DEC7D15624BD}"/>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C52157EA-3472-4E20-B466-501DE548988C}"/>
    <cellStyle name="Currency 5 2 4 2 4 2 3" xfId="12266" xr:uid="{93323C07-BA04-4FD9-AE84-68ADAF1CA382}"/>
    <cellStyle name="Currency 5 2 4 2 4 3" xfId="5889" xr:uid="{00000000-0005-0000-0000-0000310C0000}"/>
    <cellStyle name="Currency 5 2 4 2 4 3 2" xfId="14339" xr:uid="{A33EB133-5E9D-49E0-AEE8-BF840F8A8FF7}"/>
    <cellStyle name="Currency 5 2 4 2 4 4" xfId="10121" xr:uid="{3732ED6D-B85E-4BDF-B945-33F39A1915AF}"/>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6C97CB88-0737-4CC9-AC7B-371594760E0E}"/>
    <cellStyle name="Currency 5 2 4 2 5 2 3" xfId="12679" xr:uid="{D1118547-FADD-42CB-9932-7AD51006E969}"/>
    <cellStyle name="Currency 5 2 4 2 5 3" xfId="6302" xr:uid="{00000000-0005-0000-0000-0000350C0000}"/>
    <cellStyle name="Currency 5 2 4 2 5 3 2" xfId="14752" xr:uid="{851F9DAD-0CD2-496B-B3A4-748330F5D4A6}"/>
    <cellStyle name="Currency 5 2 4 2 5 4" xfId="10534" xr:uid="{AA03378F-AD9C-486B-A8D6-4047985A054A}"/>
    <cellStyle name="Currency 5 2 4 2 6" xfId="2431" xr:uid="{00000000-0005-0000-0000-0000360C0000}"/>
    <cellStyle name="Currency 5 2 4 2 6 2" xfId="6715" xr:uid="{00000000-0005-0000-0000-0000370C0000}"/>
    <cellStyle name="Currency 5 2 4 2 6 2 2" xfId="15165" xr:uid="{3500C80E-9D95-49F5-ACF4-BE37091FA046}"/>
    <cellStyle name="Currency 5 2 4 2 6 3" xfId="10947" xr:uid="{33F1BC1D-99D5-4F67-BB58-B84A4E49A3A8}"/>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4155F167-23B8-4EAF-B4AB-C87D8AA03A1C}"/>
    <cellStyle name="Currency 5 2 4 2 8 3" xfId="11264" xr:uid="{44BFD6DF-6CEA-410A-A918-29C0949E093D}"/>
    <cellStyle name="Currency 5 2 4 2 9" xfId="4649" xr:uid="{00000000-0005-0000-0000-00003B0C0000}"/>
    <cellStyle name="Currency 5 2 4 2 9 2" xfId="13099" xr:uid="{E9927573-6A10-450D-B41D-CCEC2EF93D7D}"/>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7D9B52A9-C66B-4C13-ADD2-7384423B640F}"/>
    <cellStyle name="Currency 5 2 4 3 2 3" xfId="11439" xr:uid="{001F1C82-9996-4907-A69F-1DF80A1C69D3}"/>
    <cellStyle name="Currency 5 2 4 3 3" xfId="5062" xr:uid="{00000000-0005-0000-0000-00003F0C0000}"/>
    <cellStyle name="Currency 5 2 4 3 3 2" xfId="13512" xr:uid="{9A68A1F9-DDCE-44D0-9462-B45F7C1928F0}"/>
    <cellStyle name="Currency 5 2 4 3 4" xfId="9294" xr:uid="{AF34EA4F-CCB9-4641-AAE5-1C801C156626}"/>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758771EC-7AE6-4727-A3A7-408262B04AC4}"/>
    <cellStyle name="Currency 5 2 4 4 2 3" xfId="11852" xr:uid="{66399FAA-F5BB-4705-9A8F-35522CC222F4}"/>
    <cellStyle name="Currency 5 2 4 4 3" xfId="5475" xr:uid="{00000000-0005-0000-0000-0000430C0000}"/>
    <cellStyle name="Currency 5 2 4 4 3 2" xfId="13925" xr:uid="{01C0711E-3972-476C-834D-9C9765B3B205}"/>
    <cellStyle name="Currency 5 2 4 4 4" xfId="9707" xr:uid="{13E01567-9BE5-41F1-8883-28B0233ECD73}"/>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5386A324-674E-482B-AFC6-B5BD869591EC}"/>
    <cellStyle name="Currency 5 2 4 5 2 3" xfId="12265" xr:uid="{084DB1EE-109C-401D-A4D4-EEBA4ACA3361}"/>
    <cellStyle name="Currency 5 2 4 5 3" xfId="5888" xr:uid="{00000000-0005-0000-0000-0000470C0000}"/>
    <cellStyle name="Currency 5 2 4 5 3 2" xfId="14338" xr:uid="{767A0820-E00A-4EC6-B783-CF681F480511}"/>
    <cellStyle name="Currency 5 2 4 5 4" xfId="10120" xr:uid="{337E9AA6-BF59-4ACD-B891-87C2BEF68517}"/>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AF8241E1-13E5-4C3F-8AC0-06574E4EB68F}"/>
    <cellStyle name="Currency 5 2 4 6 2 3" xfId="12678" xr:uid="{EAF544C8-4C02-4CEE-9DB5-2F18F9F20ADF}"/>
    <cellStyle name="Currency 5 2 4 6 3" xfId="6301" xr:uid="{00000000-0005-0000-0000-00004B0C0000}"/>
    <cellStyle name="Currency 5 2 4 6 3 2" xfId="14751" xr:uid="{8EF360F5-B879-47F8-90E7-F08CC382561A}"/>
    <cellStyle name="Currency 5 2 4 6 4" xfId="10533" xr:uid="{9E0C6308-1AFD-42F7-940B-BA5D379904CC}"/>
    <cellStyle name="Currency 5 2 4 7" xfId="2430" xr:uid="{00000000-0005-0000-0000-00004C0C0000}"/>
    <cellStyle name="Currency 5 2 4 7 2" xfId="6714" xr:uid="{00000000-0005-0000-0000-00004D0C0000}"/>
    <cellStyle name="Currency 5 2 4 7 2 2" xfId="15164" xr:uid="{5858888C-1A16-489B-984F-0F761A1F78E1}"/>
    <cellStyle name="Currency 5 2 4 7 3" xfId="10946" xr:uid="{72939D17-E841-4CAE-B5A4-40518D81620F}"/>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EA7C69A5-886C-4504-B4C2-FEC68F2A3D29}"/>
    <cellStyle name="Currency 5 2 4 9 3" xfId="11263" xr:uid="{4D223BE6-0A78-4A59-BDB9-250D67938772}"/>
    <cellStyle name="Currency 5 2 5" xfId="207" xr:uid="{00000000-0005-0000-0000-0000510C0000}"/>
    <cellStyle name="Currency 5 2 5 10" xfId="8882" xr:uid="{782C9E46-6694-44B0-8F6A-7CC3A4CA1B12}"/>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58E0ECC5-62DF-4B7C-B81D-4ED45ABDF878}"/>
    <cellStyle name="Currency 5 2 5 2 2 3" xfId="11441" xr:uid="{28C98DAC-0CA9-44F6-8B8B-94B6E1D9CEEF}"/>
    <cellStyle name="Currency 5 2 5 2 3" xfId="5064" xr:uid="{00000000-0005-0000-0000-0000550C0000}"/>
    <cellStyle name="Currency 5 2 5 2 3 2" xfId="13514" xr:uid="{E2BE62D4-82E1-42F0-854D-8C47B6EB993C}"/>
    <cellStyle name="Currency 5 2 5 2 4" xfId="9296" xr:uid="{DB54F9D3-CB7E-4D9F-9D4F-A71FFAB5BBF4}"/>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EE2186F8-AE8A-4322-B6BA-DF5BC3094504}"/>
    <cellStyle name="Currency 5 2 5 3 2 3" xfId="11854" xr:uid="{4DC3106F-3667-4A6C-9DF9-06DEA74FA2EE}"/>
    <cellStyle name="Currency 5 2 5 3 3" xfId="5477" xr:uid="{00000000-0005-0000-0000-0000590C0000}"/>
    <cellStyle name="Currency 5 2 5 3 3 2" xfId="13927" xr:uid="{35A15662-41C9-4210-A400-E4B0F58421EC}"/>
    <cellStyle name="Currency 5 2 5 3 4" xfId="9709" xr:uid="{2E72D90E-1099-4E7F-A3D9-C5D90B41E5C2}"/>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78506792-4C0D-42D4-86F4-DC58B4409DED}"/>
    <cellStyle name="Currency 5 2 5 4 2 3" xfId="12267" xr:uid="{7DEF4C8C-5CE7-41EA-B905-C5DEC2E441A2}"/>
    <cellStyle name="Currency 5 2 5 4 3" xfId="5890" xr:uid="{00000000-0005-0000-0000-00005D0C0000}"/>
    <cellStyle name="Currency 5 2 5 4 3 2" xfId="14340" xr:uid="{598AAF98-512D-4BAB-B0D3-D17BCF59B840}"/>
    <cellStyle name="Currency 5 2 5 4 4" xfId="10122" xr:uid="{FFBC8D26-51CD-4426-A217-ECCB751FC8C5}"/>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16E8C887-214A-4C98-A84C-794CE53830DB}"/>
    <cellStyle name="Currency 5 2 5 5 2 3" xfId="12680" xr:uid="{C97ABD6B-2918-4194-BFD1-8763EC0A7CFD}"/>
    <cellStyle name="Currency 5 2 5 5 3" xfId="6303" xr:uid="{00000000-0005-0000-0000-0000610C0000}"/>
    <cellStyle name="Currency 5 2 5 5 3 2" xfId="14753" xr:uid="{7FF59AFA-60DE-4629-BCCA-982F781CD179}"/>
    <cellStyle name="Currency 5 2 5 5 4" xfId="10535" xr:uid="{2EFAD529-C57C-4377-AE15-CA47BD90689C}"/>
    <cellStyle name="Currency 5 2 5 6" xfId="2432" xr:uid="{00000000-0005-0000-0000-0000620C0000}"/>
    <cellStyle name="Currency 5 2 5 6 2" xfId="6716" xr:uid="{00000000-0005-0000-0000-0000630C0000}"/>
    <cellStyle name="Currency 5 2 5 6 2 2" xfId="15166" xr:uid="{D705F623-8508-45AE-A934-4075CB4DECB5}"/>
    <cellStyle name="Currency 5 2 5 6 3" xfId="10948" xr:uid="{FCF5F4A6-0D70-47E8-AE3F-BD5BB38D6CFF}"/>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92AA3257-2EE8-46FB-AF9B-586F1B24BBA1}"/>
    <cellStyle name="Currency 5 2 5 8 3" xfId="11265" xr:uid="{132B4295-8A2D-46BF-93DB-1A0034802B6B}"/>
    <cellStyle name="Currency 5 2 5 9" xfId="4650" xr:uid="{00000000-0005-0000-0000-0000670C0000}"/>
    <cellStyle name="Currency 5 2 5 9 2" xfId="13100" xr:uid="{ED89B977-3EB7-409B-9319-3E8BEB28FC8D}"/>
    <cellStyle name="Currency 5 2 6" xfId="208" xr:uid="{00000000-0005-0000-0000-0000680C0000}"/>
    <cellStyle name="Currency 5 2 6 10" xfId="8883" xr:uid="{34190D12-FC47-4202-A5D8-82D6AE081310}"/>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D4FFD326-423A-4D90-BF52-D96979A6BCB8}"/>
    <cellStyle name="Currency 5 2 6 2 2 3" xfId="11442" xr:uid="{A7944A28-EA05-4121-A22F-C73A72EDC46B}"/>
    <cellStyle name="Currency 5 2 6 2 3" xfId="5065" xr:uid="{00000000-0005-0000-0000-00006C0C0000}"/>
    <cellStyle name="Currency 5 2 6 2 3 2" xfId="13515" xr:uid="{A97AD031-0DEF-4CE9-8824-641C9EB0EF07}"/>
    <cellStyle name="Currency 5 2 6 2 4" xfId="9297" xr:uid="{F5AA1B03-8EDF-4957-B0B3-D3C155E6B23F}"/>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71F0FC49-8BA5-4B36-B6B7-E2D4D6CAF05E}"/>
    <cellStyle name="Currency 5 2 6 3 2 3" xfId="11855" xr:uid="{947E6612-9503-4D1D-AA56-CC6EFAEBE776}"/>
    <cellStyle name="Currency 5 2 6 3 3" xfId="5478" xr:uid="{00000000-0005-0000-0000-0000700C0000}"/>
    <cellStyle name="Currency 5 2 6 3 3 2" xfId="13928" xr:uid="{E8460BE1-B6D5-4DCA-8C72-F1CF0344C56D}"/>
    <cellStyle name="Currency 5 2 6 3 4" xfId="9710" xr:uid="{466C4C22-B172-48FB-9881-9431E5A29CB8}"/>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61CAFCD1-41FE-4DF6-8F3C-BBB55603618C}"/>
    <cellStyle name="Currency 5 2 6 4 2 3" xfId="12268" xr:uid="{3DBE5513-D962-4C0D-8949-675E41862700}"/>
    <cellStyle name="Currency 5 2 6 4 3" xfId="5891" xr:uid="{00000000-0005-0000-0000-0000740C0000}"/>
    <cellStyle name="Currency 5 2 6 4 3 2" xfId="14341" xr:uid="{FB1CBC44-ACBF-4A3B-B603-CA9FD309E389}"/>
    <cellStyle name="Currency 5 2 6 4 4" xfId="10123" xr:uid="{39D1024D-E6D2-4A65-9B64-6FA6628289AF}"/>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39E57F5A-CFCC-4921-A779-205C73D2B839}"/>
    <cellStyle name="Currency 5 2 6 5 2 3" xfId="12681" xr:uid="{ED86D369-5827-4E61-B981-2FE96CE83415}"/>
    <cellStyle name="Currency 5 2 6 5 3" xfId="6304" xr:uid="{00000000-0005-0000-0000-0000780C0000}"/>
    <cellStyle name="Currency 5 2 6 5 3 2" xfId="14754" xr:uid="{17CD2BCB-3BD2-4E20-BE79-FDB94FA46714}"/>
    <cellStyle name="Currency 5 2 6 5 4" xfId="10536" xr:uid="{F95C95A5-04C8-4D97-B8E8-BB877B5B5657}"/>
    <cellStyle name="Currency 5 2 6 6" xfId="2433" xr:uid="{00000000-0005-0000-0000-0000790C0000}"/>
    <cellStyle name="Currency 5 2 6 6 2" xfId="6717" xr:uid="{00000000-0005-0000-0000-00007A0C0000}"/>
    <cellStyle name="Currency 5 2 6 6 2 2" xfId="15167" xr:uid="{E4C2094A-5699-4E81-B5EC-6548AD7AEAB2}"/>
    <cellStyle name="Currency 5 2 6 6 3" xfId="10949" xr:uid="{3C125AAA-116B-49E0-934B-8BAC496E1E7F}"/>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E26AE901-59AB-4469-94B1-6D79E1BDFEE6}"/>
    <cellStyle name="Currency 5 2 6 8 3" xfId="11266" xr:uid="{ADD30452-6381-4388-9421-F2867DE9F8B3}"/>
    <cellStyle name="Currency 5 2 6 9" xfId="4651" xr:uid="{00000000-0005-0000-0000-00007E0C0000}"/>
    <cellStyle name="Currency 5 2 6 9 2" xfId="13101" xr:uid="{D2D2EEC6-264F-40C8-B6F1-A036FB05440B}"/>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91755ED9-14C2-486D-B1F7-CC54E7487F9C}"/>
    <cellStyle name="Currency 5 3 2 10 3" xfId="11267" xr:uid="{D231A4EF-6BFF-48DC-8503-8E7B608273D9}"/>
    <cellStyle name="Currency 5 3 2 11" xfId="4652" xr:uid="{00000000-0005-0000-0000-0000840C0000}"/>
    <cellStyle name="Currency 5 3 2 11 2" xfId="13102" xr:uid="{72FF3411-D5DB-4717-A524-8DF1442AC6C7}"/>
    <cellStyle name="Currency 5 3 2 12" xfId="8884" xr:uid="{BAE598BF-9B08-4FC0-AE53-5718BE9F6F6A}"/>
    <cellStyle name="Currency 5 3 2 2" xfId="211" xr:uid="{00000000-0005-0000-0000-0000850C0000}"/>
    <cellStyle name="Currency 5 3 2 2 10" xfId="4653" xr:uid="{00000000-0005-0000-0000-0000860C0000}"/>
    <cellStyle name="Currency 5 3 2 2 10 2" xfId="13103" xr:uid="{BE3B8130-33ED-4D6B-8D48-97EBA4332316}"/>
    <cellStyle name="Currency 5 3 2 2 11" xfId="8885" xr:uid="{6BF4AE9D-4CF0-4DEC-BA67-5547F51ADAE4}"/>
    <cellStyle name="Currency 5 3 2 2 2" xfId="212" xr:uid="{00000000-0005-0000-0000-0000870C0000}"/>
    <cellStyle name="Currency 5 3 2 2 2 10" xfId="8886" xr:uid="{577C05C8-A509-4E13-B8A5-F04E77C19ED6}"/>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328486AE-DC41-420D-A0C2-2C8DB08E8907}"/>
    <cellStyle name="Currency 5 3 2 2 2 2 2 3" xfId="11445" xr:uid="{DE52D36E-BA54-40F1-B813-D9903830A28F}"/>
    <cellStyle name="Currency 5 3 2 2 2 2 3" xfId="5068" xr:uid="{00000000-0005-0000-0000-00008B0C0000}"/>
    <cellStyle name="Currency 5 3 2 2 2 2 3 2" xfId="13518" xr:uid="{74A06DEB-FB69-4F81-AC3C-74BC23B3EAF0}"/>
    <cellStyle name="Currency 5 3 2 2 2 2 4" xfId="9300" xr:uid="{92955345-8D67-40B7-96C8-DBE52DE9A23D}"/>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8B511834-F1B7-4B94-8C8B-A09411BA78AE}"/>
    <cellStyle name="Currency 5 3 2 2 2 3 2 3" xfId="11858" xr:uid="{A95CF704-5D3D-452E-B7CA-FDEA14CA8C88}"/>
    <cellStyle name="Currency 5 3 2 2 2 3 3" xfId="5481" xr:uid="{00000000-0005-0000-0000-00008F0C0000}"/>
    <cellStyle name="Currency 5 3 2 2 2 3 3 2" xfId="13931" xr:uid="{43E893D1-84AA-4FB7-8DF6-32495F4C9D83}"/>
    <cellStyle name="Currency 5 3 2 2 2 3 4" xfId="9713" xr:uid="{58085DA5-1020-4874-8728-B06741760DF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6C0F9DBF-0B5B-4A49-BF63-234EB483DC08}"/>
    <cellStyle name="Currency 5 3 2 2 2 4 2 3" xfId="12271" xr:uid="{90C55B9F-321C-4670-874B-269578286684}"/>
    <cellStyle name="Currency 5 3 2 2 2 4 3" xfId="5894" xr:uid="{00000000-0005-0000-0000-0000930C0000}"/>
    <cellStyle name="Currency 5 3 2 2 2 4 3 2" xfId="14344" xr:uid="{64F0CE36-8190-4A9D-9CD9-040C13BB6BC4}"/>
    <cellStyle name="Currency 5 3 2 2 2 4 4" xfId="10126" xr:uid="{91513BEF-0843-4AAF-95BF-D62C37982FB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F718C960-9F76-4FD8-BBB5-FEAD74A04E96}"/>
    <cellStyle name="Currency 5 3 2 2 2 5 2 3" xfId="12684" xr:uid="{F12AC07D-D42F-40F5-B39D-C0A7F337B405}"/>
    <cellStyle name="Currency 5 3 2 2 2 5 3" xfId="6307" xr:uid="{00000000-0005-0000-0000-0000970C0000}"/>
    <cellStyle name="Currency 5 3 2 2 2 5 3 2" xfId="14757" xr:uid="{4268D7FD-06D6-45F9-A275-A588CEF9C663}"/>
    <cellStyle name="Currency 5 3 2 2 2 5 4" xfId="10539" xr:uid="{B024B685-7B44-47A8-B290-9A8239AB22DC}"/>
    <cellStyle name="Currency 5 3 2 2 2 6" xfId="2436" xr:uid="{00000000-0005-0000-0000-0000980C0000}"/>
    <cellStyle name="Currency 5 3 2 2 2 6 2" xfId="6720" xr:uid="{00000000-0005-0000-0000-0000990C0000}"/>
    <cellStyle name="Currency 5 3 2 2 2 6 2 2" xfId="15170" xr:uid="{D5FF58EE-3F53-4201-AF0F-4A19078C9D78}"/>
    <cellStyle name="Currency 5 3 2 2 2 6 3" xfId="10952" xr:uid="{C8202188-4B57-4136-95E9-BCF8BC12EECA}"/>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A40DD2AE-8CEC-432E-85EB-6BC7A4719B82}"/>
    <cellStyle name="Currency 5 3 2 2 2 8 3" xfId="11269" xr:uid="{7C817731-8816-4CAB-AD40-3844A59DE493}"/>
    <cellStyle name="Currency 5 3 2 2 2 9" xfId="4654" xr:uid="{00000000-0005-0000-0000-00009D0C0000}"/>
    <cellStyle name="Currency 5 3 2 2 2 9 2" xfId="13104" xr:uid="{A73021EC-A70E-4095-A186-6AA5B4CDF918}"/>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59A4E593-F877-450C-A273-E0843726840C}"/>
    <cellStyle name="Currency 5 3 2 2 3 2 3" xfId="11444" xr:uid="{507923F7-9D73-4D57-88F0-03D3D9842111}"/>
    <cellStyle name="Currency 5 3 2 2 3 3" xfId="5067" xr:uid="{00000000-0005-0000-0000-0000A10C0000}"/>
    <cellStyle name="Currency 5 3 2 2 3 3 2" xfId="13517" xr:uid="{280EBB83-6610-45D8-917C-CF7AC516D716}"/>
    <cellStyle name="Currency 5 3 2 2 3 4" xfId="9299" xr:uid="{00D62C0B-E612-49AB-9B3F-DD29695466AC}"/>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E60B7C8F-0254-4F2E-A066-A72FDAA4536C}"/>
    <cellStyle name="Currency 5 3 2 2 4 2 3" xfId="11857" xr:uid="{A58EBA0F-2237-44DF-B100-B860CFA9BC9E}"/>
    <cellStyle name="Currency 5 3 2 2 4 3" xfId="5480" xr:uid="{00000000-0005-0000-0000-0000A50C0000}"/>
    <cellStyle name="Currency 5 3 2 2 4 3 2" xfId="13930" xr:uid="{F5EBDFD8-3657-468C-8F12-3C260BA92EEE}"/>
    <cellStyle name="Currency 5 3 2 2 4 4" xfId="9712" xr:uid="{CB45A42E-7FCA-46F2-A1A4-BC6B59F6F787}"/>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19ED8F22-9158-4E67-AAFC-6508A2A5CB99}"/>
    <cellStyle name="Currency 5 3 2 2 5 2 3" xfId="12270" xr:uid="{4155EBD4-DFFF-4E29-AE7E-F4D9E285B2E6}"/>
    <cellStyle name="Currency 5 3 2 2 5 3" xfId="5893" xr:uid="{00000000-0005-0000-0000-0000A90C0000}"/>
    <cellStyle name="Currency 5 3 2 2 5 3 2" xfId="14343" xr:uid="{B6B821E1-E414-4AE6-8A9F-49FB02E227E6}"/>
    <cellStyle name="Currency 5 3 2 2 5 4" xfId="10125" xr:uid="{3B2B1A6B-BBEF-4F81-BB4A-9D5B9CB3EE77}"/>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414F42CA-C637-4EFD-8EF4-3C68B6E81DE1}"/>
    <cellStyle name="Currency 5 3 2 2 6 2 3" xfId="12683" xr:uid="{D24262F6-2796-4EE4-A0B3-5FCF66AB3899}"/>
    <cellStyle name="Currency 5 3 2 2 6 3" xfId="6306" xr:uid="{00000000-0005-0000-0000-0000AD0C0000}"/>
    <cellStyle name="Currency 5 3 2 2 6 3 2" xfId="14756" xr:uid="{D5FCEA11-76C2-4757-BE2B-F37CCA777472}"/>
    <cellStyle name="Currency 5 3 2 2 6 4" xfId="10538" xr:uid="{15A56AE5-196B-495B-BC67-3C7A697DAEA1}"/>
    <cellStyle name="Currency 5 3 2 2 7" xfId="2435" xr:uid="{00000000-0005-0000-0000-0000AE0C0000}"/>
    <cellStyle name="Currency 5 3 2 2 7 2" xfId="6719" xr:uid="{00000000-0005-0000-0000-0000AF0C0000}"/>
    <cellStyle name="Currency 5 3 2 2 7 2 2" xfId="15169" xr:uid="{08719113-ABFC-4EB0-87CD-C7066D8B9C1C}"/>
    <cellStyle name="Currency 5 3 2 2 7 3" xfId="10951" xr:uid="{DA0FC61C-7EBD-499B-91B9-C0BAB87C2872}"/>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64307863-A5BC-4F82-8293-12A8EFDF6AC2}"/>
    <cellStyle name="Currency 5 3 2 2 9 3" xfId="11268" xr:uid="{0D4CE4F7-6C4D-4FC5-A061-C9CF04870C10}"/>
    <cellStyle name="Currency 5 3 2 3" xfId="213" xr:uid="{00000000-0005-0000-0000-0000B30C0000}"/>
    <cellStyle name="Currency 5 3 2 3 10" xfId="8887" xr:uid="{0F74E368-6932-43A3-9E3E-F05D37703902}"/>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AAA1B4C5-6416-44CB-90AE-A083CEFF8D6E}"/>
    <cellStyle name="Currency 5 3 2 3 2 2 3" xfId="11446" xr:uid="{17C9FD33-46D3-479A-90E4-E3DBDBE029F5}"/>
    <cellStyle name="Currency 5 3 2 3 2 3" xfId="5069" xr:uid="{00000000-0005-0000-0000-0000B70C0000}"/>
    <cellStyle name="Currency 5 3 2 3 2 3 2" xfId="13519" xr:uid="{4688D594-62FC-414F-881F-D5FBC9CF4FAB}"/>
    <cellStyle name="Currency 5 3 2 3 2 4" xfId="9301" xr:uid="{5C9B9AC9-F017-401D-B6A2-8AEAE60019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286B6A3A-35C6-41AB-8124-B76F6BBB94A5}"/>
    <cellStyle name="Currency 5 3 2 3 3 2 3" xfId="11859" xr:uid="{DE3E3642-EEBB-4379-80A3-F328B1E4DB8D}"/>
    <cellStyle name="Currency 5 3 2 3 3 3" xfId="5482" xr:uid="{00000000-0005-0000-0000-0000BB0C0000}"/>
    <cellStyle name="Currency 5 3 2 3 3 3 2" xfId="13932" xr:uid="{DDE34FE1-2AA6-43C6-BC57-0CF25E71F12D}"/>
    <cellStyle name="Currency 5 3 2 3 3 4" xfId="9714" xr:uid="{5F6CFA79-1206-4A8E-9606-06769D5149C1}"/>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D8D820D6-CAF5-422A-989A-F9859EF02642}"/>
    <cellStyle name="Currency 5 3 2 3 4 2 3" xfId="12272" xr:uid="{480B9A76-2EC0-4099-A0F2-6AA19D80E772}"/>
    <cellStyle name="Currency 5 3 2 3 4 3" xfId="5895" xr:uid="{00000000-0005-0000-0000-0000BF0C0000}"/>
    <cellStyle name="Currency 5 3 2 3 4 3 2" xfId="14345" xr:uid="{8AC93EF0-A775-4B87-9543-E99E860DAA58}"/>
    <cellStyle name="Currency 5 3 2 3 4 4" xfId="10127" xr:uid="{BBE214F3-7079-4D42-93DC-5B5BA8182D22}"/>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AEC1238B-1B31-49EA-8CD1-C3FE1AE6BDF5}"/>
    <cellStyle name="Currency 5 3 2 3 5 2 3" xfId="12685" xr:uid="{6CCCCD95-CFEC-42BD-855C-2288C88A62D5}"/>
    <cellStyle name="Currency 5 3 2 3 5 3" xfId="6308" xr:uid="{00000000-0005-0000-0000-0000C30C0000}"/>
    <cellStyle name="Currency 5 3 2 3 5 3 2" xfId="14758" xr:uid="{D15507BA-7D76-4537-B9C5-7BF21C5B957C}"/>
    <cellStyle name="Currency 5 3 2 3 5 4" xfId="10540" xr:uid="{BDC465C3-3443-451B-B26C-88480A5010F4}"/>
    <cellStyle name="Currency 5 3 2 3 6" xfId="2437" xr:uid="{00000000-0005-0000-0000-0000C40C0000}"/>
    <cellStyle name="Currency 5 3 2 3 6 2" xfId="6721" xr:uid="{00000000-0005-0000-0000-0000C50C0000}"/>
    <cellStyle name="Currency 5 3 2 3 6 2 2" xfId="15171" xr:uid="{FEDAF777-40B7-49B6-ACDA-AE828E748F9D}"/>
    <cellStyle name="Currency 5 3 2 3 6 3" xfId="10953" xr:uid="{F0C20C10-6531-475D-B204-1701AF799FE5}"/>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39526702-1682-45BA-9BF8-A5E9A1F9AFEC}"/>
    <cellStyle name="Currency 5 3 2 3 8 3" xfId="11270" xr:uid="{3FC562B4-1750-49F1-9398-C8BD94626AF8}"/>
    <cellStyle name="Currency 5 3 2 3 9" xfId="4655" xr:uid="{00000000-0005-0000-0000-0000C90C0000}"/>
    <cellStyle name="Currency 5 3 2 3 9 2" xfId="13105" xr:uid="{B7A4EEE1-28AC-49E6-8C2E-8DF87BA6C05A}"/>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3718E95D-92BB-4459-ACB8-D34B568DD5EC}"/>
    <cellStyle name="Currency 5 3 2 4 2 3" xfId="11443" xr:uid="{AF7450DD-78AD-4FE4-AFEC-FDB64A6EE96B}"/>
    <cellStyle name="Currency 5 3 2 4 3" xfId="5066" xr:uid="{00000000-0005-0000-0000-0000CD0C0000}"/>
    <cellStyle name="Currency 5 3 2 4 3 2" xfId="13516" xr:uid="{09AF0F92-5F6E-4DA5-AEAB-27B3CFE140D4}"/>
    <cellStyle name="Currency 5 3 2 4 4" xfId="9298" xr:uid="{C1E2F1C7-4888-47E4-ADBE-0DC29D3AE052}"/>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4009220F-52E0-47D5-A99E-16534E8EE71B}"/>
    <cellStyle name="Currency 5 3 2 5 2 3" xfId="11856" xr:uid="{2A9C4B0E-8A54-427E-B2E7-3F789BC54BB4}"/>
    <cellStyle name="Currency 5 3 2 5 3" xfId="5479" xr:uid="{00000000-0005-0000-0000-0000D10C0000}"/>
    <cellStyle name="Currency 5 3 2 5 3 2" xfId="13929" xr:uid="{D9386790-8C54-4253-B01D-E534EF309CA3}"/>
    <cellStyle name="Currency 5 3 2 5 4" xfId="9711" xr:uid="{B6FA2523-A486-4AA2-A877-550D7B76B8F6}"/>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78A157E1-285A-4ADD-887A-B4D445A1D250}"/>
    <cellStyle name="Currency 5 3 2 6 2 3" xfId="12269" xr:uid="{04F6892A-8E38-4D4D-B800-57C8021295A0}"/>
    <cellStyle name="Currency 5 3 2 6 3" xfId="5892" xr:uid="{00000000-0005-0000-0000-0000D50C0000}"/>
    <cellStyle name="Currency 5 3 2 6 3 2" xfId="14342" xr:uid="{AC93FADD-10E4-47B2-9035-8A249531427F}"/>
    <cellStyle name="Currency 5 3 2 6 4" xfId="10124" xr:uid="{7ED20658-18DD-498D-BF55-CBA4912068C1}"/>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8F8554F8-BDB4-4A46-810D-398100C02AC9}"/>
    <cellStyle name="Currency 5 3 2 7 2 3" xfId="12682" xr:uid="{75982A01-CCCB-4578-BB86-9B9D1F3E0CAB}"/>
    <cellStyle name="Currency 5 3 2 7 3" xfId="6305" xr:uid="{00000000-0005-0000-0000-0000D90C0000}"/>
    <cellStyle name="Currency 5 3 2 7 3 2" xfId="14755" xr:uid="{6D03AFF6-E05F-4149-96C1-19E723CCA418}"/>
    <cellStyle name="Currency 5 3 2 7 4" xfId="10537" xr:uid="{08F9ECC3-29BF-4D1E-B85F-8E4F5CE4F636}"/>
    <cellStyle name="Currency 5 3 2 8" xfId="2434" xr:uid="{00000000-0005-0000-0000-0000DA0C0000}"/>
    <cellStyle name="Currency 5 3 2 8 2" xfId="6718" xr:uid="{00000000-0005-0000-0000-0000DB0C0000}"/>
    <cellStyle name="Currency 5 3 2 8 2 2" xfId="15168" xr:uid="{EE70CF47-6522-4A85-BFCC-D939724CB065}"/>
    <cellStyle name="Currency 5 3 2 8 3" xfId="10950" xr:uid="{4AE7AAFA-92F7-4B6D-A3A8-232DCD8A0629}"/>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D18D1AF2-FEBB-4377-A4A3-ADA1ED46BF3E}"/>
    <cellStyle name="Currency 5 3 3 11" xfId="8888" xr:uid="{D748237D-4FEC-45BF-9765-3FE93C7A3647}"/>
    <cellStyle name="Currency 5 3 3 2" xfId="215" xr:uid="{00000000-0005-0000-0000-0000DF0C0000}"/>
    <cellStyle name="Currency 5 3 3 2 10" xfId="8889" xr:uid="{84EE9269-8293-40B3-AE3B-F6B3AD41A443}"/>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C1663B25-99BC-4204-A73D-938FBD908F89}"/>
    <cellStyle name="Currency 5 3 3 2 2 2 3" xfId="11448" xr:uid="{DC143E29-1292-4CB7-A6D9-B2C1845E5D47}"/>
    <cellStyle name="Currency 5 3 3 2 2 3" xfId="5071" xr:uid="{00000000-0005-0000-0000-0000E30C0000}"/>
    <cellStyle name="Currency 5 3 3 2 2 3 2" xfId="13521" xr:uid="{4BB11D80-47B4-43F8-A182-6AA1247E3297}"/>
    <cellStyle name="Currency 5 3 3 2 2 4" xfId="9303" xr:uid="{2D279CDC-480B-4C8C-A81E-64E1120A926F}"/>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6B163D5F-4AFA-441B-B05F-8BBFEBE062C0}"/>
    <cellStyle name="Currency 5 3 3 2 3 2 3" xfId="11861" xr:uid="{115D1C64-BDEB-4C79-8BE2-884A83E0E534}"/>
    <cellStyle name="Currency 5 3 3 2 3 3" xfId="5484" xr:uid="{00000000-0005-0000-0000-0000E70C0000}"/>
    <cellStyle name="Currency 5 3 3 2 3 3 2" xfId="13934" xr:uid="{D6770C22-954F-4624-BDA8-891477D80F31}"/>
    <cellStyle name="Currency 5 3 3 2 3 4" xfId="9716" xr:uid="{CD2B8587-64E2-4845-A4C9-39797C10A5D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F73E0E33-A81F-49FD-8386-71E825C7D067}"/>
    <cellStyle name="Currency 5 3 3 2 4 2 3" xfId="12274" xr:uid="{7D841A09-CBDE-42E7-96CD-2023D7A67D2F}"/>
    <cellStyle name="Currency 5 3 3 2 4 3" xfId="5897" xr:uid="{00000000-0005-0000-0000-0000EB0C0000}"/>
    <cellStyle name="Currency 5 3 3 2 4 3 2" xfId="14347" xr:uid="{557C7CC1-13CE-4851-9CDB-D930C4C0C304}"/>
    <cellStyle name="Currency 5 3 3 2 4 4" xfId="10129" xr:uid="{A4816B29-C516-475E-A4FA-F23F31B3C34F}"/>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F5E07F46-4762-429E-8973-694BF1F1E4EF}"/>
    <cellStyle name="Currency 5 3 3 2 5 2 3" xfId="12687" xr:uid="{67B02107-023C-4752-BDF4-92F6A5CC7CED}"/>
    <cellStyle name="Currency 5 3 3 2 5 3" xfId="6310" xr:uid="{00000000-0005-0000-0000-0000EF0C0000}"/>
    <cellStyle name="Currency 5 3 3 2 5 3 2" xfId="14760" xr:uid="{C5DC252A-4AB2-46A2-8690-D681DAF6EBAB}"/>
    <cellStyle name="Currency 5 3 3 2 5 4" xfId="10542" xr:uid="{D41772BE-B583-43FB-B92E-04D9E0D33EB9}"/>
    <cellStyle name="Currency 5 3 3 2 6" xfId="2439" xr:uid="{00000000-0005-0000-0000-0000F00C0000}"/>
    <cellStyle name="Currency 5 3 3 2 6 2" xfId="6723" xr:uid="{00000000-0005-0000-0000-0000F10C0000}"/>
    <cellStyle name="Currency 5 3 3 2 6 2 2" xfId="15173" xr:uid="{15FDFCF1-5760-4BC1-B08C-9A02179F6CA3}"/>
    <cellStyle name="Currency 5 3 3 2 6 3" xfId="10955" xr:uid="{E0E5540D-1589-4CC5-B63B-FC6FD26021FF}"/>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405E25F1-CE99-4E77-8C1F-A50A306B7040}"/>
    <cellStyle name="Currency 5 3 3 2 8 3" xfId="11272" xr:uid="{656F4CCA-32A9-4371-BAA7-508FE316449C}"/>
    <cellStyle name="Currency 5 3 3 2 9" xfId="4657" xr:uid="{00000000-0005-0000-0000-0000F50C0000}"/>
    <cellStyle name="Currency 5 3 3 2 9 2" xfId="13107" xr:uid="{940FDCE9-2D21-413C-BC75-92B376E22EBF}"/>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D9ABE144-0E4B-4D21-B7BD-25AA0D5B04D4}"/>
    <cellStyle name="Currency 5 3 3 3 2 3" xfId="11447" xr:uid="{185474DC-49B2-4B65-AE06-7B2B7E80357F}"/>
    <cellStyle name="Currency 5 3 3 3 3" xfId="5070" xr:uid="{00000000-0005-0000-0000-0000F90C0000}"/>
    <cellStyle name="Currency 5 3 3 3 3 2" xfId="13520" xr:uid="{3B1CADFA-F540-4D89-AEFF-AAC74EBC100A}"/>
    <cellStyle name="Currency 5 3 3 3 4" xfId="9302" xr:uid="{D812AD03-E1EC-41A4-BA66-868CD99F5151}"/>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0615E9E1-E304-4E0F-BA4F-2FEA5A4FEDE9}"/>
    <cellStyle name="Currency 5 3 3 4 2 3" xfId="11860" xr:uid="{14DE9BF5-8086-4CDF-8BD4-ADF00C84C3C5}"/>
    <cellStyle name="Currency 5 3 3 4 3" xfId="5483" xr:uid="{00000000-0005-0000-0000-0000FD0C0000}"/>
    <cellStyle name="Currency 5 3 3 4 3 2" xfId="13933" xr:uid="{4762F4FF-1360-4465-867D-E804D2218796}"/>
    <cellStyle name="Currency 5 3 3 4 4" xfId="9715" xr:uid="{78868E87-8172-49DF-A5F4-A4CC3EA75288}"/>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A0A9B807-7157-4485-B661-3FA97D973AD2}"/>
    <cellStyle name="Currency 5 3 3 5 2 3" xfId="12273" xr:uid="{B97C8FDA-CDF1-4732-B07E-565655158B3A}"/>
    <cellStyle name="Currency 5 3 3 5 3" xfId="5896" xr:uid="{00000000-0005-0000-0000-0000010D0000}"/>
    <cellStyle name="Currency 5 3 3 5 3 2" xfId="14346" xr:uid="{FCAC7BB5-E229-4267-A0C9-931DAF0BBDAF}"/>
    <cellStyle name="Currency 5 3 3 5 4" xfId="10128" xr:uid="{0A0AE17C-D06E-4663-8268-0B216356ADCF}"/>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22C7F216-8294-43BC-B1C5-3BC7DE40F0FB}"/>
    <cellStyle name="Currency 5 3 3 6 2 3" xfId="12686" xr:uid="{36A0BC80-A2EE-472C-B608-8AA0F5CE3951}"/>
    <cellStyle name="Currency 5 3 3 6 3" xfId="6309" xr:uid="{00000000-0005-0000-0000-0000050D0000}"/>
    <cellStyle name="Currency 5 3 3 6 3 2" xfId="14759" xr:uid="{31BF65AC-6C70-4CBD-969F-5AAA677233FC}"/>
    <cellStyle name="Currency 5 3 3 6 4" xfId="10541" xr:uid="{9A224773-6DB3-4837-A390-41F8EDE252A7}"/>
    <cellStyle name="Currency 5 3 3 7" xfId="2438" xr:uid="{00000000-0005-0000-0000-0000060D0000}"/>
    <cellStyle name="Currency 5 3 3 7 2" xfId="6722" xr:uid="{00000000-0005-0000-0000-0000070D0000}"/>
    <cellStyle name="Currency 5 3 3 7 2 2" xfId="15172" xr:uid="{4E7EF258-F9A1-4BBA-A6FA-D6D847EF8FF0}"/>
    <cellStyle name="Currency 5 3 3 7 3" xfId="10954" xr:uid="{07D46703-382F-4933-91DE-66B0592BC8E0}"/>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B4A71040-FC8C-4291-8E9C-B7349909F2D4}"/>
    <cellStyle name="Currency 5 3 3 9 3" xfId="11271" xr:uid="{2CA2A5EF-4DFA-4EBF-A3B6-5CC21476D57B}"/>
    <cellStyle name="Currency 5 3 4" xfId="216" xr:uid="{00000000-0005-0000-0000-00000B0D0000}"/>
    <cellStyle name="Currency 5 3 4 10" xfId="8890" xr:uid="{B4FB7B58-D4E5-44E5-858C-AFD87ECC32D7}"/>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046A6F06-0B06-4D4F-9E78-D19AB9D97413}"/>
    <cellStyle name="Currency 5 3 4 2 2 3" xfId="11449" xr:uid="{4EE384FB-4C6C-4249-8588-BEA168A9CD80}"/>
    <cellStyle name="Currency 5 3 4 2 3" xfId="5072" xr:uid="{00000000-0005-0000-0000-00000F0D0000}"/>
    <cellStyle name="Currency 5 3 4 2 3 2" xfId="13522" xr:uid="{00F9FFBE-DB29-482C-B9ED-8BECBC40A102}"/>
    <cellStyle name="Currency 5 3 4 2 4" xfId="9304" xr:uid="{219C6327-2D58-4F8F-BA09-06A05E7B11C0}"/>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B4DD616E-6817-4255-B641-C7AB948A1C39}"/>
    <cellStyle name="Currency 5 3 4 3 2 3" xfId="11862" xr:uid="{E3162B79-B16E-45F6-8707-B4B39C09D3A4}"/>
    <cellStyle name="Currency 5 3 4 3 3" xfId="5485" xr:uid="{00000000-0005-0000-0000-0000130D0000}"/>
    <cellStyle name="Currency 5 3 4 3 3 2" xfId="13935" xr:uid="{E12E4056-883A-4AC3-B06B-FCF25BBC8E8F}"/>
    <cellStyle name="Currency 5 3 4 3 4" xfId="9717" xr:uid="{9AF53C44-E43E-420A-8306-81C47881738B}"/>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61F80DF0-00D9-4896-B08C-36C7AD4C53AC}"/>
    <cellStyle name="Currency 5 3 4 4 2 3" xfId="12275" xr:uid="{EDDE8B86-30DC-414B-8721-422E898A5D32}"/>
    <cellStyle name="Currency 5 3 4 4 3" xfId="5898" xr:uid="{00000000-0005-0000-0000-0000170D0000}"/>
    <cellStyle name="Currency 5 3 4 4 3 2" xfId="14348" xr:uid="{4EEB28AE-8B49-4829-96CF-87013C71DD48}"/>
    <cellStyle name="Currency 5 3 4 4 4" xfId="10130" xr:uid="{31BF4A24-6F90-42E1-AF82-0F4FC4E9C546}"/>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8AE3CD94-892D-4912-B2F4-E836A5FE820C}"/>
    <cellStyle name="Currency 5 3 4 5 2 3" xfId="12688" xr:uid="{7F7BA976-8A5C-4011-AE96-FDE0CDB4937F}"/>
    <cellStyle name="Currency 5 3 4 5 3" xfId="6311" xr:uid="{00000000-0005-0000-0000-00001B0D0000}"/>
    <cellStyle name="Currency 5 3 4 5 3 2" xfId="14761" xr:uid="{FA8EEFEF-132B-42B8-A068-68F70931FB0D}"/>
    <cellStyle name="Currency 5 3 4 5 4" xfId="10543" xr:uid="{045ACC68-393A-4592-A47B-0A6B90BE2008}"/>
    <cellStyle name="Currency 5 3 4 6" xfId="2440" xr:uid="{00000000-0005-0000-0000-00001C0D0000}"/>
    <cellStyle name="Currency 5 3 4 6 2" xfId="6724" xr:uid="{00000000-0005-0000-0000-00001D0D0000}"/>
    <cellStyle name="Currency 5 3 4 6 2 2" xfId="15174" xr:uid="{8F5DDED7-6F38-48B8-9098-A0016ADE6366}"/>
    <cellStyle name="Currency 5 3 4 6 3" xfId="10956" xr:uid="{8D7DCC82-01D2-4D16-8234-3E14B70486BA}"/>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09B16596-CB60-4278-8CAE-58088384FE57}"/>
    <cellStyle name="Currency 5 3 4 8 3" xfId="11273" xr:uid="{C06C2F92-AA2F-4EE8-A9B5-70009C846093}"/>
    <cellStyle name="Currency 5 3 4 9" xfId="4658" xr:uid="{00000000-0005-0000-0000-0000210D0000}"/>
    <cellStyle name="Currency 5 3 4 9 2" xfId="13108" xr:uid="{A826A37B-1162-4B90-AF17-8D3C200AD199}"/>
    <cellStyle name="Currency 5 3 5" xfId="217" xr:uid="{00000000-0005-0000-0000-0000220D0000}"/>
    <cellStyle name="Currency 5 3 5 10" xfId="8891" xr:uid="{5163FAA8-4EEB-45DD-8F1D-4CEBEDE612A4}"/>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3026E90A-8593-4649-AFEE-C945F88CE9EA}"/>
    <cellStyle name="Currency 5 3 5 2 2 3" xfId="11450" xr:uid="{8155E514-0515-4C1B-B8AA-9154EDE61C39}"/>
    <cellStyle name="Currency 5 3 5 2 3" xfId="5073" xr:uid="{00000000-0005-0000-0000-0000260D0000}"/>
    <cellStyle name="Currency 5 3 5 2 3 2" xfId="13523" xr:uid="{3426F093-110B-4B4C-ADD7-7DD1A68FA133}"/>
    <cellStyle name="Currency 5 3 5 2 4" xfId="9305" xr:uid="{6281D123-D7D3-4258-8296-257214B52188}"/>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F639BBA3-3FC1-4616-8B05-8253210F1030}"/>
    <cellStyle name="Currency 5 3 5 3 2 3" xfId="11863" xr:uid="{641AAC42-4EA6-457D-9D0E-FAFB10BD1196}"/>
    <cellStyle name="Currency 5 3 5 3 3" xfId="5486" xr:uid="{00000000-0005-0000-0000-00002A0D0000}"/>
    <cellStyle name="Currency 5 3 5 3 3 2" xfId="13936" xr:uid="{E4B7F5FF-75C5-4FC9-B25C-D10EBD7D092D}"/>
    <cellStyle name="Currency 5 3 5 3 4" xfId="9718" xr:uid="{D5431A8C-FCE6-4E5C-ABC8-A00075F14E6F}"/>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C1D68C17-383A-4BD2-A2F1-BFBB56E81767}"/>
    <cellStyle name="Currency 5 3 5 4 2 3" xfId="12276" xr:uid="{C38DA707-E236-4664-910D-3ADF0E51F003}"/>
    <cellStyle name="Currency 5 3 5 4 3" xfId="5899" xr:uid="{00000000-0005-0000-0000-00002E0D0000}"/>
    <cellStyle name="Currency 5 3 5 4 3 2" xfId="14349" xr:uid="{22BA6B44-8893-4F1E-8F61-982B8F56D30B}"/>
    <cellStyle name="Currency 5 3 5 4 4" xfId="10131" xr:uid="{B0EC8D5D-5D65-482E-8DE0-41066D70C6E9}"/>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C9433E9B-7410-466B-AD13-5C6ADF451A40}"/>
    <cellStyle name="Currency 5 3 5 5 2 3" xfId="12689" xr:uid="{D14F7633-1D2F-4BA7-8305-EC7D1A132631}"/>
    <cellStyle name="Currency 5 3 5 5 3" xfId="6312" xr:uid="{00000000-0005-0000-0000-0000320D0000}"/>
    <cellStyle name="Currency 5 3 5 5 3 2" xfId="14762" xr:uid="{2FD0AF34-C1DC-40FE-AC25-A6485D75BF2F}"/>
    <cellStyle name="Currency 5 3 5 5 4" xfId="10544" xr:uid="{D6A1663A-9CFA-49F7-B0D8-F6B6CD35BEF9}"/>
    <cellStyle name="Currency 5 3 5 6" xfId="2441" xr:uid="{00000000-0005-0000-0000-0000330D0000}"/>
    <cellStyle name="Currency 5 3 5 6 2" xfId="6725" xr:uid="{00000000-0005-0000-0000-0000340D0000}"/>
    <cellStyle name="Currency 5 3 5 6 2 2" xfId="15175" xr:uid="{E1E4C83D-2776-4983-B5AB-5B922C5B67B4}"/>
    <cellStyle name="Currency 5 3 5 6 3" xfId="10957" xr:uid="{0F26BD2F-BA40-49C3-B9CE-1C23626F1C19}"/>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7EBE9F0D-D91C-4E82-BE38-2C9D0CAE48D1}"/>
    <cellStyle name="Currency 5 3 5 8 3" xfId="11274" xr:uid="{4EE5A1AC-0F6D-422D-ADD4-1868021901D2}"/>
    <cellStyle name="Currency 5 3 5 9" xfId="4659" xr:uid="{00000000-0005-0000-0000-0000380D0000}"/>
    <cellStyle name="Currency 5 3 5 9 2" xfId="13109" xr:uid="{8D7D898E-5ECF-42F0-9144-12EE236AEDAA}"/>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CB785341-D9AC-4F4C-BDBA-2E67321E9AA8}"/>
    <cellStyle name="Currency 5 5 11" xfId="8892" xr:uid="{947EF964-CDC4-41EE-875A-7F5242C207A0}"/>
    <cellStyle name="Currency 5 5 2" xfId="220" xr:uid="{00000000-0005-0000-0000-00003D0D0000}"/>
    <cellStyle name="Currency 5 5 2 10" xfId="8893" xr:uid="{AFA74E44-2AE1-41D4-93F1-5028CED279E8}"/>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94BF335E-3C05-4192-ADF8-DA7EA2262AA9}"/>
    <cellStyle name="Currency 5 5 2 2 2 3" xfId="11452" xr:uid="{1A4F266C-DABC-4395-8059-F3E4C84C8A89}"/>
    <cellStyle name="Currency 5 5 2 2 3" xfId="5075" xr:uid="{00000000-0005-0000-0000-0000410D0000}"/>
    <cellStyle name="Currency 5 5 2 2 3 2" xfId="13525" xr:uid="{7AF57AED-B938-4CAF-B9EB-A9C6EDF4599A}"/>
    <cellStyle name="Currency 5 5 2 2 4" xfId="9307" xr:uid="{547F4802-0B34-4B3C-A328-BAF240412077}"/>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B849079B-4367-4140-81D2-3907ECB27C69}"/>
    <cellStyle name="Currency 5 5 2 3 2 3" xfId="11865" xr:uid="{4937919B-446B-452B-9F00-A2D65F7D2020}"/>
    <cellStyle name="Currency 5 5 2 3 3" xfId="5488" xr:uid="{00000000-0005-0000-0000-0000450D0000}"/>
    <cellStyle name="Currency 5 5 2 3 3 2" xfId="13938" xr:uid="{197D24C4-10FE-462B-A427-279636DD8358}"/>
    <cellStyle name="Currency 5 5 2 3 4" xfId="9720" xr:uid="{F2E1471A-9EAC-47B1-B792-6DB93A1BF75F}"/>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A176D610-2CD1-4383-B49D-334A17A10F04}"/>
    <cellStyle name="Currency 5 5 2 4 2 3" xfId="12278" xr:uid="{5487F2B0-C158-4BAF-A311-AE71C56D171E}"/>
    <cellStyle name="Currency 5 5 2 4 3" xfId="5901" xr:uid="{00000000-0005-0000-0000-0000490D0000}"/>
    <cellStyle name="Currency 5 5 2 4 3 2" xfId="14351" xr:uid="{E7E90C95-2CE6-411F-BEA7-CF594D814F15}"/>
    <cellStyle name="Currency 5 5 2 4 4" xfId="10133" xr:uid="{D5C7508E-ACEA-47FA-B881-098AA29C83E0}"/>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BE5017BE-4382-4216-8A4B-555EC1A3818A}"/>
    <cellStyle name="Currency 5 5 2 5 2 3" xfId="12691" xr:uid="{F9EB6861-BCBF-413D-8101-866834F4627F}"/>
    <cellStyle name="Currency 5 5 2 5 3" xfId="6314" xr:uid="{00000000-0005-0000-0000-00004D0D0000}"/>
    <cellStyle name="Currency 5 5 2 5 3 2" xfId="14764" xr:uid="{CB364C9D-5C1B-460E-9A7E-FB4DF3B75B91}"/>
    <cellStyle name="Currency 5 5 2 5 4" xfId="10546" xr:uid="{EE40BE47-2797-45C1-84E8-9D264AA9C2F6}"/>
    <cellStyle name="Currency 5 5 2 6" xfId="2443" xr:uid="{00000000-0005-0000-0000-00004E0D0000}"/>
    <cellStyle name="Currency 5 5 2 6 2" xfId="6727" xr:uid="{00000000-0005-0000-0000-00004F0D0000}"/>
    <cellStyle name="Currency 5 5 2 6 2 2" xfId="15177" xr:uid="{042C9F15-0F27-43BB-AF63-BA9FA550E239}"/>
    <cellStyle name="Currency 5 5 2 6 3" xfId="10959" xr:uid="{99543876-A5E1-4F00-97F7-C14A5E29D122}"/>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405A88DD-B17C-4752-AC24-DB7A5157E91C}"/>
    <cellStyle name="Currency 5 5 2 8 3" xfId="11276" xr:uid="{D28E8A1C-8D1B-4F2E-A873-8260354FAA39}"/>
    <cellStyle name="Currency 5 5 2 9" xfId="4661" xr:uid="{00000000-0005-0000-0000-0000530D0000}"/>
    <cellStyle name="Currency 5 5 2 9 2" xfId="13111" xr:uid="{CDB9F402-B96B-4DC6-8BDE-A837C6AEFAFE}"/>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9260B194-B474-43CE-9928-51AE954EDFE4}"/>
    <cellStyle name="Currency 5 5 3 2 3" xfId="11451" xr:uid="{BF0391FD-52C0-4453-B6EF-C06258658A0A}"/>
    <cellStyle name="Currency 5 5 3 3" xfId="5074" xr:uid="{00000000-0005-0000-0000-0000570D0000}"/>
    <cellStyle name="Currency 5 5 3 3 2" xfId="13524" xr:uid="{DE4353BF-6582-4A0C-98F1-0164E559B5C2}"/>
    <cellStyle name="Currency 5 5 3 4" xfId="9306" xr:uid="{65EAAA29-5275-431A-B645-ED83A94292B1}"/>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CCCDBAA6-A288-47D7-9E52-F1F11E5180DB}"/>
    <cellStyle name="Currency 5 5 4 2 3" xfId="11864" xr:uid="{9B7EBF4C-3E6C-4679-925D-F821B4B61944}"/>
    <cellStyle name="Currency 5 5 4 3" xfId="5487" xr:uid="{00000000-0005-0000-0000-00005B0D0000}"/>
    <cellStyle name="Currency 5 5 4 3 2" xfId="13937" xr:uid="{8092EBE9-1500-4053-B0AB-C08948B589ED}"/>
    <cellStyle name="Currency 5 5 4 4" xfId="9719" xr:uid="{4B989887-EC95-4CED-A1CD-C227DB20C2D1}"/>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7AC266FE-1BF7-4AFC-AC05-DEDA507C2EA5}"/>
    <cellStyle name="Currency 5 5 5 2 3" xfId="12277" xr:uid="{CCE7A7CB-2DA1-4D0B-AA75-5C4C01DA9AA3}"/>
    <cellStyle name="Currency 5 5 5 3" xfId="5900" xr:uid="{00000000-0005-0000-0000-00005F0D0000}"/>
    <cellStyle name="Currency 5 5 5 3 2" xfId="14350" xr:uid="{C9D8235C-33C7-413D-B15D-D075224FB793}"/>
    <cellStyle name="Currency 5 5 5 4" xfId="10132" xr:uid="{35CAC475-4132-494D-A455-CFCED1BB5899}"/>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270A28CF-BAD8-4BBF-91B7-1E518493CBBF}"/>
    <cellStyle name="Currency 5 5 6 2 3" xfId="12690" xr:uid="{53F063A2-C65C-4F9C-9A59-E6ED7F2B36F5}"/>
    <cellStyle name="Currency 5 5 6 3" xfId="6313" xr:uid="{00000000-0005-0000-0000-0000630D0000}"/>
    <cellStyle name="Currency 5 5 6 3 2" xfId="14763" xr:uid="{EBD76213-6499-48F3-BAF5-93605013198B}"/>
    <cellStyle name="Currency 5 5 6 4" xfId="10545" xr:uid="{3CBBE4B9-2F77-429F-8CA3-64EBA808AC14}"/>
    <cellStyle name="Currency 5 5 7" xfId="2442" xr:uid="{00000000-0005-0000-0000-0000640D0000}"/>
    <cellStyle name="Currency 5 5 7 2" xfId="6726" xr:uid="{00000000-0005-0000-0000-0000650D0000}"/>
    <cellStyle name="Currency 5 5 7 2 2" xfId="15176" xr:uid="{BCC0C4C2-8551-49BE-BADC-4C1C19EBC0F1}"/>
    <cellStyle name="Currency 5 5 7 3" xfId="10958" xr:uid="{156C1956-C79C-434C-9AAB-E2021E9A5962}"/>
    <cellStyle name="Currency 5 5 8" xfId="2739" xr:uid="{00000000-0005-0000-0000-0000660D0000}"/>
    <cellStyle name="Currency 5 5 9" xfId="2820" xr:uid="{00000000-0005-0000-0000-0000670D0000}"/>
    <cellStyle name="Currency 5 5 9 2" xfId="7043" xr:uid="{00000000-0005-0000-0000-0000680D0000}"/>
    <cellStyle name="Currency 5 5 9 2 2" xfId="15493" xr:uid="{FBA1773C-12E7-466B-9A40-70B56E8CD99C}"/>
    <cellStyle name="Currency 5 5 9 3" xfId="11275" xr:uid="{2E4C1CF6-106B-4959-861E-5867D395C067}"/>
    <cellStyle name="Currency 5 6" xfId="221" xr:uid="{00000000-0005-0000-0000-0000690D0000}"/>
    <cellStyle name="Currency 5 6 10" xfId="8894" xr:uid="{042785C7-10FA-4395-8CA1-BF3977E02712}"/>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849D6096-FB8B-489D-BABF-09AE9FCC3F32}"/>
    <cellStyle name="Currency 5 6 2 2 3" xfId="11453" xr:uid="{7F23CF66-4DC7-4F74-9EB6-FD333126A21B}"/>
    <cellStyle name="Currency 5 6 2 3" xfId="5076" xr:uid="{00000000-0005-0000-0000-00006D0D0000}"/>
    <cellStyle name="Currency 5 6 2 3 2" xfId="13526" xr:uid="{78DCB0E1-305F-4842-A145-D33D49C9C364}"/>
    <cellStyle name="Currency 5 6 2 4" xfId="9308" xr:uid="{B897E2E5-1FF2-44DE-B107-317C591628AA}"/>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52C909ED-8014-4285-A71E-ED0B7AB40349}"/>
    <cellStyle name="Currency 5 6 3 2 3" xfId="11866" xr:uid="{38DE6CB2-FD6D-475D-B56D-EC808DA5B5E8}"/>
    <cellStyle name="Currency 5 6 3 3" xfId="5489" xr:uid="{00000000-0005-0000-0000-0000710D0000}"/>
    <cellStyle name="Currency 5 6 3 3 2" xfId="13939" xr:uid="{7F6A2702-C51D-4AAC-884C-093A8EDB6C8A}"/>
    <cellStyle name="Currency 5 6 3 4" xfId="9721" xr:uid="{8B390F28-98DE-4D06-9560-0B0C9A12BCDF}"/>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827A4E06-0481-4805-AB52-5DBEDB586CC0}"/>
    <cellStyle name="Currency 5 6 4 2 3" xfId="12279" xr:uid="{492CC9D0-FEF5-40CD-995A-4D8C76399B36}"/>
    <cellStyle name="Currency 5 6 4 3" xfId="5902" xr:uid="{00000000-0005-0000-0000-0000750D0000}"/>
    <cellStyle name="Currency 5 6 4 3 2" xfId="14352" xr:uid="{C5B4D227-7BE1-4BBE-9407-E1BE4E35B80F}"/>
    <cellStyle name="Currency 5 6 4 4" xfId="10134" xr:uid="{0EADAC6C-61B0-44B8-870B-50ADD2EE84D4}"/>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07CB2AF1-EF17-4EBC-B3B5-FE18EC7746F4}"/>
    <cellStyle name="Currency 5 6 5 2 3" xfId="12692" xr:uid="{03CE9C79-ABF1-42F3-8EE9-0C1B9EC8D114}"/>
    <cellStyle name="Currency 5 6 5 3" xfId="6315" xr:uid="{00000000-0005-0000-0000-0000790D0000}"/>
    <cellStyle name="Currency 5 6 5 3 2" xfId="14765" xr:uid="{10CDBDB5-1E5F-4C78-A32A-178C2D58469D}"/>
    <cellStyle name="Currency 5 6 5 4" xfId="10547" xr:uid="{AEAFA3A8-7059-49E7-89CC-D80916D3C3BA}"/>
    <cellStyle name="Currency 5 6 6" xfId="2444" xr:uid="{00000000-0005-0000-0000-00007A0D0000}"/>
    <cellStyle name="Currency 5 6 6 2" xfId="6728" xr:uid="{00000000-0005-0000-0000-00007B0D0000}"/>
    <cellStyle name="Currency 5 6 6 2 2" xfId="15178" xr:uid="{31674555-7B1D-42C9-8A8D-DF6CFF0E7D46}"/>
    <cellStyle name="Currency 5 6 6 3" xfId="10960" xr:uid="{6C3748A6-A315-4752-ADA0-27488D1454C4}"/>
    <cellStyle name="Currency 5 6 7" xfId="2741" xr:uid="{00000000-0005-0000-0000-00007C0D0000}"/>
    <cellStyle name="Currency 5 6 8" xfId="2822" xr:uid="{00000000-0005-0000-0000-00007D0D0000}"/>
    <cellStyle name="Currency 5 6 8 2" xfId="7045" xr:uid="{00000000-0005-0000-0000-00007E0D0000}"/>
    <cellStyle name="Currency 5 6 8 2 2" xfId="15495" xr:uid="{DE459536-6896-4C74-91C5-B5B32764840C}"/>
    <cellStyle name="Currency 5 6 8 3" xfId="11277" xr:uid="{A358DFC8-E1E8-49FA-A283-E19548736795}"/>
    <cellStyle name="Currency 5 6 9" xfId="4662" xr:uid="{00000000-0005-0000-0000-00007F0D0000}"/>
    <cellStyle name="Currency 5 6 9 2" xfId="13112" xr:uid="{6AC8DE88-DE0C-4D8E-BC00-251D7D6BFE6D}"/>
    <cellStyle name="Currency 5 7" xfId="222" xr:uid="{00000000-0005-0000-0000-0000800D0000}"/>
    <cellStyle name="Currency 5 7 10" xfId="8895" xr:uid="{A7A3BB2A-E560-4029-8FBD-1E85C239C04A}"/>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300965A9-09A1-4AB9-AF80-55D5EE36361B}"/>
    <cellStyle name="Currency 5 7 2 2 3" xfId="11454" xr:uid="{746D2B1D-B30E-4D61-9101-2D14A4D2E39D}"/>
    <cellStyle name="Currency 5 7 2 3" xfId="5077" xr:uid="{00000000-0005-0000-0000-0000840D0000}"/>
    <cellStyle name="Currency 5 7 2 3 2" xfId="13527" xr:uid="{75FECFF0-A5FD-4AF3-93A0-3921DEA06FFD}"/>
    <cellStyle name="Currency 5 7 2 4" xfId="9309" xr:uid="{D2D1CDED-C8F6-42E9-81EF-133C3029AC4C}"/>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ED1D4FA1-7030-4901-BC62-05907753F392}"/>
    <cellStyle name="Currency 5 7 3 2 3" xfId="11867" xr:uid="{A33B61E0-A063-4AC4-8688-441980A7CD1F}"/>
    <cellStyle name="Currency 5 7 3 3" xfId="5490" xr:uid="{00000000-0005-0000-0000-0000880D0000}"/>
    <cellStyle name="Currency 5 7 3 3 2" xfId="13940" xr:uid="{CBC7F35A-1394-4AFD-A070-EF07DBE6E3F3}"/>
    <cellStyle name="Currency 5 7 3 4" xfId="9722" xr:uid="{3D2D212F-E5AD-4FAA-A29D-DB16981E7EA1}"/>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4AFCE09A-03B2-43E4-BE95-FB38A95B12A1}"/>
    <cellStyle name="Currency 5 7 4 2 3" xfId="12280" xr:uid="{5DB1608D-6DE5-4E43-8DCB-339EA4E4DFA8}"/>
    <cellStyle name="Currency 5 7 4 3" xfId="5903" xr:uid="{00000000-0005-0000-0000-00008C0D0000}"/>
    <cellStyle name="Currency 5 7 4 3 2" xfId="14353" xr:uid="{8D95DD49-FD2E-43B1-B7C9-B8157B6F492E}"/>
    <cellStyle name="Currency 5 7 4 4" xfId="10135" xr:uid="{007AD269-575F-43C1-8187-58AA33B19D3B}"/>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FF2438FD-3555-4FF0-BD3E-C2EE41EF3890}"/>
    <cellStyle name="Currency 5 7 5 2 3" xfId="12693" xr:uid="{618F3CDB-8BE4-4BF5-B06E-67FE73EB70AC}"/>
    <cellStyle name="Currency 5 7 5 3" xfId="6316" xr:uid="{00000000-0005-0000-0000-0000900D0000}"/>
    <cellStyle name="Currency 5 7 5 3 2" xfId="14766" xr:uid="{A0C6A917-D473-4F74-9538-62B9E931ACF3}"/>
    <cellStyle name="Currency 5 7 5 4" xfId="10548" xr:uid="{5CFF7F3C-58C2-43D2-BA87-C8D910285645}"/>
    <cellStyle name="Currency 5 7 6" xfId="2445" xr:uid="{00000000-0005-0000-0000-0000910D0000}"/>
    <cellStyle name="Currency 5 7 6 2" xfId="6729" xr:uid="{00000000-0005-0000-0000-0000920D0000}"/>
    <cellStyle name="Currency 5 7 6 2 2" xfId="15179" xr:uid="{1A486004-5B23-4DB5-8C10-1F9563F0C17F}"/>
    <cellStyle name="Currency 5 7 6 3" xfId="10961" xr:uid="{D8B3F820-E7EC-4DF3-8A9D-A19430A4F57B}"/>
    <cellStyle name="Currency 5 7 7" xfId="2742" xr:uid="{00000000-0005-0000-0000-0000930D0000}"/>
    <cellStyle name="Currency 5 7 8" xfId="2823" xr:uid="{00000000-0005-0000-0000-0000940D0000}"/>
    <cellStyle name="Currency 5 7 8 2" xfId="7046" xr:uid="{00000000-0005-0000-0000-0000950D0000}"/>
    <cellStyle name="Currency 5 7 8 2 2" xfId="15496" xr:uid="{A8FF2A90-EEDC-44DE-B508-B872F7FC566C}"/>
    <cellStyle name="Currency 5 7 8 3" xfId="11278" xr:uid="{772184BA-E1A5-4B5B-87AE-28E1A5FF9562}"/>
    <cellStyle name="Currency 5 7 9" xfId="4663" xr:uid="{00000000-0005-0000-0000-0000960D0000}"/>
    <cellStyle name="Currency 5 7 9 2" xfId="13113" xr:uid="{2EE600F3-D7C3-4562-AA27-47DB5A3ACF6A}"/>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3F04DBB8-00F9-4F31-A658-CECC91E646F0}"/>
    <cellStyle name="Normal 12 10 3" xfId="10962" xr:uid="{BED0A5A2-F647-4C7D-BC79-89E5F0E7C04C}"/>
    <cellStyle name="Normal 12 11" xfId="4664" xr:uid="{00000000-0005-0000-0000-0000CC0D0000}"/>
    <cellStyle name="Normal 12 11 2" xfId="13114" xr:uid="{08650704-4817-4AEE-9C14-AEECDC59AA57}"/>
    <cellStyle name="Normal 12 12" xfId="8896" xr:uid="{1F49FDB2-844D-4A04-90C5-5050392566B7}"/>
    <cellStyle name="Normal 12 2" xfId="260" xr:uid="{00000000-0005-0000-0000-0000CD0D0000}"/>
    <cellStyle name="Normal 12 2 10" xfId="8897" xr:uid="{7AF01C6A-B44C-46E0-9E12-C6E45ACF4732}"/>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628F4DDE-D2FB-437B-B8A9-5F66D2D51436}"/>
    <cellStyle name="Normal 12 2 2 2 2 2 3" xfId="11458" xr:uid="{55D016EF-03D4-4457-B2CC-FFEDE0EAC22A}"/>
    <cellStyle name="Normal 12 2 2 2 2 3" xfId="5081" xr:uid="{00000000-0005-0000-0000-0000D30D0000}"/>
    <cellStyle name="Normal 12 2 2 2 2 3 2" xfId="13531" xr:uid="{3942D517-187B-49FD-91CE-BE42CCC2CED2}"/>
    <cellStyle name="Normal 12 2 2 2 2 4" xfId="9313" xr:uid="{FA1B3B83-A3C1-45F7-8680-4C67150A0341}"/>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BCB14194-AF4D-4F3D-BE84-EFE0052B58A5}"/>
    <cellStyle name="Normal 12 2 2 2 3 2 3" xfId="11871" xr:uid="{7CAD4E54-9578-4B73-B78A-CFA9FE7C4A51}"/>
    <cellStyle name="Normal 12 2 2 2 3 3" xfId="5494" xr:uid="{00000000-0005-0000-0000-0000D70D0000}"/>
    <cellStyle name="Normal 12 2 2 2 3 3 2" xfId="13944" xr:uid="{B0DA2200-C00E-45EE-A1D4-5FF4F89DEB91}"/>
    <cellStyle name="Normal 12 2 2 2 3 4" xfId="9726" xr:uid="{DE63C25C-56E3-49EE-B5C8-A8AEC57EC22F}"/>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79C30997-7935-4874-A42B-40B395F47DCA}"/>
    <cellStyle name="Normal 12 2 2 2 4 2 3" xfId="12284" xr:uid="{4B889964-E900-4DFB-9B68-4D6B89C183A5}"/>
    <cellStyle name="Normal 12 2 2 2 4 3" xfId="5907" xr:uid="{00000000-0005-0000-0000-0000DB0D0000}"/>
    <cellStyle name="Normal 12 2 2 2 4 3 2" xfId="14357" xr:uid="{663C650F-A8B2-40C6-A1F4-6CA84AED1CF7}"/>
    <cellStyle name="Normal 12 2 2 2 4 4" xfId="10139" xr:uid="{B7284DEF-388F-4AF3-A80B-F5A11A581C40}"/>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41F3CD90-1CF5-4A05-A10A-FC18AF2A8F25}"/>
    <cellStyle name="Normal 12 2 2 2 5 2 3" xfId="12697" xr:uid="{A791E2F3-7735-4E6C-A6FA-4237D713C2EA}"/>
    <cellStyle name="Normal 12 2 2 2 5 3" xfId="6320" xr:uid="{00000000-0005-0000-0000-0000DF0D0000}"/>
    <cellStyle name="Normal 12 2 2 2 5 3 2" xfId="14770" xr:uid="{878D4E6E-CC63-443C-8937-70DE153FAAE6}"/>
    <cellStyle name="Normal 12 2 2 2 5 4" xfId="10552" xr:uid="{4237B9AD-FD3C-4D89-9430-9CB957577C7A}"/>
    <cellStyle name="Normal 12 2 2 2 6" xfId="2450" xr:uid="{00000000-0005-0000-0000-0000E00D0000}"/>
    <cellStyle name="Normal 12 2 2 2 6 2" xfId="6733" xr:uid="{00000000-0005-0000-0000-0000E10D0000}"/>
    <cellStyle name="Normal 12 2 2 2 6 2 2" xfId="15183" xr:uid="{25D81E12-20E0-4F59-A1B1-FBF33E41FBEB}"/>
    <cellStyle name="Normal 12 2 2 2 6 3" xfId="10965" xr:uid="{9E968D96-7046-47F9-8E4F-FA7D3C26949F}"/>
    <cellStyle name="Normal 12 2 2 2 7" xfId="4667" xr:uid="{00000000-0005-0000-0000-0000E20D0000}"/>
    <cellStyle name="Normal 12 2 2 2 7 2" xfId="13117" xr:uid="{302F8CA4-E42C-462D-A2F8-A84850CDEF3A}"/>
    <cellStyle name="Normal 12 2 2 2 8" xfId="8899" xr:uid="{0A0D39B3-E7FE-4B37-99F0-02DB212B34E1}"/>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17CFA329-9ADE-4B9A-A88C-B862F8BF85C6}"/>
    <cellStyle name="Normal 12 2 2 3 2 3" xfId="11457" xr:uid="{63F59578-A309-4CA1-8D70-5F8191EAF004}"/>
    <cellStyle name="Normal 12 2 2 3 3" xfId="5080" xr:uid="{00000000-0005-0000-0000-0000E60D0000}"/>
    <cellStyle name="Normal 12 2 2 3 3 2" xfId="13530" xr:uid="{C8D4917F-B1F5-4980-A710-623AD9E4EF1A}"/>
    <cellStyle name="Normal 12 2 2 3 4" xfId="9312" xr:uid="{94A357BC-3129-4FBE-8972-1C5A64A226BE}"/>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3F2C2100-C495-41E9-A167-77E5C8CC7504}"/>
    <cellStyle name="Normal 12 2 2 4 2 3" xfId="11870" xr:uid="{FA7C55EE-CC31-4411-ADFE-6AB1BB35E8C9}"/>
    <cellStyle name="Normal 12 2 2 4 3" xfId="5493" xr:uid="{00000000-0005-0000-0000-0000EA0D0000}"/>
    <cellStyle name="Normal 12 2 2 4 3 2" xfId="13943" xr:uid="{FD258A95-4C1D-4EC8-976E-6B3937950814}"/>
    <cellStyle name="Normal 12 2 2 4 4" xfId="9725" xr:uid="{5CF536EA-884A-49AD-983F-FC4B1C0484B9}"/>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D3489725-EFA5-4DB1-8424-4C1A52874F4C}"/>
    <cellStyle name="Normal 12 2 2 5 2 3" xfId="12283" xr:uid="{4AA37539-7EBE-4444-A442-33AFC68F085A}"/>
    <cellStyle name="Normal 12 2 2 5 3" xfId="5906" xr:uid="{00000000-0005-0000-0000-0000EE0D0000}"/>
    <cellStyle name="Normal 12 2 2 5 3 2" xfId="14356" xr:uid="{60238995-30FE-45ED-8FAB-0018072EE187}"/>
    <cellStyle name="Normal 12 2 2 5 4" xfId="10138" xr:uid="{4F5B2F68-D9FA-467A-BA6C-0C09058977EA}"/>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A3F36BB0-B3F7-49E0-8B7D-1AA624A87772}"/>
    <cellStyle name="Normal 12 2 2 6 2 3" xfId="12696" xr:uid="{FCC12BA3-F64C-4475-9CD7-C041916F405B}"/>
    <cellStyle name="Normal 12 2 2 6 3" xfId="6319" xr:uid="{00000000-0005-0000-0000-0000F20D0000}"/>
    <cellStyle name="Normal 12 2 2 6 3 2" xfId="14769" xr:uid="{6BDC0488-7768-4AE5-9322-3CCA30626018}"/>
    <cellStyle name="Normal 12 2 2 6 4" xfId="10551" xr:uid="{D29D7467-7E99-431D-A2A8-9D84C1453DC8}"/>
    <cellStyle name="Normal 12 2 2 7" xfId="2449" xr:uid="{00000000-0005-0000-0000-0000F30D0000}"/>
    <cellStyle name="Normal 12 2 2 7 2" xfId="6732" xr:uid="{00000000-0005-0000-0000-0000F40D0000}"/>
    <cellStyle name="Normal 12 2 2 7 2 2" xfId="15182" xr:uid="{4922C152-D451-4B3D-ABFE-A9C8D2A86119}"/>
    <cellStyle name="Normal 12 2 2 7 3" xfId="10964" xr:uid="{69D3F104-5D0C-4954-831E-91ED2AEEAECE}"/>
    <cellStyle name="Normal 12 2 2 8" xfId="4666" xr:uid="{00000000-0005-0000-0000-0000F50D0000}"/>
    <cellStyle name="Normal 12 2 2 8 2" xfId="13116" xr:uid="{21133023-A4C9-414E-B37E-F4F8AE82F6C5}"/>
    <cellStyle name="Normal 12 2 2 9" xfId="8898" xr:uid="{77365CF9-C833-4D6C-9684-035A240E782D}"/>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A6F3A7D9-1790-4DDE-94F3-4FC9AA7D9EC9}"/>
    <cellStyle name="Normal 12 2 3 2 2 3" xfId="11459" xr:uid="{89245016-6897-4D2A-99A1-20FFD7317837}"/>
    <cellStyle name="Normal 12 2 3 2 3" xfId="5082" xr:uid="{00000000-0005-0000-0000-0000FA0D0000}"/>
    <cellStyle name="Normal 12 2 3 2 3 2" xfId="13532" xr:uid="{19498027-4ABC-4EA4-90BA-075A471F37F1}"/>
    <cellStyle name="Normal 12 2 3 2 4" xfId="9314" xr:uid="{5D341A5B-30D4-4B3C-BE5D-5787A10BB9AC}"/>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9483543E-037E-4DDB-856C-13E6E6B76A28}"/>
    <cellStyle name="Normal 12 2 3 3 2 3" xfId="11872" xr:uid="{4D4C2E7D-71B4-4D58-9531-4F5253E203D9}"/>
    <cellStyle name="Normal 12 2 3 3 3" xfId="5495" xr:uid="{00000000-0005-0000-0000-0000FE0D0000}"/>
    <cellStyle name="Normal 12 2 3 3 3 2" xfId="13945" xr:uid="{653B02A8-F921-4D7F-8708-10790027F5A7}"/>
    <cellStyle name="Normal 12 2 3 3 4" xfId="9727" xr:uid="{3AAB0BED-264C-4023-AC88-5E72391AAAE2}"/>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09B23A41-FB99-4F90-8042-5621ED3ABFDE}"/>
    <cellStyle name="Normal 12 2 3 4 2 3" xfId="12285" xr:uid="{64379326-771E-4966-9BB8-2FC98719A46C}"/>
    <cellStyle name="Normal 12 2 3 4 3" xfId="5908" xr:uid="{00000000-0005-0000-0000-0000020E0000}"/>
    <cellStyle name="Normal 12 2 3 4 3 2" xfId="14358" xr:uid="{4372575B-7B62-4586-92F3-2D1151A16A44}"/>
    <cellStyle name="Normal 12 2 3 4 4" xfId="10140" xr:uid="{66014C96-99CA-4E9C-9A2F-7408A6534EC0}"/>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B81742C9-4B63-41DF-9484-E6BABCCA138A}"/>
    <cellStyle name="Normal 12 2 3 5 2 3" xfId="12698" xr:uid="{1C35D573-92B4-4249-B2B5-30AB4F2FF737}"/>
    <cellStyle name="Normal 12 2 3 5 3" xfId="6321" xr:uid="{00000000-0005-0000-0000-0000060E0000}"/>
    <cellStyle name="Normal 12 2 3 5 3 2" xfId="14771" xr:uid="{4B0E9C58-3439-4D23-919A-B3CB5CA8D5E8}"/>
    <cellStyle name="Normal 12 2 3 5 4" xfId="10553" xr:uid="{FB6C62AB-9C64-43B1-B2E0-D462D88AABFB}"/>
    <cellStyle name="Normal 12 2 3 6" xfId="2451" xr:uid="{00000000-0005-0000-0000-0000070E0000}"/>
    <cellStyle name="Normal 12 2 3 6 2" xfId="6734" xr:uid="{00000000-0005-0000-0000-0000080E0000}"/>
    <cellStyle name="Normal 12 2 3 6 2 2" xfId="15184" xr:uid="{94F430D5-90F8-4C35-83E8-C3D7DB112646}"/>
    <cellStyle name="Normal 12 2 3 6 3" xfId="10966" xr:uid="{1E28AA86-B5B5-4ECA-BDE8-964642072E9D}"/>
    <cellStyle name="Normal 12 2 3 7" xfId="4668" xr:uid="{00000000-0005-0000-0000-0000090E0000}"/>
    <cellStyle name="Normal 12 2 3 7 2" xfId="13118" xr:uid="{E935DB3E-F3EE-479E-8E74-956C0905CD09}"/>
    <cellStyle name="Normal 12 2 3 8" xfId="8900" xr:uid="{C94EB43D-B93A-44E1-8F72-B367173BFAF5}"/>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7F5D7650-59C3-4E94-BD8B-1EBF867DA3D1}"/>
    <cellStyle name="Normal 12 2 4 2 3" xfId="11456" xr:uid="{C27E420B-2097-44E2-9344-1406AFB4FC3D}"/>
    <cellStyle name="Normal 12 2 4 3" xfId="5079" xr:uid="{00000000-0005-0000-0000-00000D0E0000}"/>
    <cellStyle name="Normal 12 2 4 3 2" xfId="13529" xr:uid="{887B4779-FBEE-4C4F-90EF-05D346A658B7}"/>
    <cellStyle name="Normal 12 2 4 4" xfId="9311" xr:uid="{A6672190-30F2-4542-AB94-8B74D2AD30FF}"/>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3AC4C452-4709-45D0-A408-4DB44585DB2A}"/>
    <cellStyle name="Normal 12 2 5 2 3" xfId="11869" xr:uid="{ADAD9569-65B0-4636-9AAF-9689F9E68417}"/>
    <cellStyle name="Normal 12 2 5 3" xfId="5492" xr:uid="{00000000-0005-0000-0000-0000110E0000}"/>
    <cellStyle name="Normal 12 2 5 3 2" xfId="13942" xr:uid="{D42363EB-A07F-4495-8A4B-304B48BE1367}"/>
    <cellStyle name="Normal 12 2 5 4" xfId="9724" xr:uid="{F0AC9BB5-0201-4300-BE87-B23A6778FB8D}"/>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D2C9F50F-0A3B-4C40-AB06-6CC3638144AE}"/>
    <cellStyle name="Normal 12 2 6 2 3" xfId="12282" xr:uid="{E9C5D821-36A8-4B02-9A4E-DAA699F4B896}"/>
    <cellStyle name="Normal 12 2 6 3" xfId="5905" xr:uid="{00000000-0005-0000-0000-0000150E0000}"/>
    <cellStyle name="Normal 12 2 6 3 2" xfId="14355" xr:uid="{4991D302-0E08-4F97-8309-0154A4A4EE3A}"/>
    <cellStyle name="Normal 12 2 6 4" xfId="10137" xr:uid="{6CE0CA1D-F3AD-4BA1-8907-5362907185C5}"/>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C960357B-D6B5-4987-BCA5-0D36A39865B6}"/>
    <cellStyle name="Normal 12 2 7 2 3" xfId="12695" xr:uid="{D3BC99DE-6C48-4BBC-95AB-6ACA677A80B0}"/>
    <cellStyle name="Normal 12 2 7 3" xfId="6318" xr:uid="{00000000-0005-0000-0000-0000190E0000}"/>
    <cellStyle name="Normal 12 2 7 3 2" xfId="14768" xr:uid="{06F85747-1FBB-4131-9F3E-3BE7E3EE1D4E}"/>
    <cellStyle name="Normal 12 2 7 4" xfId="10550" xr:uid="{EB11122B-3760-4D33-9F66-D8D1F7F7041D}"/>
    <cellStyle name="Normal 12 2 8" xfId="2448" xr:uid="{00000000-0005-0000-0000-00001A0E0000}"/>
    <cellStyle name="Normal 12 2 8 2" xfId="6731" xr:uid="{00000000-0005-0000-0000-00001B0E0000}"/>
    <cellStyle name="Normal 12 2 8 2 2" xfId="15181" xr:uid="{CD75193A-AB4F-4163-891D-8F2C7EA7F230}"/>
    <cellStyle name="Normal 12 2 8 3" xfId="10963" xr:uid="{1037CC2A-238E-4E41-8062-4A025D46A4AB}"/>
    <cellStyle name="Normal 12 2 9" xfId="4665" xr:uid="{00000000-0005-0000-0000-00001C0E0000}"/>
    <cellStyle name="Normal 12 2 9 2" xfId="13115" xr:uid="{3AB4B9EA-B816-442B-87F5-5CD282756FD4}"/>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18D3DC44-CC54-4F9B-8104-0E51E305EA4E}"/>
    <cellStyle name="Normal 12 3 2 2 2 3" xfId="11461" xr:uid="{7940F301-4BC4-4A1E-B8A3-AFAB3272AC4C}"/>
    <cellStyle name="Normal 12 3 2 2 3" xfId="5084" xr:uid="{00000000-0005-0000-0000-0000220E0000}"/>
    <cellStyle name="Normal 12 3 2 2 3 2" xfId="13534" xr:uid="{C85635D6-8CED-4DCA-A379-0B516EE8299B}"/>
    <cellStyle name="Normal 12 3 2 2 4" xfId="9316" xr:uid="{D7271E87-FD7E-40AD-8168-892AC5A61F04}"/>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0FC51AC5-A6E8-48E2-B08F-7B071070901F}"/>
    <cellStyle name="Normal 12 3 2 3 2 3" xfId="11874" xr:uid="{5AC8A394-3A74-4932-971C-B5C93D8C03F9}"/>
    <cellStyle name="Normal 12 3 2 3 3" xfId="5497" xr:uid="{00000000-0005-0000-0000-0000260E0000}"/>
    <cellStyle name="Normal 12 3 2 3 3 2" xfId="13947" xr:uid="{6BCECDA6-D3A1-4B5D-8D7D-EE3F30B14EE3}"/>
    <cellStyle name="Normal 12 3 2 3 4" xfId="9729" xr:uid="{47C2FD37-DD68-4D27-A49E-7956F3241B8C}"/>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6F63FCAA-C768-41C0-ABF8-924C9E3D373F}"/>
    <cellStyle name="Normal 12 3 2 4 2 3" xfId="12287" xr:uid="{AA6365B5-586B-4E06-B26F-4E844D86A48B}"/>
    <cellStyle name="Normal 12 3 2 4 3" xfId="5910" xr:uid="{00000000-0005-0000-0000-00002A0E0000}"/>
    <cellStyle name="Normal 12 3 2 4 3 2" xfId="14360" xr:uid="{EB9CE5FC-4DC1-4F57-8D75-4B88D084835D}"/>
    <cellStyle name="Normal 12 3 2 4 4" xfId="10142" xr:uid="{B43833A8-36B8-4E93-BA2A-9DFCD7DE07E4}"/>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3B1A7FA2-5FF3-47C1-A700-B9A9BF58DDC4}"/>
    <cellStyle name="Normal 12 3 2 5 2 3" xfId="12700" xr:uid="{9FF762F6-F67F-4A49-BBDC-DF191186C87B}"/>
    <cellStyle name="Normal 12 3 2 5 3" xfId="6323" xr:uid="{00000000-0005-0000-0000-00002E0E0000}"/>
    <cellStyle name="Normal 12 3 2 5 3 2" xfId="14773" xr:uid="{7A846B26-277F-4241-AADA-2B9E6BF70EAD}"/>
    <cellStyle name="Normal 12 3 2 5 4" xfId="10555" xr:uid="{2BDC27A4-C407-4DC2-8CF2-A985CF072340}"/>
    <cellStyle name="Normal 12 3 2 6" xfId="2453" xr:uid="{00000000-0005-0000-0000-00002F0E0000}"/>
    <cellStyle name="Normal 12 3 2 6 2" xfId="6736" xr:uid="{00000000-0005-0000-0000-0000300E0000}"/>
    <cellStyle name="Normal 12 3 2 6 2 2" xfId="15186" xr:uid="{D51057B6-6E21-41B5-B077-54B139274141}"/>
    <cellStyle name="Normal 12 3 2 6 3" xfId="10968" xr:uid="{BAB02B31-82F3-4534-97F6-A4C7A5ECD5DA}"/>
    <cellStyle name="Normal 12 3 2 7" xfId="4670" xr:uid="{00000000-0005-0000-0000-0000310E0000}"/>
    <cellStyle name="Normal 12 3 2 7 2" xfId="13120" xr:uid="{7EE96B77-64FD-40DA-8DC7-BD51ACCB05D2}"/>
    <cellStyle name="Normal 12 3 2 8" xfId="8902" xr:uid="{9670389D-5213-4503-8F5A-298046662C47}"/>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3908CB35-2123-4AAB-AB5C-A0499677F5F9}"/>
    <cellStyle name="Normal 12 3 3 2 3" xfId="11460" xr:uid="{2F56368E-B5B5-4442-BE21-C32FA5D18976}"/>
    <cellStyle name="Normal 12 3 3 3" xfId="5083" xr:uid="{00000000-0005-0000-0000-0000350E0000}"/>
    <cellStyle name="Normal 12 3 3 3 2" xfId="13533" xr:uid="{79085BF3-F69D-42E9-802C-D05594F83B3C}"/>
    <cellStyle name="Normal 12 3 3 4" xfId="9315" xr:uid="{65872292-93FE-42FA-9174-1E4D0F56FB12}"/>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80766957-B336-4F89-828F-470AE397CDAC}"/>
    <cellStyle name="Normal 12 3 4 2 3" xfId="11873" xr:uid="{8F11770F-9D8C-41C5-A20A-A8664ED27BA5}"/>
    <cellStyle name="Normal 12 3 4 3" xfId="5496" xr:uid="{00000000-0005-0000-0000-0000390E0000}"/>
    <cellStyle name="Normal 12 3 4 3 2" xfId="13946" xr:uid="{14F9CB6B-6FC9-413A-9E05-79B8F3ABBF25}"/>
    <cellStyle name="Normal 12 3 4 4" xfId="9728" xr:uid="{EDA515FD-1192-4513-A8A7-ADB5185CB0CE}"/>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16D95CC0-12D9-442B-8618-58F98169631F}"/>
    <cellStyle name="Normal 12 3 5 2 3" xfId="12286" xr:uid="{6C882532-CA70-49DF-B4BB-76846278DF26}"/>
    <cellStyle name="Normal 12 3 5 3" xfId="5909" xr:uid="{00000000-0005-0000-0000-00003D0E0000}"/>
    <cellStyle name="Normal 12 3 5 3 2" xfId="14359" xr:uid="{DBFE4CB7-9CBF-448D-A5F2-9AFB2033456C}"/>
    <cellStyle name="Normal 12 3 5 4" xfId="10141" xr:uid="{062696BF-0855-4C68-9D2C-819BEDDE1A50}"/>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CE7B609E-F0C2-44F5-8664-19F3A492DFF3}"/>
    <cellStyle name="Normal 12 3 6 2 3" xfId="12699" xr:uid="{1BCD7E49-D058-437E-83A7-9F856E1B6C37}"/>
    <cellStyle name="Normal 12 3 6 3" xfId="6322" xr:uid="{00000000-0005-0000-0000-0000410E0000}"/>
    <cellStyle name="Normal 12 3 6 3 2" xfId="14772" xr:uid="{D27F9882-370C-4235-9EAD-461CAEB1C244}"/>
    <cellStyle name="Normal 12 3 6 4" xfId="10554" xr:uid="{CFFE36AC-67FA-412B-9E13-31DF6565E736}"/>
    <cellStyle name="Normal 12 3 7" xfId="2452" xr:uid="{00000000-0005-0000-0000-0000420E0000}"/>
    <cellStyle name="Normal 12 3 7 2" xfId="6735" xr:uid="{00000000-0005-0000-0000-0000430E0000}"/>
    <cellStyle name="Normal 12 3 7 2 2" xfId="15185" xr:uid="{78C7C34D-503F-49CD-8780-765724A09161}"/>
    <cellStyle name="Normal 12 3 7 3" xfId="10967" xr:uid="{8AF27641-6290-4208-BD2E-599007278406}"/>
    <cellStyle name="Normal 12 3 8" xfId="4669" xr:uid="{00000000-0005-0000-0000-0000440E0000}"/>
    <cellStyle name="Normal 12 3 8 2" xfId="13119" xr:uid="{DBEE859A-C7B3-4F4B-85BB-8CF179B78B5F}"/>
    <cellStyle name="Normal 12 3 9" xfId="8901" xr:uid="{0EB5BFF4-2A0B-47AF-BE1A-D2D8A373D638}"/>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C2D9DE21-5309-48E4-8AF1-4C7168CF8E77}"/>
    <cellStyle name="Normal 12 4 2 2 3" xfId="11462" xr:uid="{A62ED7E7-1A56-44B4-A8EC-996E27DA0802}"/>
    <cellStyle name="Normal 12 4 2 3" xfId="5085" xr:uid="{00000000-0005-0000-0000-0000490E0000}"/>
    <cellStyle name="Normal 12 4 2 3 2" xfId="13535" xr:uid="{B84ACECC-2358-4D26-BAC0-27F2E7912EA1}"/>
    <cellStyle name="Normal 12 4 2 4" xfId="9317" xr:uid="{7E73543A-0FB9-47FD-BC09-180C54845968}"/>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66CA90D7-BBED-4A86-951E-A4F944475A00}"/>
    <cellStyle name="Normal 12 4 3 2 3" xfId="11875" xr:uid="{0801A60F-A051-487E-A53E-A3A3771238DF}"/>
    <cellStyle name="Normal 12 4 3 3" xfId="5498" xr:uid="{00000000-0005-0000-0000-00004D0E0000}"/>
    <cellStyle name="Normal 12 4 3 3 2" xfId="13948" xr:uid="{E305B882-471C-4405-9DD7-4502F8A01BAE}"/>
    <cellStyle name="Normal 12 4 3 4" xfId="9730" xr:uid="{152F5A6F-A6E0-4822-9DF5-52A9EF0A8167}"/>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6B53CFD3-2373-4838-BB06-6C682100C80F}"/>
    <cellStyle name="Normal 12 4 4 2 3" xfId="12288" xr:uid="{ED85EECF-4636-4705-9249-662AFC1ED7C1}"/>
    <cellStyle name="Normal 12 4 4 3" xfId="5911" xr:uid="{00000000-0005-0000-0000-0000510E0000}"/>
    <cellStyle name="Normal 12 4 4 3 2" xfId="14361" xr:uid="{6E2ABEF4-74B7-4784-9DC5-D92D0866F471}"/>
    <cellStyle name="Normal 12 4 4 4" xfId="10143" xr:uid="{E5F121E6-1505-4782-92C6-FFDE305E127B}"/>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15777989-C175-45D5-9F4B-1BC27E82A4AD}"/>
    <cellStyle name="Normal 12 4 5 2 3" xfId="12701" xr:uid="{037206DB-DB10-47AB-AB6D-C25F8E05533E}"/>
    <cellStyle name="Normal 12 4 5 3" xfId="6324" xr:uid="{00000000-0005-0000-0000-0000550E0000}"/>
    <cellStyle name="Normal 12 4 5 3 2" xfId="14774" xr:uid="{19E80F01-7EDC-4921-93D5-6D8916FF4F96}"/>
    <cellStyle name="Normal 12 4 5 4" xfId="10556" xr:uid="{F0C74B5F-0A86-4EAC-965C-29E8BA363117}"/>
    <cellStyle name="Normal 12 4 6" xfId="2454" xr:uid="{00000000-0005-0000-0000-0000560E0000}"/>
    <cellStyle name="Normal 12 4 6 2" xfId="6737" xr:uid="{00000000-0005-0000-0000-0000570E0000}"/>
    <cellStyle name="Normal 12 4 6 2 2" xfId="15187" xr:uid="{5B70124D-3536-4B57-8EFF-80A021A1885C}"/>
    <cellStyle name="Normal 12 4 6 3" xfId="10969" xr:uid="{DAC5F9EC-8806-426C-BCB8-DCA98F4D6C14}"/>
    <cellStyle name="Normal 12 4 7" xfId="4671" xr:uid="{00000000-0005-0000-0000-0000580E0000}"/>
    <cellStyle name="Normal 12 4 7 2" xfId="13121" xr:uid="{166B56AC-A7B5-49DA-A2B7-185F670FEA1B}"/>
    <cellStyle name="Normal 12 4 8" xfId="8903" xr:uid="{14E54025-9679-4E81-B0C2-8DD57300B924}"/>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7A8D4D1F-C817-4EAA-905A-24B27C067B39}"/>
    <cellStyle name="Normal 12 6 2 3" xfId="11455" xr:uid="{544A0534-6F9A-4F62-9656-E275932AB900}"/>
    <cellStyle name="Normal 12 6 3" xfId="5078" xr:uid="{00000000-0005-0000-0000-00005D0E0000}"/>
    <cellStyle name="Normal 12 6 3 2" xfId="13528" xr:uid="{B1187731-C99F-4BE8-BE86-90EEAC094990}"/>
    <cellStyle name="Normal 12 6 4" xfId="9310" xr:uid="{818F5DF9-59E1-4A96-8207-522B18812DCD}"/>
    <cellStyle name="Normal 12 7" xfId="1183" xr:uid="{00000000-0005-0000-0000-00005E0E0000}"/>
    <cellStyle name="Normal 12 7 2" xfId="3414" xr:uid="{00000000-0005-0000-0000-00005F0E0000}"/>
    <cellStyle name="Normal 12 7 2 2" xfId="7636" xr:uid="{00000000-0005-0000-0000-0000600E0000}"/>
    <cellStyle name="Normal 12 7 2 2 2" xfId="16086" xr:uid="{80EDBB46-E5F7-4492-8231-D019ECCCA7C5}"/>
    <cellStyle name="Normal 12 7 2 3" xfId="11868" xr:uid="{F58F093F-9199-4514-9DD4-EE17B11E8E6D}"/>
    <cellStyle name="Normal 12 7 3" xfId="5491" xr:uid="{00000000-0005-0000-0000-0000610E0000}"/>
    <cellStyle name="Normal 12 7 3 2" xfId="13941" xr:uid="{6B739DBF-9D13-4203-9430-345CDC7A98FA}"/>
    <cellStyle name="Normal 12 7 4" xfId="9723" xr:uid="{50773FAC-AFA4-4F3B-8F19-35B533E5A5BE}"/>
    <cellStyle name="Normal 12 8" xfId="1597" xr:uid="{00000000-0005-0000-0000-0000620E0000}"/>
    <cellStyle name="Normal 12 8 2" xfId="3827" xr:uid="{00000000-0005-0000-0000-0000630E0000}"/>
    <cellStyle name="Normal 12 8 2 2" xfId="8049" xr:uid="{00000000-0005-0000-0000-0000640E0000}"/>
    <cellStyle name="Normal 12 8 2 2 2" xfId="16499" xr:uid="{71ADDBFC-C683-4C0D-A030-181497F05064}"/>
    <cellStyle name="Normal 12 8 2 3" xfId="12281" xr:uid="{4FFD2E28-4AD0-4711-A9F1-6834F5C2F326}"/>
    <cellStyle name="Normal 12 8 3" xfId="5904" xr:uid="{00000000-0005-0000-0000-0000650E0000}"/>
    <cellStyle name="Normal 12 8 3 2" xfId="14354" xr:uid="{2D243832-A2B1-4854-90E8-789F4F325CB6}"/>
    <cellStyle name="Normal 12 8 4" xfId="10136" xr:uid="{2E47AF2D-55F5-4C7C-ACE5-DF92E8B8F2BE}"/>
    <cellStyle name="Normal 12 9" xfId="2011" xr:uid="{00000000-0005-0000-0000-0000660E0000}"/>
    <cellStyle name="Normal 12 9 2" xfId="4240" xr:uid="{00000000-0005-0000-0000-0000670E0000}"/>
    <cellStyle name="Normal 12 9 2 2" xfId="8462" xr:uid="{00000000-0005-0000-0000-0000680E0000}"/>
    <cellStyle name="Normal 12 9 2 2 2" xfId="16912" xr:uid="{2ED6A5E5-AB3F-44AA-BAA3-1F7EEFA366BB}"/>
    <cellStyle name="Normal 12 9 2 3" xfId="12694" xr:uid="{805B8792-1A99-4472-BF63-A40410012848}"/>
    <cellStyle name="Normal 12 9 3" xfId="6317" xr:uid="{00000000-0005-0000-0000-0000690E0000}"/>
    <cellStyle name="Normal 12 9 3 2" xfId="14767" xr:uid="{E9C2ADD6-26D4-48AE-B679-9F6353E21AFB}"/>
    <cellStyle name="Normal 12 9 4" xfId="10549" xr:uid="{2F6120C3-87CA-43CB-9C83-6272A3C2C169}"/>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3EBBBF0E-DD27-4CDA-B542-423C64E14416}"/>
    <cellStyle name="Normal 14 2 2 3" xfId="11463" xr:uid="{C5D689B2-0D78-4491-A5FC-A0E4CE4706DA}"/>
    <cellStyle name="Normal 14 2 3" xfId="5086" xr:uid="{00000000-0005-0000-0000-0000700E0000}"/>
    <cellStyle name="Normal 14 2 3 2" xfId="13536" xr:uid="{01A0C497-171B-43A4-B6FA-F82660682BE1}"/>
    <cellStyle name="Normal 14 2 4" xfId="9318" xr:uid="{FA5F53F9-1309-4A5B-9582-40882952885B}"/>
    <cellStyle name="Normal 14 3" xfId="1191" xr:uid="{00000000-0005-0000-0000-0000710E0000}"/>
    <cellStyle name="Normal 14 3 2" xfId="3422" xr:uid="{00000000-0005-0000-0000-0000720E0000}"/>
    <cellStyle name="Normal 14 3 2 2" xfId="7644" xr:uid="{00000000-0005-0000-0000-0000730E0000}"/>
    <cellStyle name="Normal 14 3 2 2 2" xfId="16094" xr:uid="{608B312C-BF15-4525-9DE1-DFD91E1B69D9}"/>
    <cellStyle name="Normal 14 3 2 3" xfId="11876" xr:uid="{B434BCCB-3689-48CA-BCF8-8224C94D542A}"/>
    <cellStyle name="Normal 14 3 3" xfId="5499" xr:uid="{00000000-0005-0000-0000-0000740E0000}"/>
    <cellStyle name="Normal 14 3 3 2" xfId="13949" xr:uid="{8EAEDBDB-6D7D-440D-A212-C54B2F07DE33}"/>
    <cellStyle name="Normal 14 3 4" xfId="9731" xr:uid="{DC2838AE-3C21-4A19-9C68-10F51913A0FB}"/>
    <cellStyle name="Normal 14 4" xfId="1605" xr:uid="{00000000-0005-0000-0000-0000750E0000}"/>
    <cellStyle name="Normal 14 4 2" xfId="3835" xr:uid="{00000000-0005-0000-0000-0000760E0000}"/>
    <cellStyle name="Normal 14 4 2 2" xfId="8057" xr:uid="{00000000-0005-0000-0000-0000770E0000}"/>
    <cellStyle name="Normal 14 4 2 2 2" xfId="16507" xr:uid="{5937DA56-C373-4DEC-9C02-7D0D5553FC19}"/>
    <cellStyle name="Normal 14 4 2 3" xfId="12289" xr:uid="{3F2ED673-64E7-4D8B-8E17-D8660D7EE24D}"/>
    <cellStyle name="Normal 14 4 3" xfId="5912" xr:uid="{00000000-0005-0000-0000-0000780E0000}"/>
    <cellStyle name="Normal 14 4 3 2" xfId="14362" xr:uid="{49C25437-C925-4401-B6F8-7E60A0762EFA}"/>
    <cellStyle name="Normal 14 4 4" xfId="10144" xr:uid="{C10398CC-53CA-4C2C-B73B-5734E42A5E38}"/>
    <cellStyle name="Normal 14 5" xfId="2019" xr:uid="{00000000-0005-0000-0000-0000790E0000}"/>
    <cellStyle name="Normal 14 5 2" xfId="4248" xr:uid="{00000000-0005-0000-0000-00007A0E0000}"/>
    <cellStyle name="Normal 14 5 2 2" xfId="8470" xr:uid="{00000000-0005-0000-0000-00007B0E0000}"/>
    <cellStyle name="Normal 14 5 2 2 2" xfId="16920" xr:uid="{F11798F1-FBE5-4221-99F2-E832183D25EB}"/>
    <cellStyle name="Normal 14 5 2 3" xfId="12702" xr:uid="{E77A9949-8AE3-498E-9204-B5323FAC0A87}"/>
    <cellStyle name="Normal 14 5 3" xfId="6325" xr:uid="{00000000-0005-0000-0000-00007C0E0000}"/>
    <cellStyle name="Normal 14 5 3 2" xfId="14775" xr:uid="{22CA57E8-96DA-4570-A492-4473383BC2AB}"/>
    <cellStyle name="Normal 14 5 4" xfId="10557" xr:uid="{78C52248-142F-48E3-8738-EB53598D39E9}"/>
    <cellStyle name="Normal 14 6" xfId="2455" xr:uid="{00000000-0005-0000-0000-00007D0E0000}"/>
    <cellStyle name="Normal 14 6 2" xfId="6738" xr:uid="{00000000-0005-0000-0000-00007E0E0000}"/>
    <cellStyle name="Normal 14 6 2 2" xfId="15188" xr:uid="{DED936D8-1875-4968-A71B-225E3CD4F7FD}"/>
    <cellStyle name="Normal 14 6 3" xfId="10970" xr:uid="{7C31E0D7-ACD9-478E-93E0-980891D02129}"/>
    <cellStyle name="Normal 14 7" xfId="4672" xr:uid="{00000000-0005-0000-0000-00007F0E0000}"/>
    <cellStyle name="Normal 14 7 2" xfId="13122" xr:uid="{C04CCDEA-07BD-4351-B079-106FFD4A6D65}"/>
    <cellStyle name="Normal 14 8" xfId="8904" xr:uid="{58D0AB1A-B29F-4E91-A81F-C033EC4AC081}"/>
    <cellStyle name="Normal 15" xfId="4496" xr:uid="{00000000-0005-0000-0000-0000800E0000}"/>
    <cellStyle name="Normal 15 2" xfId="12948" xr:uid="{C4EE565D-51C7-4CDD-B0DA-E10DAB7F6DD3}"/>
    <cellStyle name="Normal 16" xfId="4500" xr:uid="{00000000-0005-0000-0000-0000810E0000}"/>
    <cellStyle name="Normal 16 2" xfId="8715" xr:uid="{00000000-0005-0000-0000-0000820E0000}"/>
    <cellStyle name="Normal 16 2 2" xfId="17165" xr:uid="{D1273236-62F7-444D-B870-B5E80829871C}"/>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6C0C9D99-DF62-4239-9621-73419E106C6F}"/>
    <cellStyle name="Normal 16 3 2 2 2 3" xfId="17178" xr:uid="{843287E5-4411-40C5-A3FC-39F16D3E047B}"/>
    <cellStyle name="Normal 16 3 2 2 3" xfId="17174" xr:uid="{34134CAC-FDD9-4267-9576-207971FE8A45}"/>
    <cellStyle name="Normal 16 3 2 3" xfId="17171" xr:uid="{943BED3B-0250-486F-B183-FB220BD11162}"/>
    <cellStyle name="Normal 16 3 3" xfId="17168" xr:uid="{4FAA725E-D62F-4C3F-A048-C8D6A5285EE2}"/>
    <cellStyle name="Normal 16 4" xfId="12951" xr:uid="{8A29A5F5-E536-47F9-89CE-BC63AEE707AE}"/>
    <cellStyle name="Normal 17" xfId="8728" xr:uid="{3FF0972C-833B-4475-99D8-1A6907499E71}"/>
    <cellStyle name="Normal 17 2" xfId="17177" xr:uid="{C879EE4A-FAC2-49F7-B5DB-AA3BD49DF96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DC3941CC-5CDF-4E12-951E-BFB615E9B1B6}"/>
    <cellStyle name="Normal 2 4 2 10 2 3" xfId="12703" xr:uid="{DDD9D98B-F131-425F-9484-E9E3E40EDE09}"/>
    <cellStyle name="Normal 2 4 2 10 3" xfId="6326" xr:uid="{00000000-0005-0000-0000-0000910E0000}"/>
    <cellStyle name="Normal 2 4 2 10 3 2" xfId="14776" xr:uid="{95B7963C-FAA4-4612-B1FA-29887BB9B6BA}"/>
    <cellStyle name="Normal 2 4 2 10 4" xfId="10558" xr:uid="{D31C0EEF-63B0-4A23-B591-2AD19F74311E}"/>
    <cellStyle name="Normal 2 4 2 11" xfId="2456" xr:uid="{00000000-0005-0000-0000-0000920E0000}"/>
    <cellStyle name="Normal 2 4 2 11 2" xfId="6739" xr:uid="{00000000-0005-0000-0000-0000930E0000}"/>
    <cellStyle name="Normal 2 4 2 11 2 2" xfId="15189" xr:uid="{1A212F6C-A533-4A1C-B221-C25884F495F7}"/>
    <cellStyle name="Normal 2 4 2 11 3" xfId="10971" xr:uid="{3AD1C742-157B-44C0-8929-8C4CCF95114E}"/>
    <cellStyle name="Normal 2 4 2 12" xfId="4673" xr:uid="{00000000-0005-0000-0000-0000940E0000}"/>
    <cellStyle name="Normal 2 4 2 12 2" xfId="13123" xr:uid="{1B0834CE-8CE7-4ADE-97D2-4ECC47D5CFBA}"/>
    <cellStyle name="Normal 2 4 2 13" xfId="8905" xr:uid="{C3885D8C-10C7-4061-982A-4D720827EF2E}"/>
    <cellStyle name="Normal 2 4 2 2" xfId="280" xr:uid="{00000000-0005-0000-0000-0000950E0000}"/>
    <cellStyle name="Normal 2 4 2 3" xfId="281" xr:uid="{00000000-0005-0000-0000-0000960E0000}"/>
    <cellStyle name="Normal 2 4 2 3 10" xfId="4674" xr:uid="{00000000-0005-0000-0000-0000970E0000}"/>
    <cellStyle name="Normal 2 4 2 3 10 2" xfId="13124" xr:uid="{E37BC809-AA42-4674-AC5C-A3557C376AB0}"/>
    <cellStyle name="Normal 2 4 2 3 11" xfId="8906" xr:uid="{35E6D950-99F2-4244-A989-1EC01DFE45A5}"/>
    <cellStyle name="Normal 2 4 2 3 2" xfId="282" xr:uid="{00000000-0005-0000-0000-0000980E0000}"/>
    <cellStyle name="Normal 2 4 2 3 2 10" xfId="8907" xr:uid="{D7E7491F-0343-461C-BC6C-369C45D72373}"/>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5CCA563D-FC43-47FD-BB04-B17DCE6257FF}"/>
    <cellStyle name="Normal 2 4 2 3 2 2 2 2 2 3" xfId="11468" xr:uid="{9707DAB1-67A9-4FCE-A523-AFB95947D725}"/>
    <cellStyle name="Normal 2 4 2 3 2 2 2 2 3" xfId="5091" xr:uid="{00000000-0005-0000-0000-00009E0E0000}"/>
    <cellStyle name="Normal 2 4 2 3 2 2 2 2 3 2" xfId="13541" xr:uid="{243C788C-FAE3-44F4-85CF-48A341C60EA5}"/>
    <cellStyle name="Normal 2 4 2 3 2 2 2 2 4" xfId="9323" xr:uid="{CBB2A5EC-89A7-463E-BC25-81B396F55887}"/>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1480677A-1919-4EA9-AB39-32752411BF2A}"/>
    <cellStyle name="Normal 2 4 2 3 2 2 2 3 2 3" xfId="11881" xr:uid="{1261496F-F927-47E9-BACC-3B523A4677E3}"/>
    <cellStyle name="Normal 2 4 2 3 2 2 2 3 3" xfId="5504" xr:uid="{00000000-0005-0000-0000-0000A20E0000}"/>
    <cellStyle name="Normal 2 4 2 3 2 2 2 3 3 2" xfId="13954" xr:uid="{2E71047F-B9D8-4EE9-8198-C4ED72F2CF3A}"/>
    <cellStyle name="Normal 2 4 2 3 2 2 2 3 4" xfId="9736" xr:uid="{9759CE46-DCDD-4999-AF85-4F5921DCB539}"/>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F43BB4DB-FC6E-4894-B92B-DD79B7C7F176}"/>
    <cellStyle name="Normal 2 4 2 3 2 2 2 4 2 3" xfId="12294" xr:uid="{60259ED1-A473-4908-A3BC-E6A716646BA9}"/>
    <cellStyle name="Normal 2 4 2 3 2 2 2 4 3" xfId="5917" xr:uid="{00000000-0005-0000-0000-0000A60E0000}"/>
    <cellStyle name="Normal 2 4 2 3 2 2 2 4 3 2" xfId="14367" xr:uid="{E18B03F8-FC67-4B5C-9B07-5C8F3371D14B}"/>
    <cellStyle name="Normal 2 4 2 3 2 2 2 4 4" xfId="10149" xr:uid="{926AAC07-E7CA-4764-B045-8FC8EBDE3C3C}"/>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4E516DE5-3EFA-495F-8970-A0380D70D851}"/>
    <cellStyle name="Normal 2 4 2 3 2 2 2 5 2 3" xfId="12707" xr:uid="{BAB80217-8425-4F43-8CF0-3D83920CC2CC}"/>
    <cellStyle name="Normal 2 4 2 3 2 2 2 5 3" xfId="6330" xr:uid="{00000000-0005-0000-0000-0000AA0E0000}"/>
    <cellStyle name="Normal 2 4 2 3 2 2 2 5 3 2" xfId="14780" xr:uid="{1700C606-42C8-4E65-9433-B81AD0B66E8C}"/>
    <cellStyle name="Normal 2 4 2 3 2 2 2 5 4" xfId="10562" xr:uid="{631CAE88-66E9-4288-8BD9-81AC5F7C3C2E}"/>
    <cellStyle name="Normal 2 4 2 3 2 2 2 6" xfId="2460" xr:uid="{00000000-0005-0000-0000-0000AB0E0000}"/>
    <cellStyle name="Normal 2 4 2 3 2 2 2 6 2" xfId="6743" xr:uid="{00000000-0005-0000-0000-0000AC0E0000}"/>
    <cellStyle name="Normal 2 4 2 3 2 2 2 6 2 2" xfId="15193" xr:uid="{B4E478DE-44CD-420A-A1CF-DD084452BC5A}"/>
    <cellStyle name="Normal 2 4 2 3 2 2 2 6 3" xfId="10975" xr:uid="{2CEA9719-6E29-4A34-B66B-4263DF462B3E}"/>
    <cellStyle name="Normal 2 4 2 3 2 2 2 7" xfId="4677" xr:uid="{00000000-0005-0000-0000-0000AD0E0000}"/>
    <cellStyle name="Normal 2 4 2 3 2 2 2 7 2" xfId="13127" xr:uid="{5BF37EB7-A752-44AC-9493-A64EF50CC443}"/>
    <cellStyle name="Normal 2 4 2 3 2 2 2 8" xfId="8909" xr:uid="{D85FC630-1880-48FA-BFA4-384E0834EA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025020A5-A837-4745-B3F5-2B7996FC6B34}"/>
    <cellStyle name="Normal 2 4 2 3 2 2 3 2 3" xfId="11467" xr:uid="{188649C6-4FDF-44D6-9D43-5CBF77C5BAE8}"/>
    <cellStyle name="Normal 2 4 2 3 2 2 3 3" xfId="5090" xr:uid="{00000000-0005-0000-0000-0000B10E0000}"/>
    <cellStyle name="Normal 2 4 2 3 2 2 3 3 2" xfId="13540" xr:uid="{7B13207A-55E3-420E-BBA5-2D0C9F1C2768}"/>
    <cellStyle name="Normal 2 4 2 3 2 2 3 4" xfId="9322" xr:uid="{CD8442D4-7F26-4963-980C-154AF1A5A342}"/>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AA3F9A8B-B03A-4A11-B9F6-7592343D2879}"/>
    <cellStyle name="Normal 2 4 2 3 2 2 4 2 3" xfId="11880" xr:uid="{AF34AC00-D294-4B2F-B583-B60BBD64B476}"/>
    <cellStyle name="Normal 2 4 2 3 2 2 4 3" xfId="5503" xr:uid="{00000000-0005-0000-0000-0000B50E0000}"/>
    <cellStyle name="Normal 2 4 2 3 2 2 4 3 2" xfId="13953" xr:uid="{E7D6B9C0-0282-4A23-B05A-2B565259BF78}"/>
    <cellStyle name="Normal 2 4 2 3 2 2 4 4" xfId="9735" xr:uid="{A0754A79-74FD-4535-A4E6-5CD45B12F9EF}"/>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2CFF6C73-E44E-42D1-92FC-1F5A9D8848FD}"/>
    <cellStyle name="Normal 2 4 2 3 2 2 5 2 3" xfId="12293" xr:uid="{F4002647-CE5B-428B-BF37-AE169BDDE2B5}"/>
    <cellStyle name="Normal 2 4 2 3 2 2 5 3" xfId="5916" xr:uid="{00000000-0005-0000-0000-0000B90E0000}"/>
    <cellStyle name="Normal 2 4 2 3 2 2 5 3 2" xfId="14366" xr:uid="{18F5AAEC-FBE3-436B-BBBA-BFE3A049030F}"/>
    <cellStyle name="Normal 2 4 2 3 2 2 5 4" xfId="10148" xr:uid="{F23CC0F6-3052-4D64-8D35-311B129F6D1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6EFFF0FE-3147-4CF5-A282-1460DDA64ACE}"/>
    <cellStyle name="Normal 2 4 2 3 2 2 6 2 3" xfId="12706" xr:uid="{3E9E8F08-8900-4CE2-9A55-1409E184B62C}"/>
    <cellStyle name="Normal 2 4 2 3 2 2 6 3" xfId="6329" xr:uid="{00000000-0005-0000-0000-0000BD0E0000}"/>
    <cellStyle name="Normal 2 4 2 3 2 2 6 3 2" xfId="14779" xr:uid="{78113E63-A89B-40D0-9441-6492883A946F}"/>
    <cellStyle name="Normal 2 4 2 3 2 2 6 4" xfId="10561" xr:uid="{65BF45C8-CF9D-43E0-B0CC-AE21D735AA69}"/>
    <cellStyle name="Normal 2 4 2 3 2 2 7" xfId="2459" xr:uid="{00000000-0005-0000-0000-0000BE0E0000}"/>
    <cellStyle name="Normal 2 4 2 3 2 2 7 2" xfId="6742" xr:uid="{00000000-0005-0000-0000-0000BF0E0000}"/>
    <cellStyle name="Normal 2 4 2 3 2 2 7 2 2" xfId="15192" xr:uid="{4C4059EA-233D-4A02-A12A-34B20291921C}"/>
    <cellStyle name="Normal 2 4 2 3 2 2 7 3" xfId="10974" xr:uid="{B0D4ED46-9312-42FA-B032-C980EEF91DAF}"/>
    <cellStyle name="Normal 2 4 2 3 2 2 8" xfId="4676" xr:uid="{00000000-0005-0000-0000-0000C00E0000}"/>
    <cellStyle name="Normal 2 4 2 3 2 2 8 2" xfId="13126" xr:uid="{FF813E0E-C8C8-45E4-8E2C-828B2953B7F1}"/>
    <cellStyle name="Normal 2 4 2 3 2 2 9" xfId="8908" xr:uid="{D40BCDFC-38EF-4AEB-A351-E8C4BACF2025}"/>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FAB27509-DF07-4301-8A5E-AA103BEDC955}"/>
    <cellStyle name="Normal 2 4 2 3 2 3 2 2 3" xfId="11469" xr:uid="{78F14674-9EAC-4A7F-A800-4C74BBFA2FF4}"/>
    <cellStyle name="Normal 2 4 2 3 2 3 2 3" xfId="5092" xr:uid="{00000000-0005-0000-0000-0000C50E0000}"/>
    <cellStyle name="Normal 2 4 2 3 2 3 2 3 2" xfId="13542" xr:uid="{34F3C2D0-6EDF-481D-BDFE-EBB5C53C5367}"/>
    <cellStyle name="Normal 2 4 2 3 2 3 2 4" xfId="9324" xr:uid="{22457172-8216-41FE-93B5-D277C53CD485}"/>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77AE0C12-7DA6-4FF4-9712-621080ACC18E}"/>
    <cellStyle name="Normal 2 4 2 3 2 3 3 2 3" xfId="11882" xr:uid="{3348409B-609D-453C-A7F3-E66F223B1F2B}"/>
    <cellStyle name="Normal 2 4 2 3 2 3 3 3" xfId="5505" xr:uid="{00000000-0005-0000-0000-0000C90E0000}"/>
    <cellStyle name="Normal 2 4 2 3 2 3 3 3 2" xfId="13955" xr:uid="{894ADDF9-A7A3-451B-B2A9-EFAAD5ABDB7C}"/>
    <cellStyle name="Normal 2 4 2 3 2 3 3 4" xfId="9737" xr:uid="{304BC59B-8579-400A-8ADD-7AB1E181D9E8}"/>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E5951F04-06A6-4C90-9E15-6DBD9E8A67CB}"/>
    <cellStyle name="Normal 2 4 2 3 2 3 4 2 3" xfId="12295" xr:uid="{4C40B62A-9B20-44BB-844A-615276FAEF9D}"/>
    <cellStyle name="Normal 2 4 2 3 2 3 4 3" xfId="5918" xr:uid="{00000000-0005-0000-0000-0000CD0E0000}"/>
    <cellStyle name="Normal 2 4 2 3 2 3 4 3 2" xfId="14368" xr:uid="{A6C68A1F-1305-4562-AF0E-6E3B2187FF4E}"/>
    <cellStyle name="Normal 2 4 2 3 2 3 4 4" xfId="10150" xr:uid="{4263AA3E-6C68-47C5-A9C1-0A97418F1AB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8FEFE36D-B2B8-4969-A85E-324CCE56D79E}"/>
    <cellStyle name="Normal 2 4 2 3 2 3 5 2 3" xfId="12708" xr:uid="{5CCAB140-BD09-4210-A813-AD4806B9C8E7}"/>
    <cellStyle name="Normal 2 4 2 3 2 3 5 3" xfId="6331" xr:uid="{00000000-0005-0000-0000-0000D10E0000}"/>
    <cellStyle name="Normal 2 4 2 3 2 3 5 3 2" xfId="14781" xr:uid="{8F78D3A6-EC3F-4DB3-8750-90F93483D197}"/>
    <cellStyle name="Normal 2 4 2 3 2 3 5 4" xfId="10563" xr:uid="{687A242E-8251-4873-823F-553508A906B5}"/>
    <cellStyle name="Normal 2 4 2 3 2 3 6" xfId="2461" xr:uid="{00000000-0005-0000-0000-0000D20E0000}"/>
    <cellStyle name="Normal 2 4 2 3 2 3 6 2" xfId="6744" xr:uid="{00000000-0005-0000-0000-0000D30E0000}"/>
    <cellStyle name="Normal 2 4 2 3 2 3 6 2 2" xfId="15194" xr:uid="{9ACB74AD-C695-439D-B627-7E404CBF6E78}"/>
    <cellStyle name="Normal 2 4 2 3 2 3 6 3" xfId="10976" xr:uid="{90CC4A87-74A9-4DD5-B748-B1F70BD3F380}"/>
    <cellStyle name="Normal 2 4 2 3 2 3 7" xfId="4678" xr:uid="{00000000-0005-0000-0000-0000D40E0000}"/>
    <cellStyle name="Normal 2 4 2 3 2 3 7 2" xfId="13128" xr:uid="{CF02F941-FB8C-4CFC-95FC-AB814C79417C}"/>
    <cellStyle name="Normal 2 4 2 3 2 3 8" xfId="8910" xr:uid="{82E98BE5-4805-46AA-BC3D-BDBFCA7E906A}"/>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D9BC6511-767A-4B80-BF75-E8BA21D048D6}"/>
    <cellStyle name="Normal 2 4 2 3 2 4 2 3" xfId="11466" xr:uid="{D9872183-0945-425B-B6C4-F79E9573B58D}"/>
    <cellStyle name="Normal 2 4 2 3 2 4 3" xfId="5089" xr:uid="{00000000-0005-0000-0000-0000D80E0000}"/>
    <cellStyle name="Normal 2 4 2 3 2 4 3 2" xfId="13539" xr:uid="{83AE7F0E-4F3C-43FF-ABDA-4EE8A74F1989}"/>
    <cellStyle name="Normal 2 4 2 3 2 4 4" xfId="9321" xr:uid="{81C1F126-6AFF-4069-B3CB-EE0BA5C0A2FB}"/>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02FA153E-572B-4B8E-AE1D-ED6C4E365980}"/>
    <cellStyle name="Normal 2 4 2 3 2 5 2 3" xfId="11879" xr:uid="{9AE322F3-3B13-4739-88A1-82F4D8282F28}"/>
    <cellStyle name="Normal 2 4 2 3 2 5 3" xfId="5502" xr:uid="{00000000-0005-0000-0000-0000DC0E0000}"/>
    <cellStyle name="Normal 2 4 2 3 2 5 3 2" xfId="13952" xr:uid="{F5BCE9DC-0800-4EDF-BE1D-5CE379C4F8B3}"/>
    <cellStyle name="Normal 2 4 2 3 2 5 4" xfId="9734" xr:uid="{B2D280E1-9A96-4AFD-BFC4-F86206C81A3F}"/>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D8137362-885E-4557-AD1E-C5A5CD864616}"/>
    <cellStyle name="Normal 2 4 2 3 2 6 2 3" xfId="12292" xr:uid="{22683FD3-7948-42F8-99CB-B92E8E5EBBEC}"/>
    <cellStyle name="Normal 2 4 2 3 2 6 3" xfId="5915" xr:uid="{00000000-0005-0000-0000-0000E00E0000}"/>
    <cellStyle name="Normal 2 4 2 3 2 6 3 2" xfId="14365" xr:uid="{51F267AF-499F-4804-8B91-3356ECEFABEE}"/>
    <cellStyle name="Normal 2 4 2 3 2 6 4" xfId="10147" xr:uid="{5E257169-B059-4D4A-8D76-92A53B56F0E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1361A059-C918-467A-AFA5-0FB5169A619B}"/>
    <cellStyle name="Normal 2 4 2 3 2 7 2 3" xfId="12705" xr:uid="{C4DF4B89-0DE0-47F8-9590-4FEE4DFB4242}"/>
    <cellStyle name="Normal 2 4 2 3 2 7 3" xfId="6328" xr:uid="{00000000-0005-0000-0000-0000E40E0000}"/>
    <cellStyle name="Normal 2 4 2 3 2 7 3 2" xfId="14778" xr:uid="{93E27939-8430-4B86-90FF-004C942DB481}"/>
    <cellStyle name="Normal 2 4 2 3 2 7 4" xfId="10560" xr:uid="{CD4BD0C4-8997-4F95-B023-8124995D0DDE}"/>
    <cellStyle name="Normal 2 4 2 3 2 8" xfId="2458" xr:uid="{00000000-0005-0000-0000-0000E50E0000}"/>
    <cellStyle name="Normal 2 4 2 3 2 8 2" xfId="6741" xr:uid="{00000000-0005-0000-0000-0000E60E0000}"/>
    <cellStyle name="Normal 2 4 2 3 2 8 2 2" xfId="15191" xr:uid="{46BAF081-5674-4879-ACDC-9A7EEC85649C}"/>
    <cellStyle name="Normal 2 4 2 3 2 8 3" xfId="10973" xr:uid="{77E35723-1828-481A-8920-796DFDFB917C}"/>
    <cellStyle name="Normal 2 4 2 3 2 9" xfId="4675" xr:uid="{00000000-0005-0000-0000-0000E70E0000}"/>
    <cellStyle name="Normal 2 4 2 3 2 9 2" xfId="13125" xr:uid="{7C903670-2A29-402B-A3C4-011635127114}"/>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D7104C39-655B-4B80-A2E5-1272F97F7712}"/>
    <cellStyle name="Normal 2 4 2 3 3 2 2 2 3" xfId="11471" xr:uid="{4B776423-4D12-46D2-84CB-B44F4B8649DC}"/>
    <cellStyle name="Normal 2 4 2 3 3 2 2 3" xfId="5094" xr:uid="{00000000-0005-0000-0000-0000ED0E0000}"/>
    <cellStyle name="Normal 2 4 2 3 3 2 2 3 2" xfId="13544" xr:uid="{40252B00-6211-4138-8930-171DF43481B9}"/>
    <cellStyle name="Normal 2 4 2 3 3 2 2 4" xfId="9326" xr:uid="{58067001-1AAA-4F74-8D9C-E5ADCC0AAB4F}"/>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FF6314AE-397C-4B53-AE34-FF305575E396}"/>
    <cellStyle name="Normal 2 4 2 3 3 2 3 2 3" xfId="11884" xr:uid="{8E2399D1-FF7A-4F7E-8150-2655D234E0D4}"/>
    <cellStyle name="Normal 2 4 2 3 3 2 3 3" xfId="5507" xr:uid="{00000000-0005-0000-0000-0000F10E0000}"/>
    <cellStyle name="Normal 2 4 2 3 3 2 3 3 2" xfId="13957" xr:uid="{18F785FB-6E84-4DB3-B6E0-24FADFFBD02B}"/>
    <cellStyle name="Normal 2 4 2 3 3 2 3 4" xfId="9739" xr:uid="{895389DB-F019-4CEE-BBEB-AE806C8185EA}"/>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273C619F-E0A2-445B-9622-3FC520E94D14}"/>
    <cellStyle name="Normal 2 4 2 3 3 2 4 2 3" xfId="12297" xr:uid="{DF482C25-2DCE-42D1-B517-DC1A17DFC681}"/>
    <cellStyle name="Normal 2 4 2 3 3 2 4 3" xfId="5920" xr:uid="{00000000-0005-0000-0000-0000F50E0000}"/>
    <cellStyle name="Normal 2 4 2 3 3 2 4 3 2" xfId="14370" xr:uid="{43E91D25-21A4-470C-B84E-594AE41716C1}"/>
    <cellStyle name="Normal 2 4 2 3 3 2 4 4" xfId="10152" xr:uid="{C4DBA0BD-1507-4A35-8383-E2A7F17FAE03}"/>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43139087-E2C4-4951-BC5D-31F9907E5DBA}"/>
    <cellStyle name="Normal 2 4 2 3 3 2 5 2 3" xfId="12710" xr:uid="{04A26294-D78C-40DF-A809-CC01D0E847AE}"/>
    <cellStyle name="Normal 2 4 2 3 3 2 5 3" xfId="6333" xr:uid="{00000000-0005-0000-0000-0000F90E0000}"/>
    <cellStyle name="Normal 2 4 2 3 3 2 5 3 2" xfId="14783" xr:uid="{689427C6-C3D4-4230-8176-4684A00E7FAC}"/>
    <cellStyle name="Normal 2 4 2 3 3 2 5 4" xfId="10565" xr:uid="{8B42C701-A43D-4601-8016-F1423BD4957D}"/>
    <cellStyle name="Normal 2 4 2 3 3 2 6" xfId="2463" xr:uid="{00000000-0005-0000-0000-0000FA0E0000}"/>
    <cellStyle name="Normal 2 4 2 3 3 2 6 2" xfId="6746" xr:uid="{00000000-0005-0000-0000-0000FB0E0000}"/>
    <cellStyle name="Normal 2 4 2 3 3 2 6 2 2" xfId="15196" xr:uid="{1480BFCB-072E-44D0-8A42-D2AEDB3C00D1}"/>
    <cellStyle name="Normal 2 4 2 3 3 2 6 3" xfId="10978" xr:uid="{33F82F76-78EB-4BAF-8084-8F8B886DAF75}"/>
    <cellStyle name="Normal 2 4 2 3 3 2 7" xfId="4680" xr:uid="{00000000-0005-0000-0000-0000FC0E0000}"/>
    <cellStyle name="Normal 2 4 2 3 3 2 7 2" xfId="13130" xr:uid="{0D6FD6A7-7BB2-4536-A98F-A50DE50C45D2}"/>
    <cellStyle name="Normal 2 4 2 3 3 2 8" xfId="8912" xr:uid="{597A41E2-D40A-462D-9FCE-3748D80BB174}"/>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575465E2-05C6-44DD-8A5B-20A76B43A19E}"/>
    <cellStyle name="Normal 2 4 2 3 3 3 2 3" xfId="11470" xr:uid="{0CEC151D-A1BD-4AA5-B92D-36E61AAC94F9}"/>
    <cellStyle name="Normal 2 4 2 3 3 3 3" xfId="5093" xr:uid="{00000000-0005-0000-0000-0000000F0000}"/>
    <cellStyle name="Normal 2 4 2 3 3 3 3 2" xfId="13543" xr:uid="{DD4967D7-E309-4BE7-81A3-95ED366A65D2}"/>
    <cellStyle name="Normal 2 4 2 3 3 3 4" xfId="9325" xr:uid="{C6FB8F24-8ED7-488A-B014-103828D2535A}"/>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555D5E57-51EF-49D8-917E-52C414B4634A}"/>
    <cellStyle name="Normal 2 4 2 3 3 4 2 3" xfId="11883" xr:uid="{BA91E17F-E943-4867-B03B-58F7A7035D25}"/>
    <cellStyle name="Normal 2 4 2 3 3 4 3" xfId="5506" xr:uid="{00000000-0005-0000-0000-0000040F0000}"/>
    <cellStyle name="Normal 2 4 2 3 3 4 3 2" xfId="13956" xr:uid="{A7B526AF-E42F-4C22-A49A-4F989011007E}"/>
    <cellStyle name="Normal 2 4 2 3 3 4 4" xfId="9738" xr:uid="{03FC5383-21CE-481E-80A1-B1EB3BE0C1F6}"/>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B66A8E8B-BFA8-4BDF-8E3A-449E2179ACFE}"/>
    <cellStyle name="Normal 2 4 2 3 3 5 2 3" xfId="12296" xr:uid="{458230A0-E70D-49B2-9B70-013ACF0BE033}"/>
    <cellStyle name="Normal 2 4 2 3 3 5 3" xfId="5919" xr:uid="{00000000-0005-0000-0000-0000080F0000}"/>
    <cellStyle name="Normal 2 4 2 3 3 5 3 2" xfId="14369" xr:uid="{81DC6B4D-F0AC-43F1-BAB8-650DFEDBA95A}"/>
    <cellStyle name="Normal 2 4 2 3 3 5 4" xfId="10151" xr:uid="{6719A09C-257E-4362-8141-68FCC34C816D}"/>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C7B7A793-41B4-4AB1-8F7B-DE7418205C8C}"/>
    <cellStyle name="Normal 2 4 2 3 3 6 2 3" xfId="12709" xr:uid="{6C9BE3CD-303E-4F86-A918-75C6F014C5E7}"/>
    <cellStyle name="Normal 2 4 2 3 3 6 3" xfId="6332" xr:uid="{00000000-0005-0000-0000-00000C0F0000}"/>
    <cellStyle name="Normal 2 4 2 3 3 6 3 2" xfId="14782" xr:uid="{E4B96C1C-A60A-45BD-A8E8-856060ECD86B}"/>
    <cellStyle name="Normal 2 4 2 3 3 6 4" xfId="10564" xr:uid="{A93612D5-8F26-4C55-B36D-0DBF1CD93DDC}"/>
    <cellStyle name="Normal 2 4 2 3 3 7" xfId="2462" xr:uid="{00000000-0005-0000-0000-00000D0F0000}"/>
    <cellStyle name="Normal 2 4 2 3 3 7 2" xfId="6745" xr:uid="{00000000-0005-0000-0000-00000E0F0000}"/>
    <cellStyle name="Normal 2 4 2 3 3 7 2 2" xfId="15195" xr:uid="{C167F94A-1EB0-400C-97CD-52DC9FFD3D18}"/>
    <cellStyle name="Normal 2 4 2 3 3 7 3" xfId="10977" xr:uid="{5F157492-F2CF-40DA-BF4F-DE7B6AB02BEB}"/>
    <cellStyle name="Normal 2 4 2 3 3 8" xfId="4679" xr:uid="{00000000-0005-0000-0000-00000F0F0000}"/>
    <cellStyle name="Normal 2 4 2 3 3 8 2" xfId="13129" xr:uid="{E4610D46-BE3D-41DA-AF3D-00E04F6A706B}"/>
    <cellStyle name="Normal 2 4 2 3 3 9" xfId="8911" xr:uid="{1E045E0C-BCC5-45E6-A324-1F97ECF6D2A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60776AB2-8942-4C09-A469-82D490923E9F}"/>
    <cellStyle name="Normal 2 4 2 3 4 2 2 3" xfId="11472" xr:uid="{B4A72204-B9EA-4AE5-9364-CB543A831CAE}"/>
    <cellStyle name="Normal 2 4 2 3 4 2 3" xfId="5095" xr:uid="{00000000-0005-0000-0000-0000140F0000}"/>
    <cellStyle name="Normal 2 4 2 3 4 2 3 2" xfId="13545" xr:uid="{6E631C3F-CF69-415C-B489-6BBE47C2C0EC}"/>
    <cellStyle name="Normal 2 4 2 3 4 2 4" xfId="9327" xr:uid="{8099E320-67B9-4346-BA83-7340DBB1E259}"/>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F2589E71-FD38-44F1-ACB4-BE0EB5850EED}"/>
    <cellStyle name="Normal 2 4 2 3 4 3 2 3" xfId="11885" xr:uid="{DB42F753-2B62-4959-956A-058997B3E69B}"/>
    <cellStyle name="Normal 2 4 2 3 4 3 3" xfId="5508" xr:uid="{00000000-0005-0000-0000-0000180F0000}"/>
    <cellStyle name="Normal 2 4 2 3 4 3 3 2" xfId="13958" xr:uid="{A37C4C5F-A593-4D0A-8CDD-8D14E4F5C4D9}"/>
    <cellStyle name="Normal 2 4 2 3 4 3 4" xfId="9740" xr:uid="{A3787428-89E8-4F42-BDC6-617436D8F57A}"/>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E34191AE-8EC6-4F43-A4ED-23A7F8AD9AB7}"/>
    <cellStyle name="Normal 2 4 2 3 4 4 2 3" xfId="12298" xr:uid="{DA452ED5-3BF5-4337-8651-541272BF0A56}"/>
    <cellStyle name="Normal 2 4 2 3 4 4 3" xfId="5921" xr:uid="{00000000-0005-0000-0000-00001C0F0000}"/>
    <cellStyle name="Normal 2 4 2 3 4 4 3 2" xfId="14371" xr:uid="{A2510808-C23E-4348-8FDD-AE6709552EB2}"/>
    <cellStyle name="Normal 2 4 2 3 4 4 4" xfId="10153" xr:uid="{463A9CB4-9F27-4091-9422-65AC6D6B4D81}"/>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7A3AB659-BD6D-46C5-B687-A7467AE747C0}"/>
    <cellStyle name="Normal 2 4 2 3 4 5 2 3" xfId="12711" xr:uid="{5FE80BC7-42FE-45BA-AECB-F6768EDBEAD1}"/>
    <cellStyle name="Normal 2 4 2 3 4 5 3" xfId="6334" xr:uid="{00000000-0005-0000-0000-0000200F0000}"/>
    <cellStyle name="Normal 2 4 2 3 4 5 3 2" xfId="14784" xr:uid="{2C8DDD6A-86F8-48E6-8ECF-B6C24E3CF396}"/>
    <cellStyle name="Normal 2 4 2 3 4 5 4" xfId="10566" xr:uid="{45B22F7D-927B-456F-9807-1B6989980380}"/>
    <cellStyle name="Normal 2 4 2 3 4 6" xfId="2464" xr:uid="{00000000-0005-0000-0000-0000210F0000}"/>
    <cellStyle name="Normal 2 4 2 3 4 6 2" xfId="6747" xr:uid="{00000000-0005-0000-0000-0000220F0000}"/>
    <cellStyle name="Normal 2 4 2 3 4 6 2 2" xfId="15197" xr:uid="{F190C04D-6DEE-48B5-BB24-A8E8E0347AAD}"/>
    <cellStyle name="Normal 2 4 2 3 4 6 3" xfId="10979" xr:uid="{3A08BDDB-1E6D-469A-91FF-327FB6CD9E65}"/>
    <cellStyle name="Normal 2 4 2 3 4 7" xfId="4681" xr:uid="{00000000-0005-0000-0000-0000230F0000}"/>
    <cellStyle name="Normal 2 4 2 3 4 7 2" xfId="13131" xr:uid="{DE153A0F-B865-4260-A574-769AB2831E97}"/>
    <cellStyle name="Normal 2 4 2 3 4 8" xfId="8913" xr:uid="{88DDD3E9-A3B3-443B-9D27-ADDC47EFC84A}"/>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99EB8C9D-C770-4A60-86D9-5C2580DF236F}"/>
    <cellStyle name="Normal 2 4 2 3 5 2 3" xfId="11465" xr:uid="{A8966479-0980-4851-BEC8-10E8489A2160}"/>
    <cellStyle name="Normal 2 4 2 3 5 3" xfId="5088" xr:uid="{00000000-0005-0000-0000-0000270F0000}"/>
    <cellStyle name="Normal 2 4 2 3 5 3 2" xfId="13538" xr:uid="{7612D011-184F-4C8F-9AEB-CBAD0EB71CAD}"/>
    <cellStyle name="Normal 2 4 2 3 5 4" xfId="9320" xr:uid="{000DBBEA-F672-4BA1-96FD-46E67C12C9A2}"/>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E5F09CAF-F8DD-4427-94B1-3DE8881C3225}"/>
    <cellStyle name="Normal 2 4 2 3 6 2 3" xfId="11878" xr:uid="{2692BA13-2F4F-4D52-97E1-6312F40EAB8D}"/>
    <cellStyle name="Normal 2 4 2 3 6 3" xfId="5501" xr:uid="{00000000-0005-0000-0000-00002B0F0000}"/>
    <cellStyle name="Normal 2 4 2 3 6 3 2" xfId="13951" xr:uid="{C40E8104-AE3A-4650-BF2F-7D85F7485C3B}"/>
    <cellStyle name="Normal 2 4 2 3 6 4" xfId="9733" xr:uid="{B9089065-43A8-4B2F-9562-C7EFC7D9393C}"/>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64D1F5A4-2C57-4000-942D-11E8F0EDAFA9}"/>
    <cellStyle name="Normal 2 4 2 3 7 2 3" xfId="12291" xr:uid="{97C59693-3B1B-43C3-8F22-1F7C8E1D9604}"/>
    <cellStyle name="Normal 2 4 2 3 7 3" xfId="5914" xr:uid="{00000000-0005-0000-0000-00002F0F0000}"/>
    <cellStyle name="Normal 2 4 2 3 7 3 2" xfId="14364" xr:uid="{A5E2A5CB-8AFA-48F6-92A0-5BE3DB6C8B10}"/>
    <cellStyle name="Normal 2 4 2 3 7 4" xfId="10146" xr:uid="{E2682DD6-378B-4BEC-B65D-7DDBC115A6CA}"/>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344C46BA-5CAC-4183-9215-3F6ECB2CB9C9}"/>
    <cellStyle name="Normal 2 4 2 3 8 2 3" xfId="12704" xr:uid="{7EA3F63D-B6E2-443C-9172-85B3DD74E8AE}"/>
    <cellStyle name="Normal 2 4 2 3 8 3" xfId="6327" xr:uid="{00000000-0005-0000-0000-0000330F0000}"/>
    <cellStyle name="Normal 2 4 2 3 8 3 2" xfId="14777" xr:uid="{A46182A9-CC87-48A0-B93B-208A8D55440F}"/>
    <cellStyle name="Normal 2 4 2 3 8 4" xfId="10559" xr:uid="{2185A616-996F-464B-886E-099BA1A8DAC4}"/>
    <cellStyle name="Normal 2 4 2 3 9" xfId="2457" xr:uid="{00000000-0005-0000-0000-0000340F0000}"/>
    <cellStyle name="Normal 2 4 2 3 9 2" xfId="6740" xr:uid="{00000000-0005-0000-0000-0000350F0000}"/>
    <cellStyle name="Normal 2 4 2 3 9 2 2" xfId="15190" xr:uid="{8E75A41B-0BE6-4AC7-9CF8-7EA08971ED20}"/>
    <cellStyle name="Normal 2 4 2 3 9 3" xfId="10972" xr:uid="{20E4B9B7-4F4B-4460-B202-7254EF440C2A}"/>
    <cellStyle name="Normal 2 4 2 4" xfId="289" xr:uid="{00000000-0005-0000-0000-0000360F0000}"/>
    <cellStyle name="Normal 2 4 2 4 10" xfId="8914" xr:uid="{EAE89FA8-BED1-472D-8845-1DCE36B5EEC4}"/>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F33F40DE-418C-41CD-82AD-60B13A4BAB9A}"/>
    <cellStyle name="Normal 2 4 2 4 2 2 2 2 3" xfId="11475" xr:uid="{B71B4452-189A-458F-9C6E-635D0C99940C}"/>
    <cellStyle name="Normal 2 4 2 4 2 2 2 3" xfId="5098" xr:uid="{00000000-0005-0000-0000-00003C0F0000}"/>
    <cellStyle name="Normal 2 4 2 4 2 2 2 3 2" xfId="13548" xr:uid="{15214707-15CC-42BD-80E6-ECBAFE8435B0}"/>
    <cellStyle name="Normal 2 4 2 4 2 2 2 4" xfId="9330" xr:uid="{5B650E0A-DACF-4ECF-B364-8145E31D5835}"/>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C02CCA84-3561-476C-9151-BFF3312B5FDD}"/>
    <cellStyle name="Normal 2 4 2 4 2 2 3 2 3" xfId="11888" xr:uid="{04F5ED63-C09B-4FFA-9824-77B405F1B63E}"/>
    <cellStyle name="Normal 2 4 2 4 2 2 3 3" xfId="5511" xr:uid="{00000000-0005-0000-0000-0000400F0000}"/>
    <cellStyle name="Normal 2 4 2 4 2 2 3 3 2" xfId="13961" xr:uid="{6F31B14F-802A-4F32-8880-390CBEF7FAC8}"/>
    <cellStyle name="Normal 2 4 2 4 2 2 3 4" xfId="9743" xr:uid="{AA6C3270-81A8-47A0-A799-5385FA4FCEE9}"/>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5EFD38C2-D568-4717-8924-429417783B66}"/>
    <cellStyle name="Normal 2 4 2 4 2 2 4 2 3" xfId="12301" xr:uid="{D72B25CF-2347-44F4-8A17-DF9311A924C8}"/>
    <cellStyle name="Normal 2 4 2 4 2 2 4 3" xfId="5924" xr:uid="{00000000-0005-0000-0000-0000440F0000}"/>
    <cellStyle name="Normal 2 4 2 4 2 2 4 3 2" xfId="14374" xr:uid="{5C59D752-66CD-4093-9FA5-0AA3184C7A39}"/>
    <cellStyle name="Normal 2 4 2 4 2 2 4 4" xfId="10156" xr:uid="{F84A9A4F-07FF-48EA-B282-3AFDE3C4C7CC}"/>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ECE1813C-8786-425A-AFC4-BB013CE9EB54}"/>
    <cellStyle name="Normal 2 4 2 4 2 2 5 2 3" xfId="12714" xr:uid="{C4CB8E46-FE32-4BE1-9FC9-1CA91D388FF6}"/>
    <cellStyle name="Normal 2 4 2 4 2 2 5 3" xfId="6337" xr:uid="{00000000-0005-0000-0000-0000480F0000}"/>
    <cellStyle name="Normal 2 4 2 4 2 2 5 3 2" xfId="14787" xr:uid="{7B7DB6C5-58DB-4E64-B767-0497E68BC58A}"/>
    <cellStyle name="Normal 2 4 2 4 2 2 5 4" xfId="10569" xr:uid="{F0FDFA56-647B-41FD-90DE-5C521EEC2BA7}"/>
    <cellStyle name="Normal 2 4 2 4 2 2 6" xfId="2467" xr:uid="{00000000-0005-0000-0000-0000490F0000}"/>
    <cellStyle name="Normal 2 4 2 4 2 2 6 2" xfId="6750" xr:uid="{00000000-0005-0000-0000-00004A0F0000}"/>
    <cellStyle name="Normal 2 4 2 4 2 2 6 2 2" xfId="15200" xr:uid="{8D31587E-4920-40C1-9AF9-253657E87972}"/>
    <cellStyle name="Normal 2 4 2 4 2 2 6 3" xfId="10982" xr:uid="{6613D736-AC12-40F5-912A-33724A14E0CB}"/>
    <cellStyle name="Normal 2 4 2 4 2 2 7" xfId="4684" xr:uid="{00000000-0005-0000-0000-00004B0F0000}"/>
    <cellStyle name="Normal 2 4 2 4 2 2 7 2" xfId="13134" xr:uid="{7DEFBB92-02D7-4359-867D-A3BF10E7AC69}"/>
    <cellStyle name="Normal 2 4 2 4 2 2 8" xfId="8916" xr:uid="{BD6BB920-B242-4928-8C0D-D185F09CB322}"/>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DE1312AF-E77B-4FF3-9B14-A4E0AE729690}"/>
    <cellStyle name="Normal 2 4 2 4 2 3 2 3" xfId="11474" xr:uid="{426C8998-CB99-4F3B-A75B-787DF6383A89}"/>
    <cellStyle name="Normal 2 4 2 4 2 3 3" xfId="5097" xr:uid="{00000000-0005-0000-0000-00004F0F0000}"/>
    <cellStyle name="Normal 2 4 2 4 2 3 3 2" xfId="13547" xr:uid="{2DB086F8-8F2B-42D2-83AC-340195AD4B54}"/>
    <cellStyle name="Normal 2 4 2 4 2 3 4" xfId="9329" xr:uid="{E056724B-7BC7-42E4-AB11-B57821B73A86}"/>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3E868004-29D3-42FA-82A8-47DA9066D68B}"/>
    <cellStyle name="Normal 2 4 2 4 2 4 2 3" xfId="11887" xr:uid="{CD6B73C7-8AA3-481B-9AD1-AB3460A652BA}"/>
    <cellStyle name="Normal 2 4 2 4 2 4 3" xfId="5510" xr:uid="{00000000-0005-0000-0000-0000530F0000}"/>
    <cellStyle name="Normal 2 4 2 4 2 4 3 2" xfId="13960" xr:uid="{52475848-7ED2-41F5-BA03-AFC162FDFC6D}"/>
    <cellStyle name="Normal 2 4 2 4 2 4 4" xfId="9742" xr:uid="{00D84E77-B299-416F-A147-602B88C30E46}"/>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36E7FE3D-D5B0-427C-BEE0-33FE417EFDE0}"/>
    <cellStyle name="Normal 2 4 2 4 2 5 2 3" xfId="12300" xr:uid="{2258854E-C8C0-4783-9926-966F9B3D8E46}"/>
    <cellStyle name="Normal 2 4 2 4 2 5 3" xfId="5923" xr:uid="{00000000-0005-0000-0000-0000570F0000}"/>
    <cellStyle name="Normal 2 4 2 4 2 5 3 2" xfId="14373" xr:uid="{8D155B1B-7C9D-42B7-8632-0ADA9B283FFD}"/>
    <cellStyle name="Normal 2 4 2 4 2 5 4" xfId="10155" xr:uid="{E2D1C417-4CA9-4D86-9AC0-B7064BF17F27}"/>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C996CD4B-391F-4B2D-A31C-67D94EBDB227}"/>
    <cellStyle name="Normal 2 4 2 4 2 6 2 3" xfId="12713" xr:uid="{3BC2AF40-E8F4-421B-8C95-9F0316CAF387}"/>
    <cellStyle name="Normal 2 4 2 4 2 6 3" xfId="6336" xr:uid="{00000000-0005-0000-0000-00005B0F0000}"/>
    <cellStyle name="Normal 2 4 2 4 2 6 3 2" xfId="14786" xr:uid="{1FE46F9A-832D-4CDC-8439-2600B5FFA125}"/>
    <cellStyle name="Normal 2 4 2 4 2 6 4" xfId="10568" xr:uid="{5CDA12E8-85DE-4EA5-9652-AFBFAC335D1C}"/>
    <cellStyle name="Normal 2 4 2 4 2 7" xfId="2466" xr:uid="{00000000-0005-0000-0000-00005C0F0000}"/>
    <cellStyle name="Normal 2 4 2 4 2 7 2" xfId="6749" xr:uid="{00000000-0005-0000-0000-00005D0F0000}"/>
    <cellStyle name="Normal 2 4 2 4 2 7 2 2" xfId="15199" xr:uid="{7478AF81-3AB4-4BFC-AFF2-D3BD791A321E}"/>
    <cellStyle name="Normal 2 4 2 4 2 7 3" xfId="10981" xr:uid="{36E38DA0-FA93-4BEC-A3BD-3D43CC6CB2A1}"/>
    <cellStyle name="Normal 2 4 2 4 2 8" xfId="4683" xr:uid="{00000000-0005-0000-0000-00005E0F0000}"/>
    <cellStyle name="Normal 2 4 2 4 2 8 2" xfId="13133" xr:uid="{A57C4E49-3135-4E94-B0A9-1B638B0CC806}"/>
    <cellStyle name="Normal 2 4 2 4 2 9" xfId="8915" xr:uid="{828663D6-FCAD-4AE8-B68C-6ECB274399C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5226A13B-672A-4E4D-A1E2-BC822207B50A}"/>
    <cellStyle name="Normal 2 4 2 4 3 2 2 3" xfId="11476" xr:uid="{83C24037-CFB1-481C-8E8E-5AD746FB6053}"/>
    <cellStyle name="Normal 2 4 2 4 3 2 3" xfId="5099" xr:uid="{00000000-0005-0000-0000-0000630F0000}"/>
    <cellStyle name="Normal 2 4 2 4 3 2 3 2" xfId="13549" xr:uid="{1121D860-9F62-4BB0-B30B-A44B886DA05C}"/>
    <cellStyle name="Normal 2 4 2 4 3 2 4" xfId="9331" xr:uid="{093C5E27-3931-4A5C-B029-11C15F97115E}"/>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5F783CEA-FCA7-46AB-95BB-5A4B29363112}"/>
    <cellStyle name="Normal 2 4 2 4 3 3 2 3" xfId="11889" xr:uid="{3BEE4B3E-8518-40C6-92DA-E356D302918C}"/>
    <cellStyle name="Normal 2 4 2 4 3 3 3" xfId="5512" xr:uid="{00000000-0005-0000-0000-0000670F0000}"/>
    <cellStyle name="Normal 2 4 2 4 3 3 3 2" xfId="13962" xr:uid="{5790900B-7A9C-4AA7-A632-8FDA0828D446}"/>
    <cellStyle name="Normal 2 4 2 4 3 3 4" xfId="9744" xr:uid="{276D193A-CF63-42EB-AA07-C46EFD12C38C}"/>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13A06B21-79C1-4E45-946A-15DCB45D51AE}"/>
    <cellStyle name="Normal 2 4 2 4 3 4 2 3" xfId="12302" xr:uid="{6E144D48-B4EB-4369-A67B-9051331892DD}"/>
    <cellStyle name="Normal 2 4 2 4 3 4 3" xfId="5925" xr:uid="{00000000-0005-0000-0000-00006B0F0000}"/>
    <cellStyle name="Normal 2 4 2 4 3 4 3 2" xfId="14375" xr:uid="{7893748E-1FDB-451E-AEB8-F2B14C3D771C}"/>
    <cellStyle name="Normal 2 4 2 4 3 4 4" xfId="10157" xr:uid="{A53B263A-67CC-46BC-8827-37CCA4812224}"/>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01FB7E95-6EB1-448B-AAD5-8C00922A482D}"/>
    <cellStyle name="Normal 2 4 2 4 3 5 2 3" xfId="12715" xr:uid="{39A80058-B6EA-477A-8715-C5F70D192C0A}"/>
    <cellStyle name="Normal 2 4 2 4 3 5 3" xfId="6338" xr:uid="{00000000-0005-0000-0000-00006F0F0000}"/>
    <cellStyle name="Normal 2 4 2 4 3 5 3 2" xfId="14788" xr:uid="{F9FFDED6-B6DF-4347-B860-CA49E461C034}"/>
    <cellStyle name="Normal 2 4 2 4 3 5 4" xfId="10570" xr:uid="{4B4F263B-29BC-44DD-AF7C-8C80DEFE5EC1}"/>
    <cellStyle name="Normal 2 4 2 4 3 6" xfId="2468" xr:uid="{00000000-0005-0000-0000-0000700F0000}"/>
    <cellStyle name="Normal 2 4 2 4 3 6 2" xfId="6751" xr:uid="{00000000-0005-0000-0000-0000710F0000}"/>
    <cellStyle name="Normal 2 4 2 4 3 6 2 2" xfId="15201" xr:uid="{A3693F36-B556-4555-A124-338AFDBF1315}"/>
    <cellStyle name="Normal 2 4 2 4 3 6 3" xfId="10983" xr:uid="{60CA37D3-038E-428C-AC20-203223F9A612}"/>
    <cellStyle name="Normal 2 4 2 4 3 7" xfId="4685" xr:uid="{00000000-0005-0000-0000-0000720F0000}"/>
    <cellStyle name="Normal 2 4 2 4 3 7 2" xfId="13135" xr:uid="{6CE2EB37-AAB2-4D88-A1E1-1E54D46C64D7}"/>
    <cellStyle name="Normal 2 4 2 4 3 8" xfId="8917" xr:uid="{BD48389E-2C9E-459B-A3FC-94E03B705C1F}"/>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32EC335B-940C-4812-A0C0-81299797893B}"/>
    <cellStyle name="Normal 2 4 2 4 4 2 3" xfId="11473" xr:uid="{3B536271-F335-4826-8A8B-3B8FE341A41C}"/>
    <cellStyle name="Normal 2 4 2 4 4 3" xfId="5096" xr:uid="{00000000-0005-0000-0000-0000760F0000}"/>
    <cellStyle name="Normal 2 4 2 4 4 3 2" xfId="13546" xr:uid="{DBDB3556-7ED0-4582-9E8B-0AD049A51AF7}"/>
    <cellStyle name="Normal 2 4 2 4 4 4" xfId="9328" xr:uid="{3D9CB39E-B2A1-426E-82F8-530EBC7F7FE0}"/>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BA9309DC-A149-4F50-9376-130F10AAE31A}"/>
    <cellStyle name="Normal 2 4 2 4 5 2 3" xfId="11886" xr:uid="{3E628792-3525-454D-AD3F-B4728FD2E1CD}"/>
    <cellStyle name="Normal 2 4 2 4 5 3" xfId="5509" xr:uid="{00000000-0005-0000-0000-00007A0F0000}"/>
    <cellStyle name="Normal 2 4 2 4 5 3 2" xfId="13959" xr:uid="{69559DE4-4368-4517-BC34-CB6F21DD0CD0}"/>
    <cellStyle name="Normal 2 4 2 4 5 4" xfId="9741" xr:uid="{8A73E249-5044-45E5-9F00-7328FE95D6EB}"/>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C219A767-F0A2-4044-B543-4635078F8D54}"/>
    <cellStyle name="Normal 2 4 2 4 6 2 3" xfId="12299" xr:uid="{3C7462E9-D515-4E1E-AC3D-EBB13F536A12}"/>
    <cellStyle name="Normal 2 4 2 4 6 3" xfId="5922" xr:uid="{00000000-0005-0000-0000-00007E0F0000}"/>
    <cellStyle name="Normal 2 4 2 4 6 3 2" xfId="14372" xr:uid="{A0F05FA5-6493-4785-972D-C6C9895DC6ED}"/>
    <cellStyle name="Normal 2 4 2 4 6 4" xfId="10154" xr:uid="{C7662F51-1CD2-461A-AE58-FA64A1FAEB97}"/>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C1870CC1-6F26-42D1-9438-111E9676DC9A}"/>
    <cellStyle name="Normal 2 4 2 4 7 2 3" xfId="12712" xr:uid="{DC5FF51D-8C03-49F7-AE14-FB89B1BEBA2A}"/>
    <cellStyle name="Normal 2 4 2 4 7 3" xfId="6335" xr:uid="{00000000-0005-0000-0000-0000820F0000}"/>
    <cellStyle name="Normal 2 4 2 4 7 3 2" xfId="14785" xr:uid="{BC8918DE-2518-4B62-95F4-0C39E53C7415}"/>
    <cellStyle name="Normal 2 4 2 4 7 4" xfId="10567" xr:uid="{17EA4AD8-A19F-42B1-8607-A324A4C87544}"/>
    <cellStyle name="Normal 2 4 2 4 8" xfId="2465" xr:uid="{00000000-0005-0000-0000-0000830F0000}"/>
    <cellStyle name="Normal 2 4 2 4 8 2" xfId="6748" xr:uid="{00000000-0005-0000-0000-0000840F0000}"/>
    <cellStyle name="Normal 2 4 2 4 8 2 2" xfId="15198" xr:uid="{DCC8840E-1661-4D1A-9C75-AF7304C6DF95}"/>
    <cellStyle name="Normal 2 4 2 4 8 3" xfId="10980" xr:uid="{F9425D8C-C35E-4596-863E-6E377E4DB19F}"/>
    <cellStyle name="Normal 2 4 2 4 9" xfId="4682" xr:uid="{00000000-0005-0000-0000-0000850F0000}"/>
    <cellStyle name="Normal 2 4 2 4 9 2" xfId="13132" xr:uid="{1930B980-1067-45E5-A75C-401526276337}"/>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5F015E31-DFC5-470E-B4C2-BCE00EA23D2E}"/>
    <cellStyle name="Normal 2 4 2 5 2 2 2 3" xfId="11478" xr:uid="{F5CD2FB6-02B1-4E38-BF68-A1109BFC04C3}"/>
    <cellStyle name="Normal 2 4 2 5 2 2 3" xfId="5101" xr:uid="{00000000-0005-0000-0000-00008B0F0000}"/>
    <cellStyle name="Normal 2 4 2 5 2 2 3 2" xfId="13551" xr:uid="{65321C30-E43C-429C-8810-5DDB90348157}"/>
    <cellStyle name="Normal 2 4 2 5 2 2 4" xfId="9333" xr:uid="{6B915F2F-988B-418B-B504-695FC951353B}"/>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6E2BA959-ABCE-46A2-9DCE-B8EE07DAE57A}"/>
    <cellStyle name="Normal 2 4 2 5 2 3 2 3" xfId="11891" xr:uid="{BEBA7C29-86C7-4ACA-BAA1-43BBEDE70A86}"/>
    <cellStyle name="Normal 2 4 2 5 2 3 3" xfId="5514" xr:uid="{00000000-0005-0000-0000-00008F0F0000}"/>
    <cellStyle name="Normal 2 4 2 5 2 3 3 2" xfId="13964" xr:uid="{C01A144A-9A93-4A23-AFC5-F6BEC16F0B99}"/>
    <cellStyle name="Normal 2 4 2 5 2 3 4" xfId="9746" xr:uid="{A4932466-D570-441C-BF2D-E5FD07BB4101}"/>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8C0EC6FC-2E1A-4674-9883-3ADAB70EADA7}"/>
    <cellStyle name="Normal 2 4 2 5 2 4 2 3" xfId="12304" xr:uid="{C691166A-278F-49DC-9EE4-65DF3777127A}"/>
    <cellStyle name="Normal 2 4 2 5 2 4 3" xfId="5927" xr:uid="{00000000-0005-0000-0000-0000930F0000}"/>
    <cellStyle name="Normal 2 4 2 5 2 4 3 2" xfId="14377" xr:uid="{D1C3E79F-7062-4353-8CA1-1E07C895434F}"/>
    <cellStyle name="Normal 2 4 2 5 2 4 4" xfId="10159" xr:uid="{644AC57A-BBAF-44F4-8FB0-0996F41604C9}"/>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F0D3EF56-5334-4484-A7DA-ACB4CCF8A4B4}"/>
    <cellStyle name="Normal 2 4 2 5 2 5 2 3" xfId="12717" xr:uid="{84120008-DE62-4B6F-BA9C-1AD749F54917}"/>
    <cellStyle name="Normal 2 4 2 5 2 5 3" xfId="6340" xr:uid="{00000000-0005-0000-0000-0000970F0000}"/>
    <cellStyle name="Normal 2 4 2 5 2 5 3 2" xfId="14790" xr:uid="{B950C15C-3AC2-4075-B33D-3B49B3CA11DE}"/>
    <cellStyle name="Normal 2 4 2 5 2 5 4" xfId="10572" xr:uid="{8FA02FA8-87E7-4FBF-9337-A88101C4B1EB}"/>
    <cellStyle name="Normal 2 4 2 5 2 6" xfId="2470" xr:uid="{00000000-0005-0000-0000-0000980F0000}"/>
    <cellStyle name="Normal 2 4 2 5 2 6 2" xfId="6753" xr:uid="{00000000-0005-0000-0000-0000990F0000}"/>
    <cellStyle name="Normal 2 4 2 5 2 6 2 2" xfId="15203" xr:uid="{E6FACE54-EB3A-4C50-AFD4-69487465934B}"/>
    <cellStyle name="Normal 2 4 2 5 2 6 3" xfId="10985" xr:uid="{9D4E7B69-AD58-49F5-A4F3-EAC90976563C}"/>
    <cellStyle name="Normal 2 4 2 5 2 7" xfId="4687" xr:uid="{00000000-0005-0000-0000-00009A0F0000}"/>
    <cellStyle name="Normal 2 4 2 5 2 7 2" xfId="13137" xr:uid="{91D629E9-6651-46E7-975E-9C7C91F615F7}"/>
    <cellStyle name="Normal 2 4 2 5 2 8" xfId="8919" xr:uid="{9FB69067-2313-40F8-96C9-37926D8CC2A8}"/>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7CC866E0-7C00-4CEA-9A85-CFF8889B3238}"/>
    <cellStyle name="Normal 2 4 2 5 3 2 3" xfId="11477" xr:uid="{B26570AA-E9A1-40A4-A6C6-6FCACC7B83D9}"/>
    <cellStyle name="Normal 2 4 2 5 3 3" xfId="5100" xr:uid="{00000000-0005-0000-0000-00009E0F0000}"/>
    <cellStyle name="Normal 2 4 2 5 3 3 2" xfId="13550" xr:uid="{29F4B4A0-C2D9-4D65-8E4A-CD0189AF530A}"/>
    <cellStyle name="Normal 2 4 2 5 3 4" xfId="9332" xr:uid="{03567BB6-8784-4A72-A600-A149E16B53AA}"/>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FCC3AF66-4146-4C27-99FB-AF6C68E307F7}"/>
    <cellStyle name="Normal 2 4 2 5 4 2 3" xfId="11890" xr:uid="{FB7C91B5-C70E-497F-82AC-6E2510E7480D}"/>
    <cellStyle name="Normal 2 4 2 5 4 3" xfId="5513" xr:uid="{00000000-0005-0000-0000-0000A20F0000}"/>
    <cellStyle name="Normal 2 4 2 5 4 3 2" xfId="13963" xr:uid="{13448F2D-0930-4F0A-B2E6-3B53A2C3AF0A}"/>
    <cellStyle name="Normal 2 4 2 5 4 4" xfId="9745" xr:uid="{22B4A72B-F1BA-47EB-8A4D-99DCDD16DAD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8220C414-59DA-437A-8B3E-B1E35F7C436A}"/>
    <cellStyle name="Normal 2 4 2 5 5 2 3" xfId="12303" xr:uid="{9F179E1C-6190-41BC-9976-8837FED2B82C}"/>
    <cellStyle name="Normal 2 4 2 5 5 3" xfId="5926" xr:uid="{00000000-0005-0000-0000-0000A60F0000}"/>
    <cellStyle name="Normal 2 4 2 5 5 3 2" xfId="14376" xr:uid="{340F4BF2-DEEF-4110-BB83-184AD988A568}"/>
    <cellStyle name="Normal 2 4 2 5 5 4" xfId="10158" xr:uid="{CB3CCD9F-7924-4D79-8B8F-2E43EE502E8F}"/>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9C28AE0C-C367-43D4-B9E4-972A33BDCFBA}"/>
    <cellStyle name="Normal 2 4 2 5 6 2 3" xfId="12716" xr:uid="{06064549-3B5E-4FDB-A9E2-6F1D3DB83CEB}"/>
    <cellStyle name="Normal 2 4 2 5 6 3" xfId="6339" xr:uid="{00000000-0005-0000-0000-0000AA0F0000}"/>
    <cellStyle name="Normal 2 4 2 5 6 3 2" xfId="14789" xr:uid="{8D641182-FBB6-41D6-8273-26A271981751}"/>
    <cellStyle name="Normal 2 4 2 5 6 4" xfId="10571" xr:uid="{84955BD6-8C65-4969-8B8B-CBD05C4DF2C1}"/>
    <cellStyle name="Normal 2 4 2 5 7" xfId="2469" xr:uid="{00000000-0005-0000-0000-0000AB0F0000}"/>
    <cellStyle name="Normal 2 4 2 5 7 2" xfId="6752" xr:uid="{00000000-0005-0000-0000-0000AC0F0000}"/>
    <cellStyle name="Normal 2 4 2 5 7 2 2" xfId="15202" xr:uid="{0CD6C2EF-0233-447A-AE74-967CCB977892}"/>
    <cellStyle name="Normal 2 4 2 5 7 3" xfId="10984" xr:uid="{15085771-C0E5-4B08-8DC3-5D749F2E4B03}"/>
    <cellStyle name="Normal 2 4 2 5 8" xfId="4686" xr:uid="{00000000-0005-0000-0000-0000AD0F0000}"/>
    <cellStyle name="Normal 2 4 2 5 8 2" xfId="13136" xr:uid="{3FBC8052-E0F9-4A24-B7EE-21F725910083}"/>
    <cellStyle name="Normal 2 4 2 5 9" xfId="8918" xr:uid="{8D48605C-5CB4-4371-BC01-9473DAC94DF1}"/>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2448CC65-3F44-4EE7-BCE1-2251646E96FD}"/>
    <cellStyle name="Normal 2 4 2 6 2 2 3" xfId="11479" xr:uid="{9D254017-4D2C-41A3-B50B-4DC84A991CE7}"/>
    <cellStyle name="Normal 2 4 2 6 2 3" xfId="5102" xr:uid="{00000000-0005-0000-0000-0000B20F0000}"/>
    <cellStyle name="Normal 2 4 2 6 2 3 2" xfId="13552" xr:uid="{EF13E086-1A4F-4080-9C1E-73FA8C093974}"/>
    <cellStyle name="Normal 2 4 2 6 2 4" xfId="9334" xr:uid="{4E60F31F-0A60-46D3-9A07-E18879D6AE61}"/>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64D2A6E6-556B-45F4-A3A0-E8C7ECF9BB15}"/>
    <cellStyle name="Normal 2 4 2 6 3 2 3" xfId="11892" xr:uid="{1FB83283-02EA-4008-B996-5E99F900878E}"/>
    <cellStyle name="Normal 2 4 2 6 3 3" xfId="5515" xr:uid="{00000000-0005-0000-0000-0000B60F0000}"/>
    <cellStyle name="Normal 2 4 2 6 3 3 2" xfId="13965" xr:uid="{2457B799-84B9-4256-A51C-C23059CB8A1E}"/>
    <cellStyle name="Normal 2 4 2 6 3 4" xfId="9747" xr:uid="{F82ADDF7-3983-4762-866A-99CD3A937FD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B3869F78-63E4-4451-95BB-1EF490DACDDB}"/>
    <cellStyle name="Normal 2 4 2 6 4 2 3" xfId="12305" xr:uid="{ECF8F7F6-D90C-4D92-85D5-908C8B3B777D}"/>
    <cellStyle name="Normal 2 4 2 6 4 3" xfId="5928" xr:uid="{00000000-0005-0000-0000-0000BA0F0000}"/>
    <cellStyle name="Normal 2 4 2 6 4 3 2" xfId="14378" xr:uid="{4D09D7C5-AD07-4449-9C5A-7534B0A4B47D}"/>
    <cellStyle name="Normal 2 4 2 6 4 4" xfId="10160" xr:uid="{FA9BBD06-FEAC-4342-8673-26D6C386ADE8}"/>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23023390-9756-40F1-8519-E61CDCA2E3F7}"/>
    <cellStyle name="Normal 2 4 2 6 5 2 3" xfId="12718" xr:uid="{21265E15-8E8D-4915-9E4B-7BA5100A90AA}"/>
    <cellStyle name="Normal 2 4 2 6 5 3" xfId="6341" xr:uid="{00000000-0005-0000-0000-0000BE0F0000}"/>
    <cellStyle name="Normal 2 4 2 6 5 3 2" xfId="14791" xr:uid="{C60B88CF-773F-4651-8BF9-1E3A7D169A22}"/>
    <cellStyle name="Normal 2 4 2 6 5 4" xfId="10573" xr:uid="{EEF81573-F46C-4E04-86D4-0044582C28B9}"/>
    <cellStyle name="Normal 2 4 2 6 6" xfId="2471" xr:uid="{00000000-0005-0000-0000-0000BF0F0000}"/>
    <cellStyle name="Normal 2 4 2 6 6 2" xfId="6754" xr:uid="{00000000-0005-0000-0000-0000C00F0000}"/>
    <cellStyle name="Normal 2 4 2 6 6 2 2" xfId="15204" xr:uid="{9409353B-8D9B-40DA-A409-E435B7F60A95}"/>
    <cellStyle name="Normal 2 4 2 6 6 3" xfId="10986" xr:uid="{26CD8BB9-4690-4A55-A8B5-68C3329A5930}"/>
    <cellStyle name="Normal 2 4 2 6 7" xfId="4688" xr:uid="{00000000-0005-0000-0000-0000C10F0000}"/>
    <cellStyle name="Normal 2 4 2 6 7 2" xfId="13138" xr:uid="{903DEBD6-0D95-42FE-8CE1-28DC09CA19D7}"/>
    <cellStyle name="Normal 2 4 2 6 8" xfId="8920" xr:uid="{03D0761B-830A-484C-A49C-ACAF4912FBE3}"/>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4EBED9F8-4B91-4EF4-B7DF-496B5718BEDC}"/>
    <cellStyle name="Normal 2 4 2 7 2 3" xfId="11464" xr:uid="{A9436663-E7CE-40EF-96B6-7E5B7825EEE1}"/>
    <cellStyle name="Normal 2 4 2 7 3" xfId="5087" xr:uid="{00000000-0005-0000-0000-0000C50F0000}"/>
    <cellStyle name="Normal 2 4 2 7 3 2" xfId="13537" xr:uid="{57F0F549-7DDF-4472-9A15-17A271FD06C8}"/>
    <cellStyle name="Normal 2 4 2 7 4" xfId="9319" xr:uid="{0BDD460A-96A4-401E-9469-728A074168CD}"/>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741FFB99-26CF-4EAE-9CEC-ECD9D4E245B9}"/>
    <cellStyle name="Normal 2 4 2 8 2 3" xfId="11877" xr:uid="{12A40ADC-D4F1-4E9A-BB2D-8E1CA63C13FD}"/>
    <cellStyle name="Normal 2 4 2 8 3" xfId="5500" xr:uid="{00000000-0005-0000-0000-0000C90F0000}"/>
    <cellStyle name="Normal 2 4 2 8 3 2" xfId="13950" xr:uid="{2E184461-4F8C-4DA9-A536-23C40D265007}"/>
    <cellStyle name="Normal 2 4 2 8 4" xfId="9732" xr:uid="{DA20C468-3F4F-4429-A57F-C8979FF1D685}"/>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E5F45AA6-7009-4AF3-B04D-9C7AA9530E5B}"/>
    <cellStyle name="Normal 2 4 2 9 2 3" xfId="12290" xr:uid="{EEF9117C-022C-4142-AA36-2940B9F5DB8A}"/>
    <cellStyle name="Normal 2 4 2 9 3" xfId="5913" xr:uid="{00000000-0005-0000-0000-0000CD0F0000}"/>
    <cellStyle name="Normal 2 4 2 9 3 2" xfId="14363" xr:uid="{86C9C832-BA6F-4104-B297-80D469F9FC67}"/>
    <cellStyle name="Normal 2 4 2 9 4" xfId="10145" xr:uid="{E66DB1E3-7B4D-4261-BCCB-29D9390A309F}"/>
    <cellStyle name="Normal 2 4 3" xfId="296" xr:uid="{00000000-0005-0000-0000-0000CE0F0000}"/>
    <cellStyle name="Normal 2 4 3 10" xfId="8921" xr:uid="{4BD1DDB0-610A-49BB-8FA7-F9E4615ECEFD}"/>
    <cellStyle name="Normal 2 4 3 2" xfId="297" xr:uid="{00000000-0005-0000-0000-0000CF0F0000}"/>
    <cellStyle name="Normal 2 4 3 3" xfId="298" xr:uid="{00000000-0005-0000-0000-0000D00F0000}"/>
    <cellStyle name="Normal 2 4 3 3 10" xfId="8922" xr:uid="{DC2E7AAF-AAB7-481E-B8DE-019631D5357F}"/>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13094717-5F2C-4DF9-AED9-253413B8596F}"/>
    <cellStyle name="Normal 2 4 3 3 2 2 2 2 3" xfId="11483" xr:uid="{EE8653A2-2D51-4C98-ABC6-0DBD1D77298B}"/>
    <cellStyle name="Normal 2 4 3 3 2 2 2 3" xfId="5106" xr:uid="{00000000-0005-0000-0000-0000D60F0000}"/>
    <cellStyle name="Normal 2 4 3 3 2 2 2 3 2" xfId="13556" xr:uid="{9CF2968A-62D0-4443-B4A9-69F2AE89EB45}"/>
    <cellStyle name="Normal 2 4 3 3 2 2 2 4" xfId="9338" xr:uid="{3FB3AE32-58F7-4C11-B226-A76A37F499DB}"/>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A60AEA1E-D138-4C59-A62F-A8A426DB6706}"/>
    <cellStyle name="Normal 2 4 3 3 2 2 3 2 3" xfId="11896" xr:uid="{089EF486-3478-49FB-B193-4DDD017B8FE1}"/>
    <cellStyle name="Normal 2 4 3 3 2 2 3 3" xfId="5519" xr:uid="{00000000-0005-0000-0000-0000DA0F0000}"/>
    <cellStyle name="Normal 2 4 3 3 2 2 3 3 2" xfId="13969" xr:uid="{929DABA5-19A8-465A-9D50-671AA3506247}"/>
    <cellStyle name="Normal 2 4 3 3 2 2 3 4" xfId="9751" xr:uid="{4738D19F-A449-4E13-AFDC-92D3CF54BE02}"/>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61A1530C-1595-4DF4-B290-22AD296AF0C3}"/>
    <cellStyle name="Normal 2 4 3 3 2 2 4 2 3" xfId="12309" xr:uid="{827ECCCE-A6FA-4132-8A2D-CB264BE16C59}"/>
    <cellStyle name="Normal 2 4 3 3 2 2 4 3" xfId="5932" xr:uid="{00000000-0005-0000-0000-0000DE0F0000}"/>
    <cellStyle name="Normal 2 4 3 3 2 2 4 3 2" xfId="14382" xr:uid="{363D6770-4949-4459-90A0-1020C294987B}"/>
    <cellStyle name="Normal 2 4 3 3 2 2 4 4" xfId="10164" xr:uid="{27819278-A56F-412F-A0A0-F2C1831DDAD9}"/>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44A576A1-0DA5-4A50-BA24-4B9D5AF1FBB0}"/>
    <cellStyle name="Normal 2 4 3 3 2 2 5 2 3" xfId="12722" xr:uid="{4EBA30A7-1CD8-4D42-B17F-E45423DE4FAC}"/>
    <cellStyle name="Normal 2 4 3 3 2 2 5 3" xfId="6345" xr:uid="{00000000-0005-0000-0000-0000E20F0000}"/>
    <cellStyle name="Normal 2 4 3 3 2 2 5 3 2" xfId="14795" xr:uid="{880EC969-A93E-44AC-AEC0-B9E4B2545F29}"/>
    <cellStyle name="Normal 2 4 3 3 2 2 5 4" xfId="10577" xr:uid="{77074EE2-B808-485E-BCBE-AE8BFCF4258B}"/>
    <cellStyle name="Normal 2 4 3 3 2 2 6" xfId="2475" xr:uid="{00000000-0005-0000-0000-0000E30F0000}"/>
    <cellStyle name="Normal 2 4 3 3 2 2 6 2" xfId="6758" xr:uid="{00000000-0005-0000-0000-0000E40F0000}"/>
    <cellStyle name="Normal 2 4 3 3 2 2 6 2 2" xfId="15208" xr:uid="{0DD6D863-B9E2-4D97-AF93-FAA88EC2853D}"/>
    <cellStyle name="Normal 2 4 3 3 2 2 6 3" xfId="10990" xr:uid="{CD54732B-B537-4EF5-B799-C3875A3555B7}"/>
    <cellStyle name="Normal 2 4 3 3 2 2 7" xfId="4692" xr:uid="{00000000-0005-0000-0000-0000E50F0000}"/>
    <cellStyle name="Normal 2 4 3 3 2 2 7 2" xfId="13142" xr:uid="{4F8EA91F-D483-46DB-834E-0889D26B2634}"/>
    <cellStyle name="Normal 2 4 3 3 2 2 8" xfId="8924" xr:uid="{780C77E1-B6BB-4F27-AAC3-C62353FC44C8}"/>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6B4F3A99-FA0F-4346-804B-04D7757C1835}"/>
    <cellStyle name="Normal 2 4 3 3 2 3 2 3" xfId="11482" xr:uid="{608DC7FE-038D-4E0A-B18D-ACD8A11FDFA8}"/>
    <cellStyle name="Normal 2 4 3 3 2 3 3" xfId="5105" xr:uid="{00000000-0005-0000-0000-0000E90F0000}"/>
    <cellStyle name="Normal 2 4 3 3 2 3 3 2" xfId="13555" xr:uid="{C1ECE562-4C89-4BF5-B5BE-BEEED4F46D03}"/>
    <cellStyle name="Normal 2 4 3 3 2 3 4" xfId="9337" xr:uid="{6B469D1C-F94E-4181-BD52-C84DB7EC424D}"/>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2DD62C65-F1B2-4AA1-BF9D-4F8E2A2BCCC1}"/>
    <cellStyle name="Normal 2 4 3 3 2 4 2 3" xfId="11895" xr:uid="{A8CE2BB4-BF5B-48B9-AC30-F05B3E919D28}"/>
    <cellStyle name="Normal 2 4 3 3 2 4 3" xfId="5518" xr:uid="{00000000-0005-0000-0000-0000ED0F0000}"/>
    <cellStyle name="Normal 2 4 3 3 2 4 3 2" xfId="13968" xr:uid="{574DAE54-6129-4426-8B9C-0D0E829E60E2}"/>
    <cellStyle name="Normal 2 4 3 3 2 4 4" xfId="9750" xr:uid="{1C2CC490-0105-40DB-A77E-B407C6B69BBE}"/>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0E1C7E6E-7D40-4098-A922-FC36B1575A3E}"/>
    <cellStyle name="Normal 2 4 3 3 2 5 2 3" xfId="12308" xr:uid="{E05EEE41-0397-454F-B2E9-FA8465C009B9}"/>
    <cellStyle name="Normal 2 4 3 3 2 5 3" xfId="5931" xr:uid="{00000000-0005-0000-0000-0000F10F0000}"/>
    <cellStyle name="Normal 2 4 3 3 2 5 3 2" xfId="14381" xr:uid="{99E154D9-D455-40FA-AB7F-E0D7055BC3AE}"/>
    <cellStyle name="Normal 2 4 3 3 2 5 4" xfId="10163" xr:uid="{7030B48F-044A-4514-A6CD-C00F74CA5219}"/>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E34E673F-50B5-4E32-B58E-2EA8D0CDCE4D}"/>
    <cellStyle name="Normal 2 4 3 3 2 6 2 3" xfId="12721" xr:uid="{510CA92D-9877-4C70-ACDE-225F3537878E}"/>
    <cellStyle name="Normal 2 4 3 3 2 6 3" xfId="6344" xr:uid="{00000000-0005-0000-0000-0000F50F0000}"/>
    <cellStyle name="Normal 2 4 3 3 2 6 3 2" xfId="14794" xr:uid="{BEEDFC3C-92EE-4AD2-803F-27428A18D778}"/>
    <cellStyle name="Normal 2 4 3 3 2 6 4" xfId="10576" xr:uid="{06453460-6488-4C9C-AEC0-06B6F314CAAA}"/>
    <cellStyle name="Normal 2 4 3 3 2 7" xfId="2474" xr:uid="{00000000-0005-0000-0000-0000F60F0000}"/>
    <cellStyle name="Normal 2 4 3 3 2 7 2" xfId="6757" xr:uid="{00000000-0005-0000-0000-0000F70F0000}"/>
    <cellStyle name="Normal 2 4 3 3 2 7 2 2" xfId="15207" xr:uid="{08F5D919-A55E-4E1F-94A3-97B572A862BD}"/>
    <cellStyle name="Normal 2 4 3 3 2 7 3" xfId="10989" xr:uid="{F0CBF57C-696E-4128-88A9-7493E55A6FA5}"/>
    <cellStyle name="Normal 2 4 3 3 2 8" xfId="4691" xr:uid="{00000000-0005-0000-0000-0000F80F0000}"/>
    <cellStyle name="Normal 2 4 3 3 2 8 2" xfId="13141" xr:uid="{BEF099C9-84BA-49C7-9060-71C968880433}"/>
    <cellStyle name="Normal 2 4 3 3 2 9" xfId="8923" xr:uid="{45C2C12A-3FDB-48C8-8FBB-9BD08C07E1EA}"/>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6D81E709-91D9-4AE7-9372-A646EFA63664}"/>
    <cellStyle name="Normal 2 4 3 3 3 2 2 3" xfId="11484" xr:uid="{7AFD6358-9AAD-4A9C-A27E-40F27DAD43F6}"/>
    <cellStyle name="Normal 2 4 3 3 3 2 3" xfId="5107" xr:uid="{00000000-0005-0000-0000-0000FD0F0000}"/>
    <cellStyle name="Normal 2 4 3 3 3 2 3 2" xfId="13557" xr:uid="{25794043-9EB1-4879-8526-281AF1E6BEA5}"/>
    <cellStyle name="Normal 2 4 3 3 3 2 4" xfId="9339" xr:uid="{3CBA965C-F2FF-4B83-8A55-45E67AE00042}"/>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FD4B64F9-DEDB-4A5E-AD7C-5F4A2667FEEB}"/>
    <cellStyle name="Normal 2 4 3 3 3 3 2 3" xfId="11897" xr:uid="{0A63F210-2D87-4C22-93A5-D506D637C73B}"/>
    <cellStyle name="Normal 2 4 3 3 3 3 3" xfId="5520" xr:uid="{00000000-0005-0000-0000-000001100000}"/>
    <cellStyle name="Normal 2 4 3 3 3 3 3 2" xfId="13970" xr:uid="{8D55FD45-80C7-4C19-886F-AFA34DD6B246}"/>
    <cellStyle name="Normal 2 4 3 3 3 3 4" xfId="9752" xr:uid="{EFB3F108-B233-49CA-BFD0-AEC2CA4880B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6F5406C8-1946-4715-B3B0-C0DD4234AB05}"/>
    <cellStyle name="Normal 2 4 3 3 3 4 2 3" xfId="12310" xr:uid="{1784259B-F674-412E-8F6C-1948DB8A17B9}"/>
    <cellStyle name="Normal 2 4 3 3 3 4 3" xfId="5933" xr:uid="{00000000-0005-0000-0000-000005100000}"/>
    <cellStyle name="Normal 2 4 3 3 3 4 3 2" xfId="14383" xr:uid="{D4BB4EE5-9D38-429C-91E5-DF03F62C278E}"/>
    <cellStyle name="Normal 2 4 3 3 3 4 4" xfId="10165" xr:uid="{F4407A0C-6ECE-4074-A252-D3C7C404879E}"/>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01AE7285-008B-43B0-B271-C71DDE2486B8}"/>
    <cellStyle name="Normal 2 4 3 3 3 5 2 3" xfId="12723" xr:uid="{44031C26-DCA8-4FC1-99A4-AEE060C1C2E6}"/>
    <cellStyle name="Normal 2 4 3 3 3 5 3" xfId="6346" xr:uid="{00000000-0005-0000-0000-000009100000}"/>
    <cellStyle name="Normal 2 4 3 3 3 5 3 2" xfId="14796" xr:uid="{A15BB0DD-F005-4650-A08B-8C4896F4C039}"/>
    <cellStyle name="Normal 2 4 3 3 3 5 4" xfId="10578" xr:uid="{EAAC63A1-D843-42CD-BF48-B0E164EE787B}"/>
    <cellStyle name="Normal 2 4 3 3 3 6" xfId="2476" xr:uid="{00000000-0005-0000-0000-00000A100000}"/>
    <cellStyle name="Normal 2 4 3 3 3 6 2" xfId="6759" xr:uid="{00000000-0005-0000-0000-00000B100000}"/>
    <cellStyle name="Normal 2 4 3 3 3 6 2 2" xfId="15209" xr:uid="{68951388-BE9F-4423-836D-F86A7190DE35}"/>
    <cellStyle name="Normal 2 4 3 3 3 6 3" xfId="10991" xr:uid="{E69C0DBE-16A7-47F8-96C7-FE33988E78B1}"/>
    <cellStyle name="Normal 2 4 3 3 3 7" xfId="4693" xr:uid="{00000000-0005-0000-0000-00000C100000}"/>
    <cellStyle name="Normal 2 4 3 3 3 7 2" xfId="13143" xr:uid="{0B66C56E-06D7-40E8-AA06-B6D927EBD37D}"/>
    <cellStyle name="Normal 2 4 3 3 3 8" xfId="8925" xr:uid="{03FFEC4B-FF9C-482F-B049-EDE3F942F419}"/>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CC181A28-2DCA-443A-906C-9CC701A0F234}"/>
    <cellStyle name="Normal 2 4 3 3 4 2 3" xfId="11481" xr:uid="{A531F177-D9BA-45A0-B6FB-7930D528BCF7}"/>
    <cellStyle name="Normal 2 4 3 3 4 3" xfId="5104" xr:uid="{00000000-0005-0000-0000-000010100000}"/>
    <cellStyle name="Normal 2 4 3 3 4 3 2" xfId="13554" xr:uid="{06D65982-F58C-40A1-BE23-E42EC39FF712}"/>
    <cellStyle name="Normal 2 4 3 3 4 4" xfId="9336" xr:uid="{CB01101A-B58C-4ED5-8ED7-8A9D3D1DC7F3}"/>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652D08BC-04D3-4B67-929F-B17F036D6C88}"/>
    <cellStyle name="Normal 2 4 3 3 5 2 3" xfId="11894" xr:uid="{04DBFBBD-DA2D-460A-B0F9-9ADF3E0F93F4}"/>
    <cellStyle name="Normal 2 4 3 3 5 3" xfId="5517" xr:uid="{00000000-0005-0000-0000-000014100000}"/>
    <cellStyle name="Normal 2 4 3 3 5 3 2" xfId="13967" xr:uid="{73CF6350-3B6E-4E41-B39B-7E5E2BE4C4C3}"/>
    <cellStyle name="Normal 2 4 3 3 5 4" xfId="9749" xr:uid="{30E305DC-07A0-4522-8056-2ADC0CEE9DAA}"/>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90DCBC8C-588B-44CD-B6F4-BF96493EFB6F}"/>
    <cellStyle name="Normal 2 4 3 3 6 2 3" xfId="12307" xr:uid="{7AEA5CDA-CA66-40EA-A1E9-9C37B713ACB3}"/>
    <cellStyle name="Normal 2 4 3 3 6 3" xfId="5930" xr:uid="{00000000-0005-0000-0000-000018100000}"/>
    <cellStyle name="Normal 2 4 3 3 6 3 2" xfId="14380" xr:uid="{FC597F22-752E-41AB-B84A-05AF27C92F67}"/>
    <cellStyle name="Normal 2 4 3 3 6 4" xfId="10162" xr:uid="{E5E678E5-4B52-4DD4-B1D5-DA4C585B2510}"/>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2C74C839-9D49-45FF-A9F3-206FD23386E0}"/>
    <cellStyle name="Normal 2 4 3 3 7 2 3" xfId="12720" xr:uid="{BCAF6DEB-FB6B-4CB4-87D1-6E3F4832F26E}"/>
    <cellStyle name="Normal 2 4 3 3 7 3" xfId="6343" xr:uid="{00000000-0005-0000-0000-00001C100000}"/>
    <cellStyle name="Normal 2 4 3 3 7 3 2" xfId="14793" xr:uid="{3C1BFFD4-B924-49CA-9DEE-5D3D29C05231}"/>
    <cellStyle name="Normal 2 4 3 3 7 4" xfId="10575" xr:uid="{CECDABB1-3D62-4D44-BF17-688495C84E15}"/>
    <cellStyle name="Normal 2 4 3 3 8" xfId="2473" xr:uid="{00000000-0005-0000-0000-00001D100000}"/>
    <cellStyle name="Normal 2 4 3 3 8 2" xfId="6756" xr:uid="{00000000-0005-0000-0000-00001E100000}"/>
    <cellStyle name="Normal 2 4 3 3 8 2 2" xfId="15206" xr:uid="{E452C3B3-8039-4052-87ED-911C136E61C8}"/>
    <cellStyle name="Normal 2 4 3 3 8 3" xfId="10988" xr:uid="{FFD66432-CE84-499C-AEDF-894EC781CD09}"/>
    <cellStyle name="Normal 2 4 3 3 9" xfId="4690" xr:uid="{00000000-0005-0000-0000-00001F100000}"/>
    <cellStyle name="Normal 2 4 3 3 9 2" xfId="13140" xr:uid="{38123E98-FEB1-47DB-828F-6135F7F648FC}"/>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821FCB53-A68F-4925-8C89-58DE997518F1}"/>
    <cellStyle name="Normal 2 4 3 4 2 3" xfId="11480" xr:uid="{F6082002-C5F7-4F06-8FBA-9BE65FD59CFF}"/>
    <cellStyle name="Normal 2 4 3 4 3" xfId="5103" xr:uid="{00000000-0005-0000-0000-000023100000}"/>
    <cellStyle name="Normal 2 4 3 4 3 2" xfId="13553" xr:uid="{F9B47B28-5D2B-45E8-9E14-BF4E860C9F2C}"/>
    <cellStyle name="Normal 2 4 3 4 4" xfId="9335" xr:uid="{29FD4125-4AD1-4348-A166-C31E054683C6}"/>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D63BBB85-32B1-45E6-AA7A-07A2EFF5B588}"/>
    <cellStyle name="Normal 2 4 3 5 2 3" xfId="11893" xr:uid="{2119E29F-AE02-4B4F-8E6D-7CF6D92950E2}"/>
    <cellStyle name="Normal 2 4 3 5 3" xfId="5516" xr:uid="{00000000-0005-0000-0000-000027100000}"/>
    <cellStyle name="Normal 2 4 3 5 3 2" xfId="13966" xr:uid="{8786B3FF-5D73-4E8B-A9DE-6F8597CF509A}"/>
    <cellStyle name="Normal 2 4 3 5 4" xfId="9748" xr:uid="{9FBF3AB2-C94D-416A-9E31-CE62A2DF0314}"/>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805EEA94-6B1C-4E6A-8550-8BE26457BC1A}"/>
    <cellStyle name="Normal 2 4 3 6 2 3" xfId="12306" xr:uid="{81F0E334-E08B-4723-BBD0-237E96A70976}"/>
    <cellStyle name="Normal 2 4 3 6 3" xfId="5929" xr:uid="{00000000-0005-0000-0000-00002B100000}"/>
    <cellStyle name="Normal 2 4 3 6 3 2" xfId="14379" xr:uid="{855AF02C-4AF0-49FE-A3FD-0D1A15A7ED1F}"/>
    <cellStyle name="Normal 2 4 3 6 4" xfId="10161" xr:uid="{C4212535-83B3-4C57-A809-9343EF5300CF}"/>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5132A5F9-63D5-47AF-832D-FC18923DA4EA}"/>
    <cellStyle name="Normal 2 4 3 7 2 3" xfId="12719" xr:uid="{658733D8-E691-442A-B8B9-164A0904067F}"/>
    <cellStyle name="Normal 2 4 3 7 3" xfId="6342" xr:uid="{00000000-0005-0000-0000-00002F100000}"/>
    <cellStyle name="Normal 2 4 3 7 3 2" xfId="14792" xr:uid="{1367BD89-5B68-4F41-A5F6-FDD3CB5024A2}"/>
    <cellStyle name="Normal 2 4 3 7 4" xfId="10574" xr:uid="{D646C58B-FF81-43F1-8777-0C4A479CDCEE}"/>
    <cellStyle name="Normal 2 4 3 8" xfId="2472" xr:uid="{00000000-0005-0000-0000-000030100000}"/>
    <cellStyle name="Normal 2 4 3 8 2" xfId="6755" xr:uid="{00000000-0005-0000-0000-000031100000}"/>
    <cellStyle name="Normal 2 4 3 8 2 2" xfId="15205" xr:uid="{55024530-386B-499B-83F3-6E15C750D702}"/>
    <cellStyle name="Normal 2 4 3 8 3" xfId="10987" xr:uid="{ABF0E112-9EEF-4FCB-9E69-1AC5156422E4}"/>
    <cellStyle name="Normal 2 4 3 9" xfId="4689" xr:uid="{00000000-0005-0000-0000-000032100000}"/>
    <cellStyle name="Normal 2 4 3 9 2" xfId="13139" xr:uid="{640B0B56-9B14-4D55-823C-6DCABE4B757F}"/>
    <cellStyle name="Normal 2 4 4" xfId="302" xr:uid="{00000000-0005-0000-0000-000033100000}"/>
    <cellStyle name="Normal 2 4 5" xfId="303" xr:uid="{00000000-0005-0000-0000-000034100000}"/>
    <cellStyle name="Normal 2 4 5 10" xfId="4694" xr:uid="{00000000-0005-0000-0000-000035100000}"/>
    <cellStyle name="Normal 2 4 5 10 2" xfId="13144" xr:uid="{4A230D6B-8C3E-4636-837B-674C9E2CDE00}"/>
    <cellStyle name="Normal 2 4 5 11" xfId="8926" xr:uid="{39B95EF7-486F-4278-BE24-F22A9D238A35}"/>
    <cellStyle name="Normal 2 4 5 2" xfId="304" xr:uid="{00000000-0005-0000-0000-000036100000}"/>
    <cellStyle name="Normal 2 4 5 2 10" xfId="8927" xr:uid="{4B053012-C749-4CED-AAC2-D6F51A6085E9}"/>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ECD49453-A581-4A12-A836-DB223A79E15A}"/>
    <cellStyle name="Normal 2 4 5 2 2 2 2 2 3" xfId="11488" xr:uid="{382597F9-2313-4640-B3A3-827C0FC1A841}"/>
    <cellStyle name="Normal 2 4 5 2 2 2 2 3" xfId="5111" xr:uid="{00000000-0005-0000-0000-00003C100000}"/>
    <cellStyle name="Normal 2 4 5 2 2 2 2 3 2" xfId="13561" xr:uid="{92DACA9F-F90F-4437-B57C-E74F261F86CD}"/>
    <cellStyle name="Normal 2 4 5 2 2 2 2 4" xfId="9343" xr:uid="{2E57D171-5BBC-4650-AD64-0B4433A9CCC4}"/>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058F2A5B-151D-4098-8D71-5E618F71A466}"/>
    <cellStyle name="Normal 2 4 5 2 2 2 3 2 3" xfId="11901" xr:uid="{4CAD9116-3663-4BAF-A8C1-C36ED6EE7F2D}"/>
    <cellStyle name="Normal 2 4 5 2 2 2 3 3" xfId="5524" xr:uid="{00000000-0005-0000-0000-000040100000}"/>
    <cellStyle name="Normal 2 4 5 2 2 2 3 3 2" xfId="13974" xr:uid="{7339E854-C178-4019-A8C7-1BB468EF1FB6}"/>
    <cellStyle name="Normal 2 4 5 2 2 2 3 4" xfId="9756" xr:uid="{AC61D056-A384-435F-BBBC-7FD3DD3238E9}"/>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A38D326B-8071-4951-B7D4-1359BFF7EBC7}"/>
    <cellStyle name="Normal 2 4 5 2 2 2 4 2 3" xfId="12314" xr:uid="{9AEDF031-FE81-4FA2-905C-ADE3CC1A8E86}"/>
    <cellStyle name="Normal 2 4 5 2 2 2 4 3" xfId="5937" xr:uid="{00000000-0005-0000-0000-000044100000}"/>
    <cellStyle name="Normal 2 4 5 2 2 2 4 3 2" xfId="14387" xr:uid="{EC791CEA-EAA5-4DA6-AF49-537D35356AB0}"/>
    <cellStyle name="Normal 2 4 5 2 2 2 4 4" xfId="10169" xr:uid="{77BB304B-FD19-40B6-9BF4-ED51386895BD}"/>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D50042DE-E661-4F70-B61E-682CF04B812F}"/>
    <cellStyle name="Normal 2 4 5 2 2 2 5 2 3" xfId="12727" xr:uid="{CB00AE87-1BB2-4DD1-B004-6FA41D347A18}"/>
    <cellStyle name="Normal 2 4 5 2 2 2 5 3" xfId="6350" xr:uid="{00000000-0005-0000-0000-000048100000}"/>
    <cellStyle name="Normal 2 4 5 2 2 2 5 3 2" xfId="14800" xr:uid="{3A1D307B-DBCF-494D-B173-771BA58E2ADD}"/>
    <cellStyle name="Normal 2 4 5 2 2 2 5 4" xfId="10582" xr:uid="{947A9E68-CB49-4540-946C-818837DC8B14}"/>
    <cellStyle name="Normal 2 4 5 2 2 2 6" xfId="2480" xr:uid="{00000000-0005-0000-0000-000049100000}"/>
    <cellStyle name="Normal 2 4 5 2 2 2 6 2" xfId="6763" xr:uid="{00000000-0005-0000-0000-00004A100000}"/>
    <cellStyle name="Normal 2 4 5 2 2 2 6 2 2" xfId="15213" xr:uid="{5D3BADA4-1352-455D-B1BC-D81C90773BE4}"/>
    <cellStyle name="Normal 2 4 5 2 2 2 6 3" xfId="10995" xr:uid="{F6FA2CE9-5F94-4FA9-92D3-2C5DCB584DB6}"/>
    <cellStyle name="Normal 2 4 5 2 2 2 7" xfId="4697" xr:uid="{00000000-0005-0000-0000-00004B100000}"/>
    <cellStyle name="Normal 2 4 5 2 2 2 7 2" xfId="13147" xr:uid="{AE200753-24A9-4F55-87DC-2B1F7CFC9F13}"/>
    <cellStyle name="Normal 2 4 5 2 2 2 8" xfId="8929" xr:uid="{C41F8A5F-60EE-4EB5-A22E-ECACA22AB345}"/>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41226199-A415-4587-80FD-4364E4C06F11}"/>
    <cellStyle name="Normal 2 4 5 2 2 3 2 3" xfId="11487" xr:uid="{A1162BCC-E5DC-415B-A698-C10C04463589}"/>
    <cellStyle name="Normal 2 4 5 2 2 3 3" xfId="5110" xr:uid="{00000000-0005-0000-0000-00004F100000}"/>
    <cellStyle name="Normal 2 4 5 2 2 3 3 2" xfId="13560" xr:uid="{FBF0B462-1C0E-4C42-BAA1-D65A51F27ED9}"/>
    <cellStyle name="Normal 2 4 5 2 2 3 4" xfId="9342" xr:uid="{A85BD098-E476-4C91-860B-68E0815B059C}"/>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9F1CD047-37B4-46D8-AA81-C9B84DCD567F}"/>
    <cellStyle name="Normal 2 4 5 2 2 4 2 3" xfId="11900" xr:uid="{929E83CC-F99D-4BB7-8840-8A2ADC4139C3}"/>
    <cellStyle name="Normal 2 4 5 2 2 4 3" xfId="5523" xr:uid="{00000000-0005-0000-0000-000053100000}"/>
    <cellStyle name="Normal 2 4 5 2 2 4 3 2" xfId="13973" xr:uid="{E4D6D767-287C-48D2-9C89-E7BFAE4CD98B}"/>
    <cellStyle name="Normal 2 4 5 2 2 4 4" xfId="9755" xr:uid="{63C35168-33E7-4259-9C54-19CD7C592891}"/>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BD14DEC7-4295-43D0-A90B-03FF0EDDA03D}"/>
    <cellStyle name="Normal 2 4 5 2 2 5 2 3" xfId="12313" xr:uid="{20D1B8F0-FBC5-4CC2-B73B-A567D28D1AB2}"/>
    <cellStyle name="Normal 2 4 5 2 2 5 3" xfId="5936" xr:uid="{00000000-0005-0000-0000-000057100000}"/>
    <cellStyle name="Normal 2 4 5 2 2 5 3 2" xfId="14386" xr:uid="{29247C4B-E9F7-4769-BD7F-BC503346E0D4}"/>
    <cellStyle name="Normal 2 4 5 2 2 5 4" xfId="10168" xr:uid="{7D184DFE-61FB-498C-A45B-23FDC7C8BF23}"/>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23A91A63-1C27-4DCA-AC19-89E0A710A528}"/>
    <cellStyle name="Normal 2 4 5 2 2 6 2 3" xfId="12726" xr:uid="{A6543A24-9CF0-4B7E-95B8-4CC373C6F240}"/>
    <cellStyle name="Normal 2 4 5 2 2 6 3" xfId="6349" xr:uid="{00000000-0005-0000-0000-00005B100000}"/>
    <cellStyle name="Normal 2 4 5 2 2 6 3 2" xfId="14799" xr:uid="{2491F343-9D4D-4252-A4D9-FA4F41F6D8E3}"/>
    <cellStyle name="Normal 2 4 5 2 2 6 4" xfId="10581" xr:uid="{92082F1C-9BFA-4C21-A274-A00AEA75624C}"/>
    <cellStyle name="Normal 2 4 5 2 2 7" xfId="2479" xr:uid="{00000000-0005-0000-0000-00005C100000}"/>
    <cellStyle name="Normal 2 4 5 2 2 7 2" xfId="6762" xr:uid="{00000000-0005-0000-0000-00005D100000}"/>
    <cellStyle name="Normal 2 4 5 2 2 7 2 2" xfId="15212" xr:uid="{92F6B8C9-ACC9-4FC5-AEFC-C91681646609}"/>
    <cellStyle name="Normal 2 4 5 2 2 7 3" xfId="10994" xr:uid="{75CE4022-DD0B-4D15-BB29-7751D0843DD8}"/>
    <cellStyle name="Normal 2 4 5 2 2 8" xfId="4696" xr:uid="{00000000-0005-0000-0000-00005E100000}"/>
    <cellStyle name="Normal 2 4 5 2 2 8 2" xfId="13146" xr:uid="{DC8B8D47-BDD3-4088-AF1E-3A490D03DE48}"/>
    <cellStyle name="Normal 2 4 5 2 2 9" xfId="8928" xr:uid="{81766B05-51D8-4C6D-9314-BD97F3EF78B1}"/>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28158049-4FF7-42D3-9B8D-C4BED7851EB4}"/>
    <cellStyle name="Normal 2 4 5 2 3 2 2 3" xfId="11489" xr:uid="{2ADB8393-3C33-4C44-BB7E-7084D7E57E58}"/>
    <cellStyle name="Normal 2 4 5 2 3 2 3" xfId="5112" xr:uid="{00000000-0005-0000-0000-000063100000}"/>
    <cellStyle name="Normal 2 4 5 2 3 2 3 2" xfId="13562" xr:uid="{3D9D31E9-8778-4630-9DED-BF3C5CF735F3}"/>
    <cellStyle name="Normal 2 4 5 2 3 2 4" xfId="9344" xr:uid="{1D90EEBC-9C71-475A-A6D3-D928F8E9E8EB}"/>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B947942E-8E7A-4599-A361-CCEF2AEDB0B3}"/>
    <cellStyle name="Normal 2 4 5 2 3 3 2 3" xfId="11902" xr:uid="{209CF8AD-E012-4F15-9792-BD18C2FC696F}"/>
    <cellStyle name="Normal 2 4 5 2 3 3 3" xfId="5525" xr:uid="{00000000-0005-0000-0000-000067100000}"/>
    <cellStyle name="Normal 2 4 5 2 3 3 3 2" xfId="13975" xr:uid="{C1935EBE-727F-4322-BE4E-B7FFCF78A3AE}"/>
    <cellStyle name="Normal 2 4 5 2 3 3 4" xfId="9757" xr:uid="{AE136EF8-2734-4CD2-A3B1-788F5412253A}"/>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E3ECBAF0-6F85-4139-A177-575CD9A78174}"/>
    <cellStyle name="Normal 2 4 5 2 3 4 2 3" xfId="12315" xr:uid="{8DAE88FC-25A8-4F55-A3C1-FD498402DD71}"/>
    <cellStyle name="Normal 2 4 5 2 3 4 3" xfId="5938" xr:uid="{00000000-0005-0000-0000-00006B100000}"/>
    <cellStyle name="Normal 2 4 5 2 3 4 3 2" xfId="14388" xr:uid="{DFB25132-593D-4D67-B297-C4FAD7C22B6A}"/>
    <cellStyle name="Normal 2 4 5 2 3 4 4" xfId="10170" xr:uid="{C10AE4E7-4AED-4F1E-8744-6CC90081F15B}"/>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437F0FE8-7641-4A79-AB3E-5731AC16F89F}"/>
    <cellStyle name="Normal 2 4 5 2 3 5 2 3" xfId="12728" xr:uid="{244B15E2-1AD6-4798-B487-3A731F572F7A}"/>
    <cellStyle name="Normal 2 4 5 2 3 5 3" xfId="6351" xr:uid="{00000000-0005-0000-0000-00006F100000}"/>
    <cellStyle name="Normal 2 4 5 2 3 5 3 2" xfId="14801" xr:uid="{AF2A30C6-C1CF-4657-93D8-BCACA91DF327}"/>
    <cellStyle name="Normal 2 4 5 2 3 5 4" xfId="10583" xr:uid="{96942CFF-CE56-43F2-BAD0-0453E21F6C67}"/>
    <cellStyle name="Normal 2 4 5 2 3 6" xfId="2481" xr:uid="{00000000-0005-0000-0000-000070100000}"/>
    <cellStyle name="Normal 2 4 5 2 3 6 2" xfId="6764" xr:uid="{00000000-0005-0000-0000-000071100000}"/>
    <cellStyle name="Normal 2 4 5 2 3 6 2 2" xfId="15214" xr:uid="{A0EFAB18-3C38-4429-8FE1-4E64874E9F47}"/>
    <cellStyle name="Normal 2 4 5 2 3 6 3" xfId="10996" xr:uid="{88F758F4-1C48-4F49-A007-5D7E6D8F7D5A}"/>
    <cellStyle name="Normal 2 4 5 2 3 7" xfId="4698" xr:uid="{00000000-0005-0000-0000-000072100000}"/>
    <cellStyle name="Normal 2 4 5 2 3 7 2" xfId="13148" xr:uid="{FB43FDD0-AD76-4F39-9B44-0314C5761E41}"/>
    <cellStyle name="Normal 2 4 5 2 3 8" xfId="8930" xr:uid="{4F5AAA0E-DE31-4A98-8C49-BC26059DC0AD}"/>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777C1E4F-474A-450E-9B7D-74DF31E1521A}"/>
    <cellStyle name="Normal 2 4 5 2 4 2 3" xfId="11486" xr:uid="{09205939-AA7F-4D81-B68E-711C3BE03619}"/>
    <cellStyle name="Normal 2 4 5 2 4 3" xfId="5109" xr:uid="{00000000-0005-0000-0000-000076100000}"/>
    <cellStyle name="Normal 2 4 5 2 4 3 2" xfId="13559" xr:uid="{677CF9EB-8231-43C6-8677-ABDD60C9ADF3}"/>
    <cellStyle name="Normal 2 4 5 2 4 4" xfId="9341" xr:uid="{94798238-C54C-4F1A-A401-30CA79EB841C}"/>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04B93900-F712-4CBE-B721-F2C54C3214EF}"/>
    <cellStyle name="Normal 2 4 5 2 5 2 3" xfId="11899" xr:uid="{1741FD67-1887-4F6A-B9D0-A9B532B617CA}"/>
    <cellStyle name="Normal 2 4 5 2 5 3" xfId="5522" xr:uid="{00000000-0005-0000-0000-00007A100000}"/>
    <cellStyle name="Normal 2 4 5 2 5 3 2" xfId="13972" xr:uid="{2E9B49FC-6722-4141-AA83-99FBEEB5B47D}"/>
    <cellStyle name="Normal 2 4 5 2 5 4" xfId="9754" xr:uid="{9242E98D-10CC-4C57-87F7-BC153EC31F5D}"/>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9093C43E-F2B4-4304-A15C-94E84630DD28}"/>
    <cellStyle name="Normal 2 4 5 2 6 2 3" xfId="12312" xr:uid="{51B065D3-414C-4D82-BC38-403E3966EF47}"/>
    <cellStyle name="Normal 2 4 5 2 6 3" xfId="5935" xr:uid="{00000000-0005-0000-0000-00007E100000}"/>
    <cellStyle name="Normal 2 4 5 2 6 3 2" xfId="14385" xr:uid="{10015848-7ED4-45D2-B61F-B3B2F74F3A6A}"/>
    <cellStyle name="Normal 2 4 5 2 6 4" xfId="10167" xr:uid="{97CD5A80-A5ED-4A1E-B51C-FEEE4FC44FCD}"/>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DE3591E2-0257-4536-8041-19FA17ADE0C4}"/>
    <cellStyle name="Normal 2 4 5 2 7 2 3" xfId="12725" xr:uid="{224D68AC-33AE-423D-BD71-4DABEF978F5F}"/>
    <cellStyle name="Normal 2 4 5 2 7 3" xfId="6348" xr:uid="{00000000-0005-0000-0000-000082100000}"/>
    <cellStyle name="Normal 2 4 5 2 7 3 2" xfId="14798" xr:uid="{30175056-C7F8-4979-BFD8-21B294CB2367}"/>
    <cellStyle name="Normal 2 4 5 2 7 4" xfId="10580" xr:uid="{0DF5FCA2-EADA-4123-92C5-4A0E2D666927}"/>
    <cellStyle name="Normal 2 4 5 2 8" xfId="2478" xr:uid="{00000000-0005-0000-0000-000083100000}"/>
    <cellStyle name="Normal 2 4 5 2 8 2" xfId="6761" xr:uid="{00000000-0005-0000-0000-000084100000}"/>
    <cellStyle name="Normal 2 4 5 2 8 2 2" xfId="15211" xr:uid="{B06DB648-2991-466D-8CA5-DA7A9A937CF6}"/>
    <cellStyle name="Normal 2 4 5 2 8 3" xfId="10993" xr:uid="{F8731C26-1323-4384-B729-C7BD52B8F878}"/>
    <cellStyle name="Normal 2 4 5 2 9" xfId="4695" xr:uid="{00000000-0005-0000-0000-000085100000}"/>
    <cellStyle name="Normal 2 4 5 2 9 2" xfId="13145" xr:uid="{81405B4D-ED75-4381-8C3F-570647326C9C}"/>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CD94AA8D-49DC-4256-8816-304D85BCEBA8}"/>
    <cellStyle name="Normal 2 4 5 3 2 2 2 3" xfId="11491" xr:uid="{4AEBCDEF-B672-4C96-B9B2-8ABB2DA77CAE}"/>
    <cellStyle name="Normal 2 4 5 3 2 2 3" xfId="5114" xr:uid="{00000000-0005-0000-0000-00008B100000}"/>
    <cellStyle name="Normal 2 4 5 3 2 2 3 2" xfId="13564" xr:uid="{380BF63F-97FD-4C07-8806-6ED79ED194C8}"/>
    <cellStyle name="Normal 2 4 5 3 2 2 4" xfId="9346" xr:uid="{840B10A7-307B-4721-8DE7-1ECFEC218E49}"/>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3618C100-7600-4E6C-AB37-A4F8328435A0}"/>
    <cellStyle name="Normal 2 4 5 3 2 3 2 3" xfId="11904" xr:uid="{16FA8C28-7F26-4BA5-ADCF-C237C7467D99}"/>
    <cellStyle name="Normal 2 4 5 3 2 3 3" xfId="5527" xr:uid="{00000000-0005-0000-0000-00008F100000}"/>
    <cellStyle name="Normal 2 4 5 3 2 3 3 2" xfId="13977" xr:uid="{41B84A18-6D6E-49C2-B1CF-054EAF0987B4}"/>
    <cellStyle name="Normal 2 4 5 3 2 3 4" xfId="9759" xr:uid="{8ACB884D-10CA-4870-B967-8A1C8AC0E1D1}"/>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CFC22024-49A0-473F-BD58-9B4C5B7A5E40}"/>
    <cellStyle name="Normal 2 4 5 3 2 4 2 3" xfId="12317" xr:uid="{BE960786-CFF8-4D9C-BCFB-87E5B2E8C3FD}"/>
    <cellStyle name="Normal 2 4 5 3 2 4 3" xfId="5940" xr:uid="{00000000-0005-0000-0000-000093100000}"/>
    <cellStyle name="Normal 2 4 5 3 2 4 3 2" xfId="14390" xr:uid="{03F26D69-BBBA-4A90-9209-16673E22EB56}"/>
    <cellStyle name="Normal 2 4 5 3 2 4 4" xfId="10172" xr:uid="{64BE9B41-9E3A-4058-BBB4-CF14F57501C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76AFCBA4-6E61-4EEE-9E84-A7F2E20685CB}"/>
    <cellStyle name="Normal 2 4 5 3 2 5 2 3" xfId="12730" xr:uid="{73FD73AC-775E-473D-B578-D36472E76C36}"/>
    <cellStyle name="Normal 2 4 5 3 2 5 3" xfId="6353" xr:uid="{00000000-0005-0000-0000-000097100000}"/>
    <cellStyle name="Normal 2 4 5 3 2 5 3 2" xfId="14803" xr:uid="{1F03A885-E6B5-4CFD-B5DF-431E08A2BD27}"/>
    <cellStyle name="Normal 2 4 5 3 2 5 4" xfId="10585" xr:uid="{41F8CEB6-C2A1-4365-AA10-99A37B4136FB}"/>
    <cellStyle name="Normal 2 4 5 3 2 6" xfId="2483" xr:uid="{00000000-0005-0000-0000-000098100000}"/>
    <cellStyle name="Normal 2 4 5 3 2 6 2" xfId="6766" xr:uid="{00000000-0005-0000-0000-000099100000}"/>
    <cellStyle name="Normal 2 4 5 3 2 6 2 2" xfId="15216" xr:uid="{27ABDBE6-A450-4EE4-B940-EBC5292FC44D}"/>
    <cellStyle name="Normal 2 4 5 3 2 6 3" xfId="10998" xr:uid="{E71732A3-2EBD-4537-82C5-890FE57A3491}"/>
    <cellStyle name="Normal 2 4 5 3 2 7" xfId="4700" xr:uid="{00000000-0005-0000-0000-00009A100000}"/>
    <cellStyle name="Normal 2 4 5 3 2 7 2" xfId="13150" xr:uid="{7ED71160-0D6F-4794-9AC7-4E1A4405AD1A}"/>
    <cellStyle name="Normal 2 4 5 3 2 8" xfId="8932" xr:uid="{01334FF0-C795-4587-ABDA-D9D88C1A9E88}"/>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359E56A7-AD61-43B4-ABEF-EAE5F8A4355C}"/>
    <cellStyle name="Normal 2 4 5 3 3 2 3" xfId="11490" xr:uid="{90FCE043-7A5F-4647-81EE-3D042FC0CF6A}"/>
    <cellStyle name="Normal 2 4 5 3 3 3" xfId="5113" xr:uid="{00000000-0005-0000-0000-00009E100000}"/>
    <cellStyle name="Normal 2 4 5 3 3 3 2" xfId="13563" xr:uid="{5BA10B66-67D6-4EDF-ABB0-20E8ED7FD3E3}"/>
    <cellStyle name="Normal 2 4 5 3 3 4" xfId="9345" xr:uid="{90D0C6BC-2ECC-4353-A892-D62C8C8BE39F}"/>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714CBADB-CADC-4862-913D-633B54E6B163}"/>
    <cellStyle name="Normal 2 4 5 3 4 2 3" xfId="11903" xr:uid="{6B46F799-77BA-4DCE-8218-BFF7EE3707BA}"/>
    <cellStyle name="Normal 2 4 5 3 4 3" xfId="5526" xr:uid="{00000000-0005-0000-0000-0000A2100000}"/>
    <cellStyle name="Normal 2 4 5 3 4 3 2" xfId="13976" xr:uid="{E355F5B3-EBF3-4380-89C1-16FC7DFC77CE}"/>
    <cellStyle name="Normal 2 4 5 3 4 4" xfId="9758" xr:uid="{2CAB8E72-F6CA-4156-8659-3ACF59F298FB}"/>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CC8D4A05-95CB-46F4-88E2-758E74A879AB}"/>
    <cellStyle name="Normal 2 4 5 3 5 2 3" xfId="12316" xr:uid="{D1BDB285-E7D5-4A66-A8BD-EF42D89455F0}"/>
    <cellStyle name="Normal 2 4 5 3 5 3" xfId="5939" xr:uid="{00000000-0005-0000-0000-0000A6100000}"/>
    <cellStyle name="Normal 2 4 5 3 5 3 2" xfId="14389" xr:uid="{63D82816-1C3A-468D-B5F4-C8AF73613264}"/>
    <cellStyle name="Normal 2 4 5 3 5 4" xfId="10171" xr:uid="{120F58FA-4FC0-4986-839B-CCC412F8F8DF}"/>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7C6F7272-5329-4A49-B102-DBA2431E7CA2}"/>
    <cellStyle name="Normal 2 4 5 3 6 2 3" xfId="12729" xr:uid="{E64345A3-00D3-4051-B291-D3D76DC19E07}"/>
    <cellStyle name="Normal 2 4 5 3 6 3" xfId="6352" xr:uid="{00000000-0005-0000-0000-0000AA100000}"/>
    <cellStyle name="Normal 2 4 5 3 6 3 2" xfId="14802" xr:uid="{BA4AAC24-2481-4FBD-BEB6-8807ED1764DF}"/>
    <cellStyle name="Normal 2 4 5 3 6 4" xfId="10584" xr:uid="{5EC851DE-6B4B-405F-8C41-E314B79A55DF}"/>
    <cellStyle name="Normal 2 4 5 3 7" xfId="2482" xr:uid="{00000000-0005-0000-0000-0000AB100000}"/>
    <cellStyle name="Normal 2 4 5 3 7 2" xfId="6765" xr:uid="{00000000-0005-0000-0000-0000AC100000}"/>
    <cellStyle name="Normal 2 4 5 3 7 2 2" xfId="15215" xr:uid="{0053D035-C740-4F48-AE15-869B8C4A571F}"/>
    <cellStyle name="Normal 2 4 5 3 7 3" xfId="10997" xr:uid="{8F8D4871-E847-44D6-B670-708F6A97D49E}"/>
    <cellStyle name="Normal 2 4 5 3 8" xfId="4699" xr:uid="{00000000-0005-0000-0000-0000AD100000}"/>
    <cellStyle name="Normal 2 4 5 3 8 2" xfId="13149" xr:uid="{BCA4CF2A-F679-4CC7-8F6B-7BFEA7925B15}"/>
    <cellStyle name="Normal 2 4 5 3 9" xfId="8931" xr:uid="{068EB57D-95B9-4F03-82E0-218AAD63B3E5}"/>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08CF7F68-E749-4637-8257-64E2401CA5AE}"/>
    <cellStyle name="Normal 2 4 5 4 2 2 3" xfId="11492" xr:uid="{CB7FD731-4C2A-467A-BD5B-A28E09E4375C}"/>
    <cellStyle name="Normal 2 4 5 4 2 3" xfId="5115" xr:uid="{00000000-0005-0000-0000-0000B2100000}"/>
    <cellStyle name="Normal 2 4 5 4 2 3 2" xfId="13565" xr:uid="{F2325CB4-C3F7-429C-948D-A43DB914C2A2}"/>
    <cellStyle name="Normal 2 4 5 4 2 4" xfId="9347" xr:uid="{13C11C1C-E55C-49C8-971C-D1A42454D352}"/>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92CF49BD-B895-4DF3-AC10-42DA34F62BD3}"/>
    <cellStyle name="Normal 2 4 5 4 3 2 3" xfId="11905" xr:uid="{B49238CA-0D44-4997-9856-68A4661BBD84}"/>
    <cellStyle name="Normal 2 4 5 4 3 3" xfId="5528" xr:uid="{00000000-0005-0000-0000-0000B6100000}"/>
    <cellStyle name="Normal 2 4 5 4 3 3 2" xfId="13978" xr:uid="{77942104-6D0F-4BBB-9DA6-D73B88628B5A}"/>
    <cellStyle name="Normal 2 4 5 4 3 4" xfId="9760" xr:uid="{53D57B6F-CC7F-4A57-92F6-F8F8B9DA4B22}"/>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4D5926AE-92C4-4AAC-BA81-8DCCF05401AE}"/>
    <cellStyle name="Normal 2 4 5 4 4 2 3" xfId="12318" xr:uid="{12B6F701-F645-47C7-942D-F68B1C4D28A6}"/>
    <cellStyle name="Normal 2 4 5 4 4 3" xfId="5941" xr:uid="{00000000-0005-0000-0000-0000BA100000}"/>
    <cellStyle name="Normal 2 4 5 4 4 3 2" xfId="14391" xr:uid="{D60B27B6-6E17-4680-A527-8A94EF562726}"/>
    <cellStyle name="Normal 2 4 5 4 4 4" xfId="10173" xr:uid="{01A1D1BE-E40C-4D75-B227-993A0C52A7D9}"/>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E4684560-4AFB-4DEB-91B0-415BB908D6B6}"/>
    <cellStyle name="Normal 2 4 5 4 5 2 3" xfId="12731" xr:uid="{8584C780-F54A-47A1-A1C2-DE686E48318B}"/>
    <cellStyle name="Normal 2 4 5 4 5 3" xfId="6354" xr:uid="{00000000-0005-0000-0000-0000BE100000}"/>
    <cellStyle name="Normal 2 4 5 4 5 3 2" xfId="14804" xr:uid="{9914450F-AA72-4F62-B964-DE16B1045E39}"/>
    <cellStyle name="Normal 2 4 5 4 5 4" xfId="10586" xr:uid="{CCB88A4C-2D41-4FB8-A481-D4C283BAE6B0}"/>
    <cellStyle name="Normal 2 4 5 4 6" xfId="2484" xr:uid="{00000000-0005-0000-0000-0000BF100000}"/>
    <cellStyle name="Normal 2 4 5 4 6 2" xfId="6767" xr:uid="{00000000-0005-0000-0000-0000C0100000}"/>
    <cellStyle name="Normal 2 4 5 4 6 2 2" xfId="15217" xr:uid="{386E4245-6BC0-43FB-BEE5-15E6B654191B}"/>
    <cellStyle name="Normal 2 4 5 4 6 3" xfId="10999" xr:uid="{B8499081-94E2-4EC1-BCF4-D101BC2C9B7B}"/>
    <cellStyle name="Normal 2 4 5 4 7" xfId="4701" xr:uid="{00000000-0005-0000-0000-0000C1100000}"/>
    <cellStyle name="Normal 2 4 5 4 7 2" xfId="13151" xr:uid="{DBF48A8E-3A92-46E4-80D0-B9F4282ABBBA}"/>
    <cellStyle name="Normal 2 4 5 4 8" xfId="8933" xr:uid="{B07AF23A-F57D-43DD-BDCD-1C5DB71BE5DC}"/>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69387BE1-8073-4C7F-89DE-B0CFCF6649BB}"/>
    <cellStyle name="Normal 2 4 5 5 2 3" xfId="11485" xr:uid="{8BEABE7F-4148-4963-8588-7FCF2DEEFFBC}"/>
    <cellStyle name="Normal 2 4 5 5 3" xfId="5108" xr:uid="{00000000-0005-0000-0000-0000C5100000}"/>
    <cellStyle name="Normal 2 4 5 5 3 2" xfId="13558" xr:uid="{F9BC420E-3210-4017-90D7-0FC389AF6011}"/>
    <cellStyle name="Normal 2 4 5 5 4" xfId="9340" xr:uid="{55CF1618-8614-4A38-82FC-0E53F7DE7A88}"/>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9C0C5941-5777-417C-93CC-1E1951C4514A}"/>
    <cellStyle name="Normal 2 4 5 6 2 3" xfId="11898" xr:uid="{43BE8809-1BC4-4BBC-A780-CCFB937FB7C6}"/>
    <cellStyle name="Normal 2 4 5 6 3" xfId="5521" xr:uid="{00000000-0005-0000-0000-0000C9100000}"/>
    <cellStyle name="Normal 2 4 5 6 3 2" xfId="13971" xr:uid="{1282A328-2DD3-4135-A371-17EDEA89B6CD}"/>
    <cellStyle name="Normal 2 4 5 6 4" xfId="9753" xr:uid="{938552CE-1B04-4462-8D71-6B1DB5DA5951}"/>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F682BC5E-CD17-49D9-AE16-6074D9228DF9}"/>
    <cellStyle name="Normal 2 4 5 7 2 3" xfId="12311" xr:uid="{5265EFAD-8640-4D82-863A-066CE87244BC}"/>
    <cellStyle name="Normal 2 4 5 7 3" xfId="5934" xr:uid="{00000000-0005-0000-0000-0000CD100000}"/>
    <cellStyle name="Normal 2 4 5 7 3 2" xfId="14384" xr:uid="{7F3ACB28-6514-4A10-950F-724F91279237}"/>
    <cellStyle name="Normal 2 4 5 7 4" xfId="10166" xr:uid="{2A696F6A-164D-4C63-9845-F31D9DBAF95B}"/>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64525A68-F85E-48B2-9A32-E3D3457DF3F3}"/>
    <cellStyle name="Normal 2 4 5 8 2 3" xfId="12724" xr:uid="{7D4305E9-8501-4E27-9132-79D4B15A64DE}"/>
    <cellStyle name="Normal 2 4 5 8 3" xfId="6347" xr:uid="{00000000-0005-0000-0000-0000D1100000}"/>
    <cellStyle name="Normal 2 4 5 8 3 2" xfId="14797" xr:uid="{86E0A2CB-C7C2-4AC4-A27F-72C0DECF704F}"/>
    <cellStyle name="Normal 2 4 5 8 4" xfId="10579" xr:uid="{7E54F899-0E50-4025-9CC9-E3F03D605475}"/>
    <cellStyle name="Normal 2 4 5 9" xfId="2477" xr:uid="{00000000-0005-0000-0000-0000D2100000}"/>
    <cellStyle name="Normal 2 4 5 9 2" xfId="6760" xr:uid="{00000000-0005-0000-0000-0000D3100000}"/>
    <cellStyle name="Normal 2 4 5 9 2 2" xfId="15210" xr:uid="{F8FB85C3-8C94-42E6-BD74-9BD2F8613672}"/>
    <cellStyle name="Normal 2 4 5 9 3" xfId="10992" xr:uid="{46D695C6-9B74-4955-AB6C-05575AA40707}"/>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5BDAE265-3F79-4C34-9743-BFEEC8A64726}"/>
    <cellStyle name="Normal 2 4 7 2 2 2 3" xfId="11494" xr:uid="{8FCC3D2C-68E2-4EC6-B9FC-995C8DCC936C}"/>
    <cellStyle name="Normal 2 4 7 2 2 3" xfId="5117" xr:uid="{00000000-0005-0000-0000-0000DA100000}"/>
    <cellStyle name="Normal 2 4 7 2 2 3 2" xfId="13567" xr:uid="{8ADA1D8D-0714-4DCA-A578-619D5349B071}"/>
    <cellStyle name="Normal 2 4 7 2 2 4" xfId="9349" xr:uid="{D42D1B9C-325E-4F89-85F9-4C78348736ED}"/>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DB88A5CE-9735-4EAA-9DB4-4CBDBC09F3F5}"/>
    <cellStyle name="Normal 2 4 7 2 3 2 3" xfId="11907" xr:uid="{F1C72D53-B9E2-4153-A551-FBA77BE179DC}"/>
    <cellStyle name="Normal 2 4 7 2 3 3" xfId="5530" xr:uid="{00000000-0005-0000-0000-0000DE100000}"/>
    <cellStyle name="Normal 2 4 7 2 3 3 2" xfId="13980" xr:uid="{1B592869-40E4-4923-89F6-DBD6A3C0F34E}"/>
    <cellStyle name="Normal 2 4 7 2 3 4" xfId="9762" xr:uid="{686E959A-6BE3-4874-B313-D63CC865BA1A}"/>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0010CE8C-6804-4A7E-8195-9B5F94F853ED}"/>
    <cellStyle name="Normal 2 4 7 2 4 2 3" xfId="12320" xr:uid="{EB23B07F-8C3E-4124-9D10-7CB3920A7786}"/>
    <cellStyle name="Normal 2 4 7 2 4 3" xfId="5943" xr:uid="{00000000-0005-0000-0000-0000E2100000}"/>
    <cellStyle name="Normal 2 4 7 2 4 3 2" xfId="14393" xr:uid="{640D4346-1DDB-4591-AE04-5A956B240178}"/>
    <cellStyle name="Normal 2 4 7 2 4 4" xfId="10175" xr:uid="{1702B996-0924-461C-833D-30FA724250A6}"/>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4F702AB3-1A2A-4892-89C7-BA3D2AAC4598}"/>
    <cellStyle name="Normal 2 4 7 2 5 2 3" xfId="12733" xr:uid="{EE302512-4B5D-4241-AC0C-F0D3159234C8}"/>
    <cellStyle name="Normal 2 4 7 2 5 3" xfId="6356" xr:uid="{00000000-0005-0000-0000-0000E6100000}"/>
    <cellStyle name="Normal 2 4 7 2 5 3 2" xfId="14806" xr:uid="{522873F0-6A6F-4862-B618-5FD9527D10FF}"/>
    <cellStyle name="Normal 2 4 7 2 5 4" xfId="10588" xr:uid="{1E5EB5B6-AA7F-4C14-8355-50069143BC50}"/>
    <cellStyle name="Normal 2 4 7 2 6" xfId="2486" xr:uid="{00000000-0005-0000-0000-0000E7100000}"/>
    <cellStyle name="Normal 2 4 7 2 6 2" xfId="6769" xr:uid="{00000000-0005-0000-0000-0000E8100000}"/>
    <cellStyle name="Normal 2 4 7 2 6 2 2" xfId="15219" xr:uid="{AEDCCD39-EC20-436A-B18D-0558FED0F90D}"/>
    <cellStyle name="Normal 2 4 7 2 6 3" xfId="11001" xr:uid="{3079E7EB-CA23-479B-BF07-E01AA1EE5ED1}"/>
    <cellStyle name="Normal 2 4 7 2 7" xfId="4703" xr:uid="{00000000-0005-0000-0000-0000E9100000}"/>
    <cellStyle name="Normal 2 4 7 2 7 2" xfId="13153" xr:uid="{DD6536E1-4005-4664-8790-560BE57993A0}"/>
    <cellStyle name="Normal 2 4 7 2 8" xfId="8935" xr:uid="{25FA2961-2B1D-49ED-B898-C674062D92D1}"/>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5558AACF-8F35-452B-8018-389AAE3F66C3}"/>
    <cellStyle name="Normal 2 4 7 3 2 3" xfId="11493" xr:uid="{53A71E68-3AA8-45CF-B66C-1DB99B5B015D}"/>
    <cellStyle name="Normal 2 4 7 3 3" xfId="5116" xr:uid="{00000000-0005-0000-0000-0000ED100000}"/>
    <cellStyle name="Normal 2 4 7 3 3 2" xfId="13566" xr:uid="{B77A6DF6-9E0B-4A55-9467-466E38D75C11}"/>
    <cellStyle name="Normal 2 4 7 3 4" xfId="9348" xr:uid="{F059982F-EDC1-4275-A276-48A8E2021169}"/>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7DCF5CBC-2EF9-44E4-B029-B54AB46302F0}"/>
    <cellStyle name="Normal 2 4 7 4 2 3" xfId="11906" xr:uid="{1F7E3E64-FB1F-40A0-A81B-19DD69E064AD}"/>
    <cellStyle name="Normal 2 4 7 4 3" xfId="5529" xr:uid="{00000000-0005-0000-0000-0000F1100000}"/>
    <cellStyle name="Normal 2 4 7 4 3 2" xfId="13979" xr:uid="{51C322C7-95F8-4DA6-8CA1-5082B31E22CE}"/>
    <cellStyle name="Normal 2 4 7 4 4" xfId="9761" xr:uid="{E2FEF99B-CA27-4EE4-862D-7E6759F94E87}"/>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C3B07BE3-28E2-4FDB-A8ED-8AFF6FA6EC55}"/>
    <cellStyle name="Normal 2 4 7 5 2 3" xfId="12319" xr:uid="{21D7CBE4-7FB3-40C6-8347-7B9584F9C6E5}"/>
    <cellStyle name="Normal 2 4 7 5 3" xfId="5942" xr:uid="{00000000-0005-0000-0000-0000F5100000}"/>
    <cellStyle name="Normal 2 4 7 5 3 2" xfId="14392" xr:uid="{05418F4D-98C2-4352-9139-331028D7AC44}"/>
    <cellStyle name="Normal 2 4 7 5 4" xfId="10174" xr:uid="{06AF12C3-8DE0-464A-AA84-7E9D9431CCF8}"/>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0AD04273-A622-4A45-B5F9-A600DFDE0511}"/>
    <cellStyle name="Normal 2 4 7 6 2 3" xfId="12732" xr:uid="{AAB985FA-4D37-431B-B7DD-66737D3664E2}"/>
    <cellStyle name="Normal 2 4 7 6 3" xfId="6355" xr:uid="{00000000-0005-0000-0000-0000F9100000}"/>
    <cellStyle name="Normal 2 4 7 6 3 2" xfId="14805" xr:uid="{0383CB33-022C-464F-A580-70C2A47BEE36}"/>
    <cellStyle name="Normal 2 4 7 6 4" xfId="10587" xr:uid="{CBB35C9F-F1E5-4585-951A-161C76789231}"/>
    <cellStyle name="Normal 2 4 7 7" xfId="2485" xr:uid="{00000000-0005-0000-0000-0000FA100000}"/>
    <cellStyle name="Normal 2 4 7 7 2" xfId="6768" xr:uid="{00000000-0005-0000-0000-0000FB100000}"/>
    <cellStyle name="Normal 2 4 7 7 2 2" xfId="15218" xr:uid="{4997F01B-7C0D-426E-A411-21523E7824BA}"/>
    <cellStyle name="Normal 2 4 7 7 3" xfId="11000" xr:uid="{05B82CE7-3ECF-420A-8ABA-5EB47B84F8C4}"/>
    <cellStyle name="Normal 2 4 7 8" xfId="4702" xr:uid="{00000000-0005-0000-0000-0000FC100000}"/>
    <cellStyle name="Normal 2 4 7 8 2" xfId="13152" xr:uid="{C0465708-2B11-406C-884F-EBE18FA8A883}"/>
    <cellStyle name="Normal 2 4 7 9" xfId="8934" xr:uid="{89751FE6-B248-448E-B1DB-E34386F78BF9}"/>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02600B4A-07CA-4258-B4E9-4D0FC8C71BAA}"/>
    <cellStyle name="Normal 2 4 8 2 2 3" xfId="11495" xr:uid="{704FBF1A-2CF6-425D-BB5A-B60FADEBA78C}"/>
    <cellStyle name="Normal 2 4 8 2 3" xfId="5118" xr:uid="{00000000-0005-0000-0000-000001110000}"/>
    <cellStyle name="Normal 2 4 8 2 3 2" xfId="13568" xr:uid="{ADAA6278-0B69-4765-AB37-8DB4CF304E31}"/>
    <cellStyle name="Normal 2 4 8 2 4" xfId="9350" xr:uid="{910499B6-680D-4363-879B-A9F3C51F7BCD}"/>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B452D61B-CFCA-4C57-8EAB-987D15641EFF}"/>
    <cellStyle name="Normal 2 4 8 3 2 3" xfId="11908" xr:uid="{0347C2D0-DE0E-463A-B162-96DA6CF2659A}"/>
    <cellStyle name="Normal 2 4 8 3 3" xfId="5531" xr:uid="{00000000-0005-0000-0000-000005110000}"/>
    <cellStyle name="Normal 2 4 8 3 3 2" xfId="13981" xr:uid="{0C81BFB9-6243-42C2-B73D-8DC6F8EED212}"/>
    <cellStyle name="Normal 2 4 8 3 4" xfId="9763" xr:uid="{1D346F2A-A1D0-4CFF-A80D-B516E6BC1A28}"/>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B23D47DC-DDBD-4E80-8BD9-B4DF01367241}"/>
    <cellStyle name="Normal 2 4 8 4 2 3" xfId="12321" xr:uid="{EF5BBEE9-E146-4192-90B6-7C66E9DB0B6E}"/>
    <cellStyle name="Normal 2 4 8 4 3" xfId="5944" xr:uid="{00000000-0005-0000-0000-000009110000}"/>
    <cellStyle name="Normal 2 4 8 4 3 2" xfId="14394" xr:uid="{9A975339-316E-47B2-A67A-E7745EAB43F2}"/>
    <cellStyle name="Normal 2 4 8 4 4" xfId="10176" xr:uid="{84183FF6-057C-4DA3-8A93-69FF81601015}"/>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52064B5F-CE4D-40B2-B4B6-FFC3003C7321}"/>
    <cellStyle name="Normal 2 4 8 5 2 3" xfId="12734" xr:uid="{23CCFF22-8492-4AFB-952E-98D801004DDD}"/>
    <cellStyle name="Normal 2 4 8 5 3" xfId="6357" xr:uid="{00000000-0005-0000-0000-00000D110000}"/>
    <cellStyle name="Normal 2 4 8 5 3 2" xfId="14807" xr:uid="{293F247B-3C85-4568-A049-38B675E61DD0}"/>
    <cellStyle name="Normal 2 4 8 5 4" xfId="10589" xr:uid="{45DB6F80-6176-40D7-A8B1-7CB18C7428A2}"/>
    <cellStyle name="Normal 2 4 8 6" xfId="2487" xr:uid="{00000000-0005-0000-0000-00000E110000}"/>
    <cellStyle name="Normal 2 4 8 6 2" xfId="6770" xr:uid="{00000000-0005-0000-0000-00000F110000}"/>
    <cellStyle name="Normal 2 4 8 6 2 2" xfId="15220" xr:uid="{ED26DB44-D88D-4A49-BFC3-433969B77DCC}"/>
    <cellStyle name="Normal 2 4 8 6 3" xfId="11002" xr:uid="{3E509616-69F8-4C7E-BAB3-41FDFA61B662}"/>
    <cellStyle name="Normal 2 4 8 7" xfId="4704" xr:uid="{00000000-0005-0000-0000-000010110000}"/>
    <cellStyle name="Normal 2 4 8 7 2" xfId="13154" xr:uid="{A518CE47-A8E1-42AF-9A8C-0E9678A496F8}"/>
    <cellStyle name="Normal 2 4 8 8" xfId="8936" xr:uid="{8CE57885-29D9-4489-B250-EAB95FE373BC}"/>
    <cellStyle name="Normal 2 5" xfId="315" xr:uid="{00000000-0005-0000-0000-000011110000}"/>
    <cellStyle name="Normal 2 5 10" xfId="4705" xr:uid="{00000000-0005-0000-0000-000012110000}"/>
    <cellStyle name="Normal 2 5 10 2" xfId="13155" xr:uid="{E47E4E11-5C95-4318-BF39-42C8AC721E1D}"/>
    <cellStyle name="Normal 2 5 11" xfId="8937" xr:uid="{42D5EE0B-349E-490A-B6E9-A3AA4744D37B}"/>
    <cellStyle name="Normal 2 5 2" xfId="316" xr:uid="{00000000-0005-0000-0000-000013110000}"/>
    <cellStyle name="Normal 2 5 3" xfId="317" xr:uid="{00000000-0005-0000-0000-000014110000}"/>
    <cellStyle name="Normal 2 5 4" xfId="318" xr:uid="{00000000-0005-0000-0000-000015110000}"/>
    <cellStyle name="Normal 2 5 4 10" xfId="8938" xr:uid="{53733E33-BE78-4E2F-9EC1-07BAAC22C02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21E157F5-4388-47E4-89BD-735FEB44FB23}"/>
    <cellStyle name="Normal 2 5 4 2 2 2 2 3" xfId="11499" xr:uid="{EE689B83-D59E-45DC-AB77-36EB69A0DF0A}"/>
    <cellStyle name="Normal 2 5 4 2 2 2 3" xfId="5122" xr:uid="{00000000-0005-0000-0000-00001B110000}"/>
    <cellStyle name="Normal 2 5 4 2 2 2 3 2" xfId="13572" xr:uid="{5464CF58-75B4-4CE8-899E-9ACDB371AF03}"/>
    <cellStyle name="Normal 2 5 4 2 2 2 4" xfId="9354" xr:uid="{67001492-1786-4124-A0E0-0D4FC45045F5}"/>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46A7EC7E-0E5F-4474-B3FF-48464738D64A}"/>
    <cellStyle name="Normal 2 5 4 2 2 3 2 3" xfId="11912" xr:uid="{B0E9CD0F-A8B4-4824-A595-D6CC15261905}"/>
    <cellStyle name="Normal 2 5 4 2 2 3 3" xfId="5535" xr:uid="{00000000-0005-0000-0000-00001F110000}"/>
    <cellStyle name="Normal 2 5 4 2 2 3 3 2" xfId="13985" xr:uid="{29A6D945-FAF9-4534-AC53-FEAADDBAF454}"/>
    <cellStyle name="Normal 2 5 4 2 2 3 4" xfId="9767" xr:uid="{6F7FFCD7-9AD4-4CFD-B271-6995E56F2607}"/>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05381405-C65F-4BDD-AC01-D06B0AA4DA21}"/>
    <cellStyle name="Normal 2 5 4 2 2 4 2 3" xfId="12325" xr:uid="{2EFE1DD1-35FA-4742-B88E-3A7B8C618085}"/>
    <cellStyle name="Normal 2 5 4 2 2 4 3" xfId="5948" xr:uid="{00000000-0005-0000-0000-000023110000}"/>
    <cellStyle name="Normal 2 5 4 2 2 4 3 2" xfId="14398" xr:uid="{DA866A4A-5AAA-430A-815F-61A86A058EFF}"/>
    <cellStyle name="Normal 2 5 4 2 2 4 4" xfId="10180" xr:uid="{A3B553CD-3AEF-443A-A435-B6C7233719F9}"/>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0B982BB8-6728-451B-9AB4-291CAAD13275}"/>
    <cellStyle name="Normal 2 5 4 2 2 5 2 3" xfId="12738" xr:uid="{A32AFC60-42D1-4905-8BED-8D7863153645}"/>
    <cellStyle name="Normal 2 5 4 2 2 5 3" xfId="6361" xr:uid="{00000000-0005-0000-0000-000027110000}"/>
    <cellStyle name="Normal 2 5 4 2 2 5 3 2" xfId="14811" xr:uid="{765BC1D3-D189-4343-8A37-EC9652671F70}"/>
    <cellStyle name="Normal 2 5 4 2 2 5 4" xfId="10593" xr:uid="{F2397855-5DD5-4C4E-9088-8572E7B2B9A2}"/>
    <cellStyle name="Normal 2 5 4 2 2 6" xfId="2491" xr:uid="{00000000-0005-0000-0000-000028110000}"/>
    <cellStyle name="Normal 2 5 4 2 2 6 2" xfId="6774" xr:uid="{00000000-0005-0000-0000-000029110000}"/>
    <cellStyle name="Normal 2 5 4 2 2 6 2 2" xfId="15224" xr:uid="{949B6F84-491D-41BA-BF9C-F09FD02EC4FD}"/>
    <cellStyle name="Normal 2 5 4 2 2 6 3" xfId="11006" xr:uid="{32E92FF0-9AD0-49CF-8B74-2EE0C6008358}"/>
    <cellStyle name="Normal 2 5 4 2 2 7" xfId="4708" xr:uid="{00000000-0005-0000-0000-00002A110000}"/>
    <cellStyle name="Normal 2 5 4 2 2 7 2" xfId="13158" xr:uid="{34160EFE-EFDC-4F6F-BD83-A31C9E7F825E}"/>
    <cellStyle name="Normal 2 5 4 2 2 8" xfId="8940" xr:uid="{645F108F-CE10-4EEE-B9A8-22416C38DB58}"/>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E9223753-3B4D-48F2-B652-236C676A0AE9}"/>
    <cellStyle name="Normal 2 5 4 2 3 2 3" xfId="11498" xr:uid="{7476D35B-15E0-42EE-A0FE-D0821E667B51}"/>
    <cellStyle name="Normal 2 5 4 2 3 3" xfId="5121" xr:uid="{00000000-0005-0000-0000-00002E110000}"/>
    <cellStyle name="Normal 2 5 4 2 3 3 2" xfId="13571" xr:uid="{202A4BED-2FA8-4956-9ADF-ACCA0F569845}"/>
    <cellStyle name="Normal 2 5 4 2 3 4" xfId="9353" xr:uid="{A0A7186E-6DC2-4852-9FF9-36B7ABD51289}"/>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2E7D7DC6-54CF-4878-90C7-570400F9F786}"/>
    <cellStyle name="Normal 2 5 4 2 4 2 3" xfId="11911" xr:uid="{70AECCEB-86EF-4791-811A-921F16E03233}"/>
    <cellStyle name="Normal 2 5 4 2 4 3" xfId="5534" xr:uid="{00000000-0005-0000-0000-000032110000}"/>
    <cellStyle name="Normal 2 5 4 2 4 3 2" xfId="13984" xr:uid="{7A04BBDA-18C3-44D2-A1CE-AF087F6FB1B4}"/>
    <cellStyle name="Normal 2 5 4 2 4 4" xfId="9766" xr:uid="{858BDCDF-7BF4-4F1D-B187-C471B7B31133}"/>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3F57A037-1B4A-4DDE-BBE0-8E4BC03492BD}"/>
    <cellStyle name="Normal 2 5 4 2 5 2 3" xfId="12324" xr:uid="{F06CAB15-7212-4FA0-8D68-5F69C6A68F00}"/>
    <cellStyle name="Normal 2 5 4 2 5 3" xfId="5947" xr:uid="{00000000-0005-0000-0000-000036110000}"/>
    <cellStyle name="Normal 2 5 4 2 5 3 2" xfId="14397" xr:uid="{16695904-E45F-4E95-91FC-8D1AFD624BE3}"/>
    <cellStyle name="Normal 2 5 4 2 5 4" xfId="10179" xr:uid="{5185235D-E975-4F58-9244-86AFDF68DA3B}"/>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5489F757-24F5-4E65-993D-0B699BFBCA0F}"/>
    <cellStyle name="Normal 2 5 4 2 6 2 3" xfId="12737" xr:uid="{8D5C2C45-F906-4B1C-9258-FFE9147A4643}"/>
    <cellStyle name="Normal 2 5 4 2 6 3" xfId="6360" xr:uid="{00000000-0005-0000-0000-00003A110000}"/>
    <cellStyle name="Normal 2 5 4 2 6 3 2" xfId="14810" xr:uid="{46DDCA9D-D593-405A-95B3-B2079BA0A349}"/>
    <cellStyle name="Normal 2 5 4 2 6 4" xfId="10592" xr:uid="{D177DEA8-7F2C-455F-B958-3EA9CD99B7D7}"/>
    <cellStyle name="Normal 2 5 4 2 7" xfId="2490" xr:uid="{00000000-0005-0000-0000-00003B110000}"/>
    <cellStyle name="Normal 2 5 4 2 7 2" xfId="6773" xr:uid="{00000000-0005-0000-0000-00003C110000}"/>
    <cellStyle name="Normal 2 5 4 2 7 2 2" xfId="15223" xr:uid="{DB2F8598-D17F-4B49-97D2-7B0D73E90A7D}"/>
    <cellStyle name="Normal 2 5 4 2 7 3" xfId="11005" xr:uid="{E3CBD2DA-758A-473C-B2D4-0E2DADBB79EF}"/>
    <cellStyle name="Normal 2 5 4 2 8" xfId="4707" xr:uid="{00000000-0005-0000-0000-00003D110000}"/>
    <cellStyle name="Normal 2 5 4 2 8 2" xfId="13157" xr:uid="{6D84866D-D4DB-4863-B605-6E5E2B1D3661}"/>
    <cellStyle name="Normal 2 5 4 2 9" xfId="8939" xr:uid="{A49C44FF-B2B1-4E15-825B-3C3270E6A286}"/>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B7B4F8A9-0793-4FF0-AEB0-CDE0396F69C3}"/>
    <cellStyle name="Normal 2 5 4 3 2 2 3" xfId="11500" xr:uid="{DC9CA3E1-A7E2-4335-8BD2-C96875B69577}"/>
    <cellStyle name="Normal 2 5 4 3 2 3" xfId="5123" xr:uid="{00000000-0005-0000-0000-000042110000}"/>
    <cellStyle name="Normal 2 5 4 3 2 3 2" xfId="13573" xr:uid="{FC551E28-86D2-4CDE-ABC6-76AAFC5FE8B4}"/>
    <cellStyle name="Normal 2 5 4 3 2 4" xfId="9355" xr:uid="{845CE7FA-43EB-4D51-842E-BFDAA231EA44}"/>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5C3BE25F-F579-40D7-B8C6-F19BE711A767}"/>
    <cellStyle name="Normal 2 5 4 3 3 2 3" xfId="11913" xr:uid="{3F156A9B-1C8C-4F77-B7D6-657892CE59D6}"/>
    <cellStyle name="Normal 2 5 4 3 3 3" xfId="5536" xr:uid="{00000000-0005-0000-0000-000046110000}"/>
    <cellStyle name="Normal 2 5 4 3 3 3 2" xfId="13986" xr:uid="{8B908C2D-CB3A-4FED-B896-8141BD585BFD}"/>
    <cellStyle name="Normal 2 5 4 3 3 4" xfId="9768" xr:uid="{FB2D0E6C-D1C4-4423-8995-01C7A8CDCB62}"/>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5E076B2B-E9AC-4577-A842-B393029B5BCE}"/>
    <cellStyle name="Normal 2 5 4 3 4 2 3" xfId="12326" xr:uid="{AECD8E7D-8A88-4891-A217-EFBCFE5FF1F1}"/>
    <cellStyle name="Normal 2 5 4 3 4 3" xfId="5949" xr:uid="{00000000-0005-0000-0000-00004A110000}"/>
    <cellStyle name="Normal 2 5 4 3 4 3 2" xfId="14399" xr:uid="{5CA15DCC-388D-4997-9785-C38FEC1E5B31}"/>
    <cellStyle name="Normal 2 5 4 3 4 4" xfId="10181" xr:uid="{62DA6170-820A-408D-A107-669AB342D43A}"/>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D0A4B616-08D0-4009-8802-91338C56270A}"/>
    <cellStyle name="Normal 2 5 4 3 5 2 3" xfId="12739" xr:uid="{1DF6A02A-3C04-4E5B-AE57-AC84057DAF55}"/>
    <cellStyle name="Normal 2 5 4 3 5 3" xfId="6362" xr:uid="{00000000-0005-0000-0000-00004E110000}"/>
    <cellStyle name="Normal 2 5 4 3 5 3 2" xfId="14812" xr:uid="{E774991D-8952-4126-A866-243787D62FF1}"/>
    <cellStyle name="Normal 2 5 4 3 5 4" xfId="10594" xr:uid="{96EA1DAC-4915-4D28-8DB9-49DD33E33E78}"/>
    <cellStyle name="Normal 2 5 4 3 6" xfId="2492" xr:uid="{00000000-0005-0000-0000-00004F110000}"/>
    <cellStyle name="Normal 2 5 4 3 6 2" xfId="6775" xr:uid="{00000000-0005-0000-0000-000050110000}"/>
    <cellStyle name="Normal 2 5 4 3 6 2 2" xfId="15225" xr:uid="{3A4FA9CD-A430-4EF3-B3DA-8F9D1ECFE1CD}"/>
    <cellStyle name="Normal 2 5 4 3 6 3" xfId="11007" xr:uid="{CF3DC0F0-71F2-476E-B88F-35E7A374F16F}"/>
    <cellStyle name="Normal 2 5 4 3 7" xfId="4709" xr:uid="{00000000-0005-0000-0000-000051110000}"/>
    <cellStyle name="Normal 2 5 4 3 7 2" xfId="13159" xr:uid="{41B7CD7D-946A-40AC-A100-1FD383D538DE}"/>
    <cellStyle name="Normal 2 5 4 3 8" xfId="8941" xr:uid="{BDB66908-88CE-41E4-8731-3C5D718501E8}"/>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E19D90FE-8521-4620-A1CD-6FF2DA9A2E83}"/>
    <cellStyle name="Normal 2 5 4 4 2 3" xfId="11497" xr:uid="{F0D67AFE-6D11-4548-8BB0-7B59CF8AF0F7}"/>
    <cellStyle name="Normal 2 5 4 4 3" xfId="5120" xr:uid="{00000000-0005-0000-0000-000055110000}"/>
    <cellStyle name="Normal 2 5 4 4 3 2" xfId="13570" xr:uid="{A78B0150-EA65-4445-86F2-9B70166BBD2B}"/>
    <cellStyle name="Normal 2 5 4 4 4" xfId="9352" xr:uid="{E499A161-7CA8-459A-84F3-5A254B1BA6E5}"/>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5C58A213-251E-4A85-96AF-58FF0EA2B100}"/>
    <cellStyle name="Normal 2 5 4 5 2 3" xfId="11910" xr:uid="{98ACAE04-C45C-4EC7-ACFB-EDFB2785A19F}"/>
    <cellStyle name="Normal 2 5 4 5 3" xfId="5533" xr:uid="{00000000-0005-0000-0000-000059110000}"/>
    <cellStyle name="Normal 2 5 4 5 3 2" xfId="13983" xr:uid="{0BC5C6FD-1A53-42C6-96E2-CBB0C05158CE}"/>
    <cellStyle name="Normal 2 5 4 5 4" xfId="9765" xr:uid="{4ED33230-EE28-4754-A3F0-9E54250F8E1C}"/>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7578AAF4-AFDC-4239-9C0A-DCAAE1B039B1}"/>
    <cellStyle name="Normal 2 5 4 6 2 3" xfId="12323" xr:uid="{452924D7-C188-4FAD-B3F4-BB50517AC22C}"/>
    <cellStyle name="Normal 2 5 4 6 3" xfId="5946" xr:uid="{00000000-0005-0000-0000-00005D110000}"/>
    <cellStyle name="Normal 2 5 4 6 3 2" xfId="14396" xr:uid="{96408128-B6E8-4D4B-BBFD-F2344F152650}"/>
    <cellStyle name="Normal 2 5 4 6 4" xfId="10178" xr:uid="{B1FE8031-57F9-4F3E-8263-E91798F1A3BE}"/>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39683EC1-C7E1-4D75-8D48-34C72FE9F685}"/>
    <cellStyle name="Normal 2 5 4 7 2 3" xfId="12736" xr:uid="{F8C829CE-7900-48C9-8009-E8AFBD5F1FAE}"/>
    <cellStyle name="Normal 2 5 4 7 3" xfId="6359" xr:uid="{00000000-0005-0000-0000-000061110000}"/>
    <cellStyle name="Normal 2 5 4 7 3 2" xfId="14809" xr:uid="{EEDF3E0A-6CD3-454E-834B-EC5D7A723396}"/>
    <cellStyle name="Normal 2 5 4 7 4" xfId="10591" xr:uid="{31B91408-AF91-4F4D-A845-4B89E01A4FE5}"/>
    <cellStyle name="Normal 2 5 4 8" xfId="2489" xr:uid="{00000000-0005-0000-0000-000062110000}"/>
    <cellStyle name="Normal 2 5 4 8 2" xfId="6772" xr:uid="{00000000-0005-0000-0000-000063110000}"/>
    <cellStyle name="Normal 2 5 4 8 2 2" xfId="15222" xr:uid="{820977D1-6DB4-4335-90E5-73071A3A2AAF}"/>
    <cellStyle name="Normal 2 5 4 8 3" xfId="11004" xr:uid="{89528547-49E8-4356-91E0-FCC8D9CC3993}"/>
    <cellStyle name="Normal 2 5 4 9" xfId="4706" xr:uid="{00000000-0005-0000-0000-000064110000}"/>
    <cellStyle name="Normal 2 5 4 9 2" xfId="13156" xr:uid="{8B4744B3-2218-4AD6-BE87-0A7400EC94EA}"/>
    <cellStyle name="Normal 2 5 5" xfId="803" xr:uid="{00000000-0005-0000-0000-000065110000}"/>
    <cellStyle name="Normal 2 5 5 2" xfId="3042" xr:uid="{00000000-0005-0000-0000-000066110000}"/>
    <cellStyle name="Normal 2 5 5 2 2" xfId="7264" xr:uid="{00000000-0005-0000-0000-000067110000}"/>
    <cellStyle name="Normal 2 5 5 2 2 2" xfId="15714" xr:uid="{7FD44030-613D-4648-993B-07DF2902A19A}"/>
    <cellStyle name="Normal 2 5 5 2 3" xfId="11496" xr:uid="{BF272971-8672-4C37-BCCC-C0A1EFE6E736}"/>
    <cellStyle name="Normal 2 5 5 3" xfId="5119" xr:uid="{00000000-0005-0000-0000-000068110000}"/>
    <cellStyle name="Normal 2 5 5 3 2" xfId="13569" xr:uid="{E3DBF27A-B4C5-4F86-98A3-ABFB154416FA}"/>
    <cellStyle name="Normal 2 5 5 4" xfId="9351" xr:uid="{3B2B8BA1-7726-41B6-8367-60540E5418A1}"/>
    <cellStyle name="Normal 2 5 6" xfId="1225" xr:uid="{00000000-0005-0000-0000-000069110000}"/>
    <cellStyle name="Normal 2 5 6 2" xfId="3455" xr:uid="{00000000-0005-0000-0000-00006A110000}"/>
    <cellStyle name="Normal 2 5 6 2 2" xfId="7677" xr:uid="{00000000-0005-0000-0000-00006B110000}"/>
    <cellStyle name="Normal 2 5 6 2 2 2" xfId="16127" xr:uid="{219FC01B-237B-4CE3-97C4-55FC7EC21F46}"/>
    <cellStyle name="Normal 2 5 6 2 3" xfId="11909" xr:uid="{9C54A266-38EA-4B88-839B-5C6AA535E993}"/>
    <cellStyle name="Normal 2 5 6 3" xfId="5532" xr:uid="{00000000-0005-0000-0000-00006C110000}"/>
    <cellStyle name="Normal 2 5 6 3 2" xfId="13982" xr:uid="{D9B34B13-B81E-4154-AA8F-49E54080C625}"/>
    <cellStyle name="Normal 2 5 6 4" xfId="9764" xr:uid="{8D5A9D5A-C2EA-4E21-8CDB-E30F979E2173}"/>
    <cellStyle name="Normal 2 5 7" xfId="1638" xr:uid="{00000000-0005-0000-0000-00006D110000}"/>
    <cellStyle name="Normal 2 5 7 2" xfId="3868" xr:uid="{00000000-0005-0000-0000-00006E110000}"/>
    <cellStyle name="Normal 2 5 7 2 2" xfId="8090" xr:uid="{00000000-0005-0000-0000-00006F110000}"/>
    <cellStyle name="Normal 2 5 7 2 2 2" xfId="16540" xr:uid="{1D82990F-B10E-4EC1-855C-5D997C13228B}"/>
    <cellStyle name="Normal 2 5 7 2 3" xfId="12322" xr:uid="{9114E808-3A47-4373-9006-70347A4A6CE1}"/>
    <cellStyle name="Normal 2 5 7 3" xfId="5945" xr:uid="{00000000-0005-0000-0000-000070110000}"/>
    <cellStyle name="Normal 2 5 7 3 2" xfId="14395" xr:uid="{C37C7BF3-791F-437D-BF85-BFEBD6F651FF}"/>
    <cellStyle name="Normal 2 5 7 4" xfId="10177" xr:uid="{4364EDD3-3CCB-40EE-A59D-58D14112E35C}"/>
    <cellStyle name="Normal 2 5 8" xfId="2052" xr:uid="{00000000-0005-0000-0000-000071110000}"/>
    <cellStyle name="Normal 2 5 8 2" xfId="4281" xr:uid="{00000000-0005-0000-0000-000072110000}"/>
    <cellStyle name="Normal 2 5 8 2 2" xfId="8503" xr:uid="{00000000-0005-0000-0000-000073110000}"/>
    <cellStyle name="Normal 2 5 8 2 2 2" xfId="16953" xr:uid="{A48B7DE5-B307-45BE-A7CE-5EE3E9C9F1DE}"/>
    <cellStyle name="Normal 2 5 8 2 3" xfId="12735" xr:uid="{986992C7-D586-4316-96A0-73EC44B9B96A}"/>
    <cellStyle name="Normal 2 5 8 3" xfId="6358" xr:uid="{00000000-0005-0000-0000-000074110000}"/>
    <cellStyle name="Normal 2 5 8 3 2" xfId="14808" xr:uid="{F83610B9-D314-4848-9CC9-768B13B5E726}"/>
    <cellStyle name="Normal 2 5 8 4" xfId="10590" xr:uid="{DE1EDB11-FCF8-4F3B-9539-3704E9B4683F}"/>
    <cellStyle name="Normal 2 5 9" xfId="2488" xr:uid="{00000000-0005-0000-0000-000075110000}"/>
    <cellStyle name="Normal 2 5 9 2" xfId="6771" xr:uid="{00000000-0005-0000-0000-000076110000}"/>
    <cellStyle name="Normal 2 5 9 2 2" xfId="15221" xr:uid="{E0ADF5D5-8CCA-4577-92C7-ACB939A6861D}"/>
    <cellStyle name="Normal 2 5 9 3" xfId="11003" xr:uid="{7154808A-119A-405C-999A-8A4C84804715}"/>
    <cellStyle name="Normal 2 6" xfId="322" xr:uid="{00000000-0005-0000-0000-000077110000}"/>
    <cellStyle name="Normal 2 7" xfId="769" xr:uid="{00000000-0005-0000-0000-000078110000}"/>
    <cellStyle name="Normal 2 8" xfId="4495" xr:uid="{00000000-0005-0000-0000-000079110000}"/>
    <cellStyle name="Normal 2 8 2" xfId="12947" xr:uid="{13374793-5DDC-4F39-B6E7-4C3BCF10094F}"/>
    <cellStyle name="Normal 3" xfId="323" xr:uid="{00000000-0005-0000-0000-00007A110000}"/>
    <cellStyle name="Normal 3 2" xfId="324" xr:uid="{00000000-0005-0000-0000-00007B110000}"/>
    <cellStyle name="Normal 3 2 10" xfId="8942" xr:uid="{6ACA725A-6814-4E77-BB22-3FFD5651F7B2}"/>
    <cellStyle name="Normal 3 2 2" xfId="325" xr:uid="{00000000-0005-0000-0000-00007C110000}"/>
    <cellStyle name="Normal 3 2 2 2" xfId="810" xr:uid="{00000000-0005-0000-0000-00007D110000}"/>
    <cellStyle name="Normal 3 2 3" xfId="326" xr:uid="{00000000-0005-0000-0000-00007E110000}"/>
    <cellStyle name="Normal 3 2 3 10" xfId="8943" xr:uid="{13E4BCAD-3221-4B3C-831A-AA8177C520B4}"/>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603E45B4-10B3-4DBF-8801-0BA4E7B195FF}"/>
    <cellStyle name="Normal 3 2 3 2 2 2 2 3" xfId="11504" xr:uid="{09506159-DEB5-46CE-86B2-D0534648F135}"/>
    <cellStyle name="Normal 3 2 3 2 2 2 3" xfId="5127" xr:uid="{00000000-0005-0000-0000-000084110000}"/>
    <cellStyle name="Normal 3 2 3 2 2 2 3 2" xfId="13577" xr:uid="{501003F4-5EBD-4991-B18F-B12A94F4E260}"/>
    <cellStyle name="Normal 3 2 3 2 2 2 4" xfId="9359" xr:uid="{46649747-54C7-4ECB-A635-82F2035C80B7}"/>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B68BF124-AEA9-4368-B689-C4EC71543AA5}"/>
    <cellStyle name="Normal 3 2 3 2 2 3 2 3" xfId="11917" xr:uid="{FEAE7603-EC08-4FAF-A236-CC3F9E666A40}"/>
    <cellStyle name="Normal 3 2 3 2 2 3 3" xfId="5540" xr:uid="{00000000-0005-0000-0000-000088110000}"/>
    <cellStyle name="Normal 3 2 3 2 2 3 3 2" xfId="13990" xr:uid="{ACF28445-D447-447C-BB61-13AAF2922728}"/>
    <cellStyle name="Normal 3 2 3 2 2 3 4" xfId="9772" xr:uid="{CFA51D5F-282A-4E23-9EBD-BAD318CC7C48}"/>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579081C9-3447-4AAD-961D-306FFCEEE34F}"/>
    <cellStyle name="Normal 3 2 3 2 2 4 2 3" xfId="12330" xr:uid="{224ADDCD-01DD-48CE-9CDB-FDBFED1E1CCC}"/>
    <cellStyle name="Normal 3 2 3 2 2 4 3" xfId="5953" xr:uid="{00000000-0005-0000-0000-00008C110000}"/>
    <cellStyle name="Normal 3 2 3 2 2 4 3 2" xfId="14403" xr:uid="{BB4A6AC8-A034-4C15-B5A2-7F95518E095D}"/>
    <cellStyle name="Normal 3 2 3 2 2 4 4" xfId="10185" xr:uid="{27DA95DB-DDA2-4575-91DE-07053172A5EF}"/>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4FC5D83B-A7BD-41CA-810E-920F6777B3B6}"/>
    <cellStyle name="Normal 3 2 3 2 2 5 2 3" xfId="12743" xr:uid="{AE0E7FD9-2941-4651-A440-CC89F4BC5ACF}"/>
    <cellStyle name="Normal 3 2 3 2 2 5 3" xfId="6366" xr:uid="{00000000-0005-0000-0000-000090110000}"/>
    <cellStyle name="Normal 3 2 3 2 2 5 3 2" xfId="14816" xr:uid="{C0EC954F-B97B-4AA9-B763-4854CD4649EF}"/>
    <cellStyle name="Normal 3 2 3 2 2 5 4" xfId="10598" xr:uid="{936E8525-CDD8-401F-9F32-1A8ED2D3136B}"/>
    <cellStyle name="Normal 3 2 3 2 2 6" xfId="2496" xr:uid="{00000000-0005-0000-0000-000091110000}"/>
    <cellStyle name="Normal 3 2 3 2 2 6 2" xfId="6779" xr:uid="{00000000-0005-0000-0000-000092110000}"/>
    <cellStyle name="Normal 3 2 3 2 2 6 2 2" xfId="15229" xr:uid="{F945B1BB-A06B-4BA1-A2B9-5F9814755594}"/>
    <cellStyle name="Normal 3 2 3 2 2 6 3" xfId="11011" xr:uid="{08D76F16-EDDF-451E-9230-B81D4B6C3D41}"/>
    <cellStyle name="Normal 3 2 3 2 2 7" xfId="4713" xr:uid="{00000000-0005-0000-0000-000093110000}"/>
    <cellStyle name="Normal 3 2 3 2 2 7 2" xfId="13163" xr:uid="{4634DEDF-8D02-48CB-895A-91225725C389}"/>
    <cellStyle name="Normal 3 2 3 2 2 8" xfId="8945" xr:uid="{27B0BE75-B4A3-411F-B917-BC3BA49C5435}"/>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7759FB12-B7CF-42B5-8D7B-CDEAFD94B8D5}"/>
    <cellStyle name="Normal 3 2 3 2 3 2 3" xfId="11503" xr:uid="{65D5D460-CB1C-45DF-93EB-600CF0C9E1BE}"/>
    <cellStyle name="Normal 3 2 3 2 3 3" xfId="5126" xr:uid="{00000000-0005-0000-0000-000097110000}"/>
    <cellStyle name="Normal 3 2 3 2 3 3 2" xfId="13576" xr:uid="{F139AED5-15EF-4C4F-92E6-62630BD3D91E}"/>
    <cellStyle name="Normal 3 2 3 2 3 4" xfId="9358" xr:uid="{C7087CCA-758D-4ECA-9C29-83D57E1CC6B4}"/>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73FDC3F8-B6CE-42FD-AED5-DECBAFC299AE}"/>
    <cellStyle name="Normal 3 2 3 2 4 2 3" xfId="11916" xr:uid="{3ABD46FE-EC8E-48A2-A3B2-3C1B852FF117}"/>
    <cellStyle name="Normal 3 2 3 2 4 3" xfId="5539" xr:uid="{00000000-0005-0000-0000-00009B110000}"/>
    <cellStyle name="Normal 3 2 3 2 4 3 2" xfId="13989" xr:uid="{98EBC50D-4253-4AC7-B83A-27AE27FE7443}"/>
    <cellStyle name="Normal 3 2 3 2 4 4" xfId="9771" xr:uid="{F9E4EB54-13AE-43D4-935A-0BAA159195EA}"/>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A2C3F89E-6C4A-43DC-A085-F4A3DC54AF21}"/>
    <cellStyle name="Normal 3 2 3 2 5 2 3" xfId="12329" xr:uid="{5CE3E3D5-7FF6-42FE-AA71-167C369A6623}"/>
    <cellStyle name="Normal 3 2 3 2 5 3" xfId="5952" xr:uid="{00000000-0005-0000-0000-00009F110000}"/>
    <cellStyle name="Normal 3 2 3 2 5 3 2" xfId="14402" xr:uid="{26BC7DCD-C2A7-4B0E-BAE5-A747DC73EF6B}"/>
    <cellStyle name="Normal 3 2 3 2 5 4" xfId="10184" xr:uid="{68F8B021-AFE8-401E-892E-BFEB5882501C}"/>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717AC37D-9DC8-44AB-8234-9398A4C2E27B}"/>
    <cellStyle name="Normal 3 2 3 2 6 2 3" xfId="12742" xr:uid="{5D5ECBD0-C53F-4CD6-A43A-B7BA6CF16DAB}"/>
    <cellStyle name="Normal 3 2 3 2 6 3" xfId="6365" xr:uid="{00000000-0005-0000-0000-0000A3110000}"/>
    <cellStyle name="Normal 3 2 3 2 6 3 2" xfId="14815" xr:uid="{C87AEFDF-792A-43EC-A26E-5E7982E68712}"/>
    <cellStyle name="Normal 3 2 3 2 6 4" xfId="10597" xr:uid="{0D2026B7-231E-46FE-853D-CD7B6CD07271}"/>
    <cellStyle name="Normal 3 2 3 2 7" xfId="2495" xr:uid="{00000000-0005-0000-0000-0000A4110000}"/>
    <cellStyle name="Normal 3 2 3 2 7 2" xfId="6778" xr:uid="{00000000-0005-0000-0000-0000A5110000}"/>
    <cellStyle name="Normal 3 2 3 2 7 2 2" xfId="15228" xr:uid="{D5C6AC8F-1DE5-4450-9849-4C6963784263}"/>
    <cellStyle name="Normal 3 2 3 2 7 3" xfId="11010" xr:uid="{DFD1A26F-141E-4674-924F-E0B7CFF301B0}"/>
    <cellStyle name="Normal 3 2 3 2 8" xfId="4712" xr:uid="{00000000-0005-0000-0000-0000A6110000}"/>
    <cellStyle name="Normal 3 2 3 2 8 2" xfId="13162" xr:uid="{AF15B03F-E350-4633-BF17-7CBA8793C8E7}"/>
    <cellStyle name="Normal 3 2 3 2 9" xfId="8944" xr:uid="{1BA90B75-2516-4704-9DE3-83457597BDA2}"/>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F7DA51A2-87C7-401C-BEE2-82B90831ACF9}"/>
    <cellStyle name="Normal 3 2 3 3 2 2 3" xfId="11505" xr:uid="{B87F2874-95F0-4684-B79A-C16344185A8D}"/>
    <cellStyle name="Normal 3 2 3 3 2 3" xfId="5128" xr:uid="{00000000-0005-0000-0000-0000AB110000}"/>
    <cellStyle name="Normal 3 2 3 3 2 3 2" xfId="13578" xr:uid="{57EBA660-7E98-4160-B908-CD238779F40A}"/>
    <cellStyle name="Normal 3 2 3 3 2 4" xfId="9360" xr:uid="{ADFA8460-37A9-45D4-9FE5-35EF58A3F471}"/>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4977C313-01CE-4410-AE18-889F36E1CB9B}"/>
    <cellStyle name="Normal 3 2 3 3 3 2 3" xfId="11918" xr:uid="{C8E37183-FAF1-40BD-968A-9D5773EA60A3}"/>
    <cellStyle name="Normal 3 2 3 3 3 3" xfId="5541" xr:uid="{00000000-0005-0000-0000-0000AF110000}"/>
    <cellStyle name="Normal 3 2 3 3 3 3 2" xfId="13991" xr:uid="{FF4386A4-5958-4993-9841-AE9F036F3932}"/>
    <cellStyle name="Normal 3 2 3 3 3 4" xfId="9773" xr:uid="{11E79ECD-64ED-472F-9AEB-04E8F0C258F3}"/>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A449D56E-1212-474C-AEB5-0E4F329D8E26}"/>
    <cellStyle name="Normal 3 2 3 3 4 2 3" xfId="12331" xr:uid="{333F579F-F24B-4977-93C5-8E5981982D62}"/>
    <cellStyle name="Normal 3 2 3 3 4 3" xfId="5954" xr:uid="{00000000-0005-0000-0000-0000B3110000}"/>
    <cellStyle name="Normal 3 2 3 3 4 3 2" xfId="14404" xr:uid="{B603FA24-D63A-4521-864B-44068D877D9F}"/>
    <cellStyle name="Normal 3 2 3 3 4 4" xfId="10186" xr:uid="{804DADC4-EE87-4084-A617-438D118F0DA7}"/>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01E4ECA6-9BDA-4942-814C-D7E1093A843D}"/>
    <cellStyle name="Normal 3 2 3 3 5 2 3" xfId="12744" xr:uid="{6335F520-D58A-49FD-B854-4E3255921062}"/>
    <cellStyle name="Normal 3 2 3 3 5 3" xfId="6367" xr:uid="{00000000-0005-0000-0000-0000B7110000}"/>
    <cellStyle name="Normal 3 2 3 3 5 3 2" xfId="14817" xr:uid="{D98C1616-46C7-4CD2-998F-FC56C283CB19}"/>
    <cellStyle name="Normal 3 2 3 3 5 4" xfId="10599" xr:uid="{FD74C410-049E-46DB-8E44-E1E7ED1EDFFA}"/>
    <cellStyle name="Normal 3 2 3 3 6" xfId="2497" xr:uid="{00000000-0005-0000-0000-0000B8110000}"/>
    <cellStyle name="Normal 3 2 3 3 6 2" xfId="6780" xr:uid="{00000000-0005-0000-0000-0000B9110000}"/>
    <cellStyle name="Normal 3 2 3 3 6 2 2" xfId="15230" xr:uid="{BA9E93C5-A1E6-442E-BD1B-74CDA6600736}"/>
    <cellStyle name="Normal 3 2 3 3 6 3" xfId="11012" xr:uid="{F7CCF5F8-FA69-4AB2-A9AA-2166DAD294D6}"/>
    <cellStyle name="Normal 3 2 3 3 7" xfId="4714" xr:uid="{00000000-0005-0000-0000-0000BA110000}"/>
    <cellStyle name="Normal 3 2 3 3 7 2" xfId="13164" xr:uid="{97F65CE1-8A3A-4E07-B58E-B7EA6EB6CF67}"/>
    <cellStyle name="Normal 3 2 3 3 8" xfId="8946" xr:uid="{ABE9597A-8BB4-4AD5-9F0B-BC27C83A2894}"/>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C1A40686-D68E-43FC-9F31-288E3BA23635}"/>
    <cellStyle name="Normal 3 2 3 4 2 3" xfId="11502" xr:uid="{B14408C2-29E7-4354-A1C7-196E1C95F390}"/>
    <cellStyle name="Normal 3 2 3 4 3" xfId="5125" xr:uid="{00000000-0005-0000-0000-0000BE110000}"/>
    <cellStyle name="Normal 3 2 3 4 3 2" xfId="13575" xr:uid="{3ABA424B-9A27-48FA-87F1-8B1E1BF64E70}"/>
    <cellStyle name="Normal 3 2 3 4 4" xfId="9357" xr:uid="{D06949C2-823F-4F8A-B909-D2F867CB05DA}"/>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53A3F891-6BAD-4D73-B5AD-5D6BBA61892F}"/>
    <cellStyle name="Normal 3 2 3 5 2 3" xfId="11915" xr:uid="{6706D784-B8CC-4639-8A4F-D6C03B10538C}"/>
    <cellStyle name="Normal 3 2 3 5 3" xfId="5538" xr:uid="{00000000-0005-0000-0000-0000C2110000}"/>
    <cellStyle name="Normal 3 2 3 5 3 2" xfId="13988" xr:uid="{0ACA83CE-9E67-4C0F-95CD-5B43B6C4B469}"/>
    <cellStyle name="Normal 3 2 3 5 4" xfId="9770" xr:uid="{583E20B8-0582-4481-9E7B-9F74276A6C55}"/>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B67D733B-D147-4231-9936-167A5ADBCF73}"/>
    <cellStyle name="Normal 3 2 3 6 2 3" xfId="12328" xr:uid="{5CDEA6E2-64F4-4C75-AC29-F5BCF3265508}"/>
    <cellStyle name="Normal 3 2 3 6 3" xfId="5951" xr:uid="{00000000-0005-0000-0000-0000C6110000}"/>
    <cellStyle name="Normal 3 2 3 6 3 2" xfId="14401" xr:uid="{19563AA6-7E4F-4050-ACCD-C33ADCF90DC1}"/>
    <cellStyle name="Normal 3 2 3 6 4" xfId="10183" xr:uid="{796E1EC5-9569-497D-9AD7-623592DF973A}"/>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42B96BBA-CC82-4652-A080-506DBAFC9408}"/>
    <cellStyle name="Normal 3 2 3 7 2 3" xfId="12741" xr:uid="{4934B602-B590-47B4-B04E-124E57FE4B3B}"/>
    <cellStyle name="Normal 3 2 3 7 3" xfId="6364" xr:uid="{00000000-0005-0000-0000-0000CA110000}"/>
    <cellStyle name="Normal 3 2 3 7 3 2" xfId="14814" xr:uid="{EE19931C-3C98-4048-936D-64C8B4F9D30D}"/>
    <cellStyle name="Normal 3 2 3 7 4" xfId="10596" xr:uid="{92ED2C06-D61E-421A-BC62-7621E9CB1ADB}"/>
    <cellStyle name="Normal 3 2 3 8" xfId="2494" xr:uid="{00000000-0005-0000-0000-0000CB110000}"/>
    <cellStyle name="Normal 3 2 3 8 2" xfId="6777" xr:uid="{00000000-0005-0000-0000-0000CC110000}"/>
    <cellStyle name="Normal 3 2 3 8 2 2" xfId="15227" xr:uid="{2AD4FF04-7699-454C-AAFA-500EEC7E6E91}"/>
    <cellStyle name="Normal 3 2 3 8 3" xfId="11009" xr:uid="{FF2EAAF7-66C4-4816-A54A-8D6FC785306A}"/>
    <cellStyle name="Normal 3 2 3 9" xfId="4711" xr:uid="{00000000-0005-0000-0000-0000CD110000}"/>
    <cellStyle name="Normal 3 2 3 9 2" xfId="13161" xr:uid="{364C61B3-75C3-44F3-87FE-C9B8A3023BC0}"/>
    <cellStyle name="Normal 3 2 4" xfId="809" xr:uid="{00000000-0005-0000-0000-0000CE110000}"/>
    <cellStyle name="Normal 3 2 4 2" xfId="3047" xr:uid="{00000000-0005-0000-0000-0000CF110000}"/>
    <cellStyle name="Normal 3 2 4 2 2" xfId="7269" xr:uid="{00000000-0005-0000-0000-0000D0110000}"/>
    <cellStyle name="Normal 3 2 4 2 2 2" xfId="15719" xr:uid="{694F30AF-7E1E-47A4-9ADA-C951094FF552}"/>
    <cellStyle name="Normal 3 2 4 2 3" xfId="11501" xr:uid="{6F339EE5-E71F-45EC-A0FD-4F0054CBE735}"/>
    <cellStyle name="Normal 3 2 4 3" xfId="5124" xr:uid="{00000000-0005-0000-0000-0000D1110000}"/>
    <cellStyle name="Normal 3 2 4 3 2" xfId="13574" xr:uid="{5C9A1CC9-02F5-457A-BC38-D9BEBE71F9B3}"/>
    <cellStyle name="Normal 3 2 4 4" xfId="9356" xr:uid="{89A64608-55F9-4FFA-9E1D-DC9DBE7546BB}"/>
    <cellStyle name="Normal 3 2 5" xfId="1230" xr:uid="{00000000-0005-0000-0000-0000D2110000}"/>
    <cellStyle name="Normal 3 2 5 2" xfId="3460" xr:uid="{00000000-0005-0000-0000-0000D3110000}"/>
    <cellStyle name="Normal 3 2 5 2 2" xfId="7682" xr:uid="{00000000-0005-0000-0000-0000D4110000}"/>
    <cellStyle name="Normal 3 2 5 2 2 2" xfId="16132" xr:uid="{F034D406-99F3-40A3-8D92-37C8627519AB}"/>
    <cellStyle name="Normal 3 2 5 2 3" xfId="11914" xr:uid="{FCCBFB19-4C8D-4CB3-BA9E-187050F29B15}"/>
    <cellStyle name="Normal 3 2 5 3" xfId="5537" xr:uid="{00000000-0005-0000-0000-0000D5110000}"/>
    <cellStyle name="Normal 3 2 5 3 2" xfId="13987" xr:uid="{94F032B4-C01A-425D-A1FE-002F57B82401}"/>
    <cellStyle name="Normal 3 2 5 4" xfId="9769" xr:uid="{723C54D0-FCD9-47A4-B7B5-EB5B451CCCC0}"/>
    <cellStyle name="Normal 3 2 6" xfId="1643" xr:uid="{00000000-0005-0000-0000-0000D6110000}"/>
    <cellStyle name="Normal 3 2 6 2" xfId="3873" xr:uid="{00000000-0005-0000-0000-0000D7110000}"/>
    <cellStyle name="Normal 3 2 6 2 2" xfId="8095" xr:uid="{00000000-0005-0000-0000-0000D8110000}"/>
    <cellStyle name="Normal 3 2 6 2 2 2" xfId="16545" xr:uid="{927F0B02-CCE5-4A16-9006-6B4811249B95}"/>
    <cellStyle name="Normal 3 2 6 2 3" xfId="12327" xr:uid="{102E5020-5F8B-40D5-84C7-BE760584283D}"/>
    <cellStyle name="Normal 3 2 6 3" xfId="5950" xr:uid="{00000000-0005-0000-0000-0000D9110000}"/>
    <cellStyle name="Normal 3 2 6 3 2" xfId="14400" xr:uid="{96E59AE3-BB5A-4209-BE04-9B8F1870D39D}"/>
    <cellStyle name="Normal 3 2 6 4" xfId="10182" xr:uid="{BBC01B1F-E513-4465-B16B-CC86CC309949}"/>
    <cellStyle name="Normal 3 2 7" xfId="2057" xr:uid="{00000000-0005-0000-0000-0000DA110000}"/>
    <cellStyle name="Normal 3 2 7 2" xfId="4286" xr:uid="{00000000-0005-0000-0000-0000DB110000}"/>
    <cellStyle name="Normal 3 2 7 2 2" xfId="8508" xr:uid="{00000000-0005-0000-0000-0000DC110000}"/>
    <cellStyle name="Normal 3 2 7 2 2 2" xfId="16958" xr:uid="{EF61FDD3-3ADF-41ED-BA4A-C8DD11555E0D}"/>
    <cellStyle name="Normal 3 2 7 2 3" xfId="12740" xr:uid="{233C929C-3592-4159-BE2D-F671B7B5FE94}"/>
    <cellStyle name="Normal 3 2 7 3" xfId="6363" xr:uid="{00000000-0005-0000-0000-0000DD110000}"/>
    <cellStyle name="Normal 3 2 7 3 2" xfId="14813" xr:uid="{3324AF49-3CD3-4B12-9277-C8615FB1964E}"/>
    <cellStyle name="Normal 3 2 7 4" xfId="10595" xr:uid="{84F5F181-F6A6-4AF9-9A72-3E911AFBEC6C}"/>
    <cellStyle name="Normal 3 2 8" xfId="2493" xr:uid="{00000000-0005-0000-0000-0000DE110000}"/>
    <cellStyle name="Normal 3 2 8 2" xfId="6776" xr:uid="{00000000-0005-0000-0000-0000DF110000}"/>
    <cellStyle name="Normal 3 2 8 2 2" xfId="15226" xr:uid="{390FEE92-B7B0-47A0-82CB-DCA27BBFD162}"/>
    <cellStyle name="Normal 3 2 8 3" xfId="11008" xr:uid="{626DE295-E0A9-4CB0-8A21-2BC3D6E23A0A}"/>
    <cellStyle name="Normal 3 2 9" xfId="4710" xr:uid="{00000000-0005-0000-0000-0000E0110000}"/>
    <cellStyle name="Normal 3 2 9 2" xfId="13160" xr:uid="{3633606A-873C-4E38-A040-6685DBDBB68C}"/>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1A2C301C-4CC7-4B21-9EB7-6340CD80108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5444CC86-E436-43BB-8FD0-BDF1A7871594}"/>
    <cellStyle name="Normal 4 2 2 10 2 3" xfId="12745" xr:uid="{0BAFDDF8-0774-41B8-BCF3-C773DDDE9482}"/>
    <cellStyle name="Normal 4 2 2 10 3" xfId="6368" xr:uid="{00000000-0005-0000-0000-0000ED110000}"/>
    <cellStyle name="Normal 4 2 2 10 3 2" xfId="14818" xr:uid="{5BF4DAEF-6E9A-4330-8F5F-B74371E17AF8}"/>
    <cellStyle name="Normal 4 2 2 10 4" xfId="10600" xr:uid="{7DB993BE-B94B-4C2F-B4CE-EEB5C4F1FDF0}"/>
    <cellStyle name="Normal 4 2 2 11" xfId="2498" xr:uid="{00000000-0005-0000-0000-0000EE110000}"/>
    <cellStyle name="Normal 4 2 2 11 2" xfId="6781" xr:uid="{00000000-0005-0000-0000-0000EF110000}"/>
    <cellStyle name="Normal 4 2 2 11 2 2" xfId="15231" xr:uid="{D37CDCF4-A604-4E45-B1B6-240DB7E39F2A}"/>
    <cellStyle name="Normal 4 2 2 11 3" xfId="11013" xr:uid="{9F0BEFC4-97CD-4E9C-8F69-82BB46940F66}"/>
    <cellStyle name="Normal 4 2 2 12" xfId="4716" xr:uid="{00000000-0005-0000-0000-0000F0110000}"/>
    <cellStyle name="Normal 4 2 2 12 2" xfId="13166" xr:uid="{1D6A892D-A9E1-41AC-8AA9-81F9FA7B0C96}"/>
    <cellStyle name="Normal 4 2 2 13" xfId="8948" xr:uid="{258B1C4B-B9C1-4DFD-8B04-EC81860B1AFE}"/>
    <cellStyle name="Normal 4 2 2 2" xfId="338" xr:uid="{00000000-0005-0000-0000-0000F1110000}"/>
    <cellStyle name="Normal 4 2 2 3" xfId="339" xr:uid="{00000000-0005-0000-0000-0000F2110000}"/>
    <cellStyle name="Normal 4 2 2 3 10" xfId="4717" xr:uid="{00000000-0005-0000-0000-0000F3110000}"/>
    <cellStyle name="Normal 4 2 2 3 10 2" xfId="13167" xr:uid="{F5968EB2-A59A-4CD3-A388-37A0E451EEFD}"/>
    <cellStyle name="Normal 4 2 2 3 11" xfId="8949" xr:uid="{68F9FA91-4FE7-4DCE-850B-571757A456C9}"/>
    <cellStyle name="Normal 4 2 2 3 2" xfId="340" xr:uid="{00000000-0005-0000-0000-0000F4110000}"/>
    <cellStyle name="Normal 4 2 2 3 2 10" xfId="8950" xr:uid="{522B15F6-BAE8-453D-A6C9-4A325D77892A}"/>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B3CB3006-4187-4089-94F5-FA8E34F6B63C}"/>
    <cellStyle name="Normal 4 2 2 3 2 2 2 2 2 3" xfId="11510" xr:uid="{20E423A3-FFC9-4407-A69D-1A60CCD5B3F4}"/>
    <cellStyle name="Normal 4 2 2 3 2 2 2 2 3" xfId="5133" xr:uid="{00000000-0005-0000-0000-0000FA110000}"/>
    <cellStyle name="Normal 4 2 2 3 2 2 2 2 3 2" xfId="13583" xr:uid="{E16F5E72-3EE1-484C-9007-1322D0C61901}"/>
    <cellStyle name="Normal 4 2 2 3 2 2 2 2 4" xfId="9365" xr:uid="{C1A12402-44CA-41F8-9958-4CE19B7DDA45}"/>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FA0D9B5B-0357-40A2-B30F-5D3E2DB396A9}"/>
    <cellStyle name="Normal 4 2 2 3 2 2 2 3 2 3" xfId="11923" xr:uid="{CC9FE93F-2F29-4EC3-B09E-F70C7FC04785}"/>
    <cellStyle name="Normal 4 2 2 3 2 2 2 3 3" xfId="5546" xr:uid="{00000000-0005-0000-0000-0000FE110000}"/>
    <cellStyle name="Normal 4 2 2 3 2 2 2 3 3 2" xfId="13996" xr:uid="{D3B60109-F532-47A9-9E8C-7B3D6C6A3799}"/>
    <cellStyle name="Normal 4 2 2 3 2 2 2 3 4" xfId="9778" xr:uid="{150CBC45-9D83-4325-8851-E01CB62AFB6D}"/>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FE199B2D-599C-459D-9159-F786DD474CE7}"/>
    <cellStyle name="Normal 4 2 2 3 2 2 2 4 2 3" xfId="12336" xr:uid="{783BF08D-ED63-4FEF-AD23-4764D10D22DE}"/>
    <cellStyle name="Normal 4 2 2 3 2 2 2 4 3" xfId="5959" xr:uid="{00000000-0005-0000-0000-000002120000}"/>
    <cellStyle name="Normal 4 2 2 3 2 2 2 4 3 2" xfId="14409" xr:uid="{E5A6DAD3-4FE4-4D5C-BFF1-A1FAEE9A23EE}"/>
    <cellStyle name="Normal 4 2 2 3 2 2 2 4 4" xfId="10191" xr:uid="{C03ACA8A-159E-49AF-AE62-60327591062C}"/>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FFF0A08D-6228-4C58-A761-50E2750C62B2}"/>
    <cellStyle name="Normal 4 2 2 3 2 2 2 5 2 3" xfId="12749" xr:uid="{5B080916-98D9-43F1-8F61-FB2A5076B0D8}"/>
    <cellStyle name="Normal 4 2 2 3 2 2 2 5 3" xfId="6372" xr:uid="{00000000-0005-0000-0000-000006120000}"/>
    <cellStyle name="Normal 4 2 2 3 2 2 2 5 3 2" xfId="14822" xr:uid="{1B706780-92D9-4A37-B620-6DCCA7040012}"/>
    <cellStyle name="Normal 4 2 2 3 2 2 2 5 4" xfId="10604" xr:uid="{D7F2A631-519B-41CF-865A-19313F263E52}"/>
    <cellStyle name="Normal 4 2 2 3 2 2 2 6" xfId="2502" xr:uid="{00000000-0005-0000-0000-000007120000}"/>
    <cellStyle name="Normal 4 2 2 3 2 2 2 6 2" xfId="6785" xr:uid="{00000000-0005-0000-0000-000008120000}"/>
    <cellStyle name="Normal 4 2 2 3 2 2 2 6 2 2" xfId="15235" xr:uid="{9E4E25DB-43B0-4058-B36E-C70EAB19EAF5}"/>
    <cellStyle name="Normal 4 2 2 3 2 2 2 6 3" xfId="11017" xr:uid="{6203A1E9-2B6A-4FE8-AB75-707F3189E665}"/>
    <cellStyle name="Normal 4 2 2 3 2 2 2 7" xfId="4720" xr:uid="{00000000-0005-0000-0000-000009120000}"/>
    <cellStyle name="Normal 4 2 2 3 2 2 2 7 2" xfId="13170" xr:uid="{04B0314A-D424-44C5-A4ED-9C28DD8DC245}"/>
    <cellStyle name="Normal 4 2 2 3 2 2 2 8" xfId="8952" xr:uid="{A763650A-3872-4109-B083-F62AC803B7CC}"/>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7B72E650-9531-48BD-9886-916F2CB626B8}"/>
    <cellStyle name="Normal 4 2 2 3 2 2 3 2 3" xfId="11509" xr:uid="{5BFC1147-6E32-41C1-B464-0489CCB6BE8C}"/>
    <cellStyle name="Normal 4 2 2 3 2 2 3 3" xfId="5132" xr:uid="{00000000-0005-0000-0000-00000D120000}"/>
    <cellStyle name="Normal 4 2 2 3 2 2 3 3 2" xfId="13582" xr:uid="{03CFF643-AF0D-4F8E-B9C4-61AD4DB1E009}"/>
    <cellStyle name="Normal 4 2 2 3 2 2 3 4" xfId="9364" xr:uid="{2011E011-0860-4992-821E-A65BCD2EC641}"/>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FF0C118F-61A7-44E7-84AD-0D9B438C390A}"/>
    <cellStyle name="Normal 4 2 2 3 2 2 4 2 3" xfId="11922" xr:uid="{A4BEC7FD-6062-45D7-A3FB-5B8A0E9DCD8A}"/>
    <cellStyle name="Normal 4 2 2 3 2 2 4 3" xfId="5545" xr:uid="{00000000-0005-0000-0000-000011120000}"/>
    <cellStyle name="Normal 4 2 2 3 2 2 4 3 2" xfId="13995" xr:uid="{7E811BF9-7444-454F-B1AC-623034D21487}"/>
    <cellStyle name="Normal 4 2 2 3 2 2 4 4" xfId="9777" xr:uid="{4899E4ED-3A53-4D0B-B30B-A3961FD4132D}"/>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C0CB69C9-6889-4AE3-872D-B1DD6DCEE2D8}"/>
    <cellStyle name="Normal 4 2 2 3 2 2 5 2 3" xfId="12335" xr:uid="{8FE56B2A-50D2-4BBF-AC03-0B28B91F58E1}"/>
    <cellStyle name="Normal 4 2 2 3 2 2 5 3" xfId="5958" xr:uid="{00000000-0005-0000-0000-000015120000}"/>
    <cellStyle name="Normal 4 2 2 3 2 2 5 3 2" xfId="14408" xr:uid="{B660A3AF-3DF5-4799-874B-E96D53502821}"/>
    <cellStyle name="Normal 4 2 2 3 2 2 5 4" xfId="10190" xr:uid="{7D7B8C60-02EF-48AC-BE24-D7CDC8DB1088}"/>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2BEDBCEC-841D-489A-B276-71D13FAED559}"/>
    <cellStyle name="Normal 4 2 2 3 2 2 6 2 3" xfId="12748" xr:uid="{1C30B00D-D55D-4F34-9FF2-35B229BE1EAA}"/>
    <cellStyle name="Normal 4 2 2 3 2 2 6 3" xfId="6371" xr:uid="{00000000-0005-0000-0000-000019120000}"/>
    <cellStyle name="Normal 4 2 2 3 2 2 6 3 2" xfId="14821" xr:uid="{FF19475E-A659-446B-9400-CC0810BF2247}"/>
    <cellStyle name="Normal 4 2 2 3 2 2 6 4" xfId="10603" xr:uid="{F6FC6D39-AAE7-44E6-9594-91E26F16FEF3}"/>
    <cellStyle name="Normal 4 2 2 3 2 2 7" xfId="2501" xr:uid="{00000000-0005-0000-0000-00001A120000}"/>
    <cellStyle name="Normal 4 2 2 3 2 2 7 2" xfId="6784" xr:uid="{00000000-0005-0000-0000-00001B120000}"/>
    <cellStyle name="Normal 4 2 2 3 2 2 7 2 2" xfId="15234" xr:uid="{E2CD0B1A-7D2A-48FA-87A5-2B6D1E53EBB5}"/>
    <cellStyle name="Normal 4 2 2 3 2 2 7 3" xfId="11016" xr:uid="{96A27B7E-49E3-4056-8BCA-701E71F94EAC}"/>
    <cellStyle name="Normal 4 2 2 3 2 2 8" xfId="4719" xr:uid="{00000000-0005-0000-0000-00001C120000}"/>
    <cellStyle name="Normal 4 2 2 3 2 2 8 2" xfId="13169" xr:uid="{182AB979-0213-4D91-B9F8-C2FD7DFA1DCE}"/>
    <cellStyle name="Normal 4 2 2 3 2 2 9" xfId="8951" xr:uid="{13DB25E1-0589-45C5-A0DF-4582155A01CA}"/>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A143E169-8257-4C3D-863B-75C37F36F6FF}"/>
    <cellStyle name="Normal 4 2 2 3 2 3 2 2 3" xfId="11511" xr:uid="{8F62BD74-6834-4EAF-8D4F-38523EA466D3}"/>
    <cellStyle name="Normal 4 2 2 3 2 3 2 3" xfId="5134" xr:uid="{00000000-0005-0000-0000-000021120000}"/>
    <cellStyle name="Normal 4 2 2 3 2 3 2 3 2" xfId="13584" xr:uid="{86678A57-23C7-4776-84D0-E34798C74B25}"/>
    <cellStyle name="Normal 4 2 2 3 2 3 2 4" xfId="9366" xr:uid="{0316BB8C-73BF-4700-93B9-D691E5034AA7}"/>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8ECA18AE-90B6-419B-92C9-F51A510E0E7F}"/>
    <cellStyle name="Normal 4 2 2 3 2 3 3 2 3" xfId="11924" xr:uid="{7AE78DA0-DFF2-4AB3-B528-69769132592A}"/>
    <cellStyle name="Normal 4 2 2 3 2 3 3 3" xfId="5547" xr:uid="{00000000-0005-0000-0000-000025120000}"/>
    <cellStyle name="Normal 4 2 2 3 2 3 3 3 2" xfId="13997" xr:uid="{AA51C4EA-1E91-4824-B600-62BF2BF267F0}"/>
    <cellStyle name="Normal 4 2 2 3 2 3 3 4" xfId="9779" xr:uid="{6F120F45-80CD-44E5-B6CB-0199D2204237}"/>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A84CA3D5-3F02-4BA2-8B9B-F19B10EB18D8}"/>
    <cellStyle name="Normal 4 2 2 3 2 3 4 2 3" xfId="12337" xr:uid="{47BAA482-D2D3-41BC-9618-0997F11C508A}"/>
    <cellStyle name="Normal 4 2 2 3 2 3 4 3" xfId="5960" xr:uid="{00000000-0005-0000-0000-000029120000}"/>
    <cellStyle name="Normal 4 2 2 3 2 3 4 3 2" xfId="14410" xr:uid="{3C7DBA2E-1F95-4C28-9F59-01242A14DA04}"/>
    <cellStyle name="Normal 4 2 2 3 2 3 4 4" xfId="10192" xr:uid="{827BC878-6D2D-4C14-9A7E-FE6D91BE3AC4}"/>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0B6888DA-8351-47BB-8178-D68A3FF702B7}"/>
    <cellStyle name="Normal 4 2 2 3 2 3 5 2 3" xfId="12750" xr:uid="{A2B777E3-3849-4B62-AD68-A4324FDB003F}"/>
    <cellStyle name="Normal 4 2 2 3 2 3 5 3" xfId="6373" xr:uid="{00000000-0005-0000-0000-00002D120000}"/>
    <cellStyle name="Normal 4 2 2 3 2 3 5 3 2" xfId="14823" xr:uid="{977361AB-0773-4F62-AC4D-DB46D40E266E}"/>
    <cellStyle name="Normal 4 2 2 3 2 3 5 4" xfId="10605" xr:uid="{62BA2981-0A59-43A4-A82A-2ADEC48282EE}"/>
    <cellStyle name="Normal 4 2 2 3 2 3 6" xfId="2503" xr:uid="{00000000-0005-0000-0000-00002E120000}"/>
    <cellStyle name="Normal 4 2 2 3 2 3 6 2" xfId="6786" xr:uid="{00000000-0005-0000-0000-00002F120000}"/>
    <cellStyle name="Normal 4 2 2 3 2 3 6 2 2" xfId="15236" xr:uid="{5DBD15A7-3FF9-47E0-A75A-634B58E061FF}"/>
    <cellStyle name="Normal 4 2 2 3 2 3 6 3" xfId="11018" xr:uid="{6CDF5776-2B12-4157-B946-420D0448D5B6}"/>
    <cellStyle name="Normal 4 2 2 3 2 3 7" xfId="4721" xr:uid="{00000000-0005-0000-0000-000030120000}"/>
    <cellStyle name="Normal 4 2 2 3 2 3 7 2" xfId="13171" xr:uid="{49CCDA0F-3B44-443A-A594-B572CB0A0F14}"/>
    <cellStyle name="Normal 4 2 2 3 2 3 8" xfId="8953" xr:uid="{D6D1CC8E-84CA-44D7-911A-C206A37BC71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1FF0FBD1-8BB6-4C30-AB78-E443BD4C8DE2}"/>
    <cellStyle name="Normal 4 2 2 3 2 4 2 3" xfId="11508" xr:uid="{AFF01D20-37D0-4916-9781-3894BD774F7A}"/>
    <cellStyle name="Normal 4 2 2 3 2 4 3" xfId="5131" xr:uid="{00000000-0005-0000-0000-000034120000}"/>
    <cellStyle name="Normal 4 2 2 3 2 4 3 2" xfId="13581" xr:uid="{1DEECA1C-D0A6-4AFB-80D1-267E3246FC1D}"/>
    <cellStyle name="Normal 4 2 2 3 2 4 4" xfId="9363" xr:uid="{A6F5E145-42B2-4A8A-AA9B-FE3BECB08BC9}"/>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96D72F22-329A-4D8B-B1FF-09EDE4A8CB63}"/>
    <cellStyle name="Normal 4 2 2 3 2 5 2 3" xfId="11921" xr:uid="{A5DB63F7-CB5C-4886-BC82-A3133E75F8DF}"/>
    <cellStyle name="Normal 4 2 2 3 2 5 3" xfId="5544" xr:uid="{00000000-0005-0000-0000-000038120000}"/>
    <cellStyle name="Normal 4 2 2 3 2 5 3 2" xfId="13994" xr:uid="{6FA256C7-7771-4E3B-8471-7983D2B5E229}"/>
    <cellStyle name="Normal 4 2 2 3 2 5 4" xfId="9776" xr:uid="{6286109E-1476-4F91-8674-5FD66C2DBBE1}"/>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4F549652-C01C-4217-9EDA-EA460FCBC848}"/>
    <cellStyle name="Normal 4 2 2 3 2 6 2 3" xfId="12334" xr:uid="{ED69E6E1-F232-48EF-9B40-54584B09D013}"/>
    <cellStyle name="Normal 4 2 2 3 2 6 3" xfId="5957" xr:uid="{00000000-0005-0000-0000-00003C120000}"/>
    <cellStyle name="Normal 4 2 2 3 2 6 3 2" xfId="14407" xr:uid="{FC417E52-0C0C-4FC3-9971-37A8364954F8}"/>
    <cellStyle name="Normal 4 2 2 3 2 6 4" xfId="10189" xr:uid="{59914EB2-A951-42C0-BF35-71250A372BA2}"/>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223DDCAE-6AFF-475F-9DD2-017FE75AEA97}"/>
    <cellStyle name="Normal 4 2 2 3 2 7 2 3" xfId="12747" xr:uid="{06CB055F-5F86-45DD-9E71-E85263B23968}"/>
    <cellStyle name="Normal 4 2 2 3 2 7 3" xfId="6370" xr:uid="{00000000-0005-0000-0000-000040120000}"/>
    <cellStyle name="Normal 4 2 2 3 2 7 3 2" xfId="14820" xr:uid="{08B2DAE8-88C7-4D46-B27E-753B730F6CE0}"/>
    <cellStyle name="Normal 4 2 2 3 2 7 4" xfId="10602" xr:uid="{C4B34896-F93B-4765-9EA0-D91977CB1298}"/>
    <cellStyle name="Normal 4 2 2 3 2 8" xfId="2500" xr:uid="{00000000-0005-0000-0000-000041120000}"/>
    <cellStyle name="Normal 4 2 2 3 2 8 2" xfId="6783" xr:uid="{00000000-0005-0000-0000-000042120000}"/>
    <cellStyle name="Normal 4 2 2 3 2 8 2 2" xfId="15233" xr:uid="{FD02D87A-7BBC-40C0-A22F-B57C5B21AB6A}"/>
    <cellStyle name="Normal 4 2 2 3 2 8 3" xfId="11015" xr:uid="{FB0D5B40-C7D4-4160-9CFB-606E5162BE93}"/>
    <cellStyle name="Normal 4 2 2 3 2 9" xfId="4718" xr:uid="{00000000-0005-0000-0000-000043120000}"/>
    <cellStyle name="Normal 4 2 2 3 2 9 2" xfId="13168" xr:uid="{BD161647-AD15-46DB-B1EB-35ACDA231A9A}"/>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315E7450-34AC-4F05-BFE2-AA5877AC3524}"/>
    <cellStyle name="Normal 4 2 2 3 3 2 2 2 3" xfId="11513" xr:uid="{6C0B48BF-E153-4D8A-AD19-B8DAD3365DF4}"/>
    <cellStyle name="Normal 4 2 2 3 3 2 2 3" xfId="5136" xr:uid="{00000000-0005-0000-0000-000049120000}"/>
    <cellStyle name="Normal 4 2 2 3 3 2 2 3 2" xfId="13586" xr:uid="{81CEE8DB-2454-4C5D-831D-9971ECCD11D9}"/>
    <cellStyle name="Normal 4 2 2 3 3 2 2 4" xfId="9368" xr:uid="{915CF6E4-C83E-415F-9FD3-A1397817EA1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60F8F08A-25BA-4CC3-A03E-1EC10FF08AFB}"/>
    <cellStyle name="Normal 4 2 2 3 3 2 3 2 3" xfId="11926" xr:uid="{4D8F0427-724A-4A2A-8DD5-23B82F9F0676}"/>
    <cellStyle name="Normal 4 2 2 3 3 2 3 3" xfId="5549" xr:uid="{00000000-0005-0000-0000-00004D120000}"/>
    <cellStyle name="Normal 4 2 2 3 3 2 3 3 2" xfId="13999" xr:uid="{FCAFBFCB-031F-4005-84D2-BACDF5593D99}"/>
    <cellStyle name="Normal 4 2 2 3 3 2 3 4" xfId="9781" xr:uid="{98401B79-33F6-43DB-8A68-24CB495E8F0F}"/>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A14F1104-F560-4B7D-867C-2743BC2D285D}"/>
    <cellStyle name="Normal 4 2 2 3 3 2 4 2 3" xfId="12339" xr:uid="{09CE3E08-3151-42BC-AADC-DE266DDDDE18}"/>
    <cellStyle name="Normal 4 2 2 3 3 2 4 3" xfId="5962" xr:uid="{00000000-0005-0000-0000-000051120000}"/>
    <cellStyle name="Normal 4 2 2 3 3 2 4 3 2" xfId="14412" xr:uid="{73656843-71E4-49E5-AB83-9A68EC2DEB4C}"/>
    <cellStyle name="Normal 4 2 2 3 3 2 4 4" xfId="10194" xr:uid="{21DF088A-5E1A-42BF-934E-8E7BED5F8706}"/>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C88E0248-EF05-40FA-9C04-91C06342E91D}"/>
    <cellStyle name="Normal 4 2 2 3 3 2 5 2 3" xfId="12752" xr:uid="{1C52FB33-4975-4FE5-B20C-49E7BADDD92D}"/>
    <cellStyle name="Normal 4 2 2 3 3 2 5 3" xfId="6375" xr:uid="{00000000-0005-0000-0000-000055120000}"/>
    <cellStyle name="Normal 4 2 2 3 3 2 5 3 2" xfId="14825" xr:uid="{CEEBACF4-6988-4C6A-89FF-ACAD0D1F9CDE}"/>
    <cellStyle name="Normal 4 2 2 3 3 2 5 4" xfId="10607" xr:uid="{879688D1-62A1-4B10-8D0E-0415FEADCABF}"/>
    <cellStyle name="Normal 4 2 2 3 3 2 6" xfId="2505" xr:uid="{00000000-0005-0000-0000-000056120000}"/>
    <cellStyle name="Normal 4 2 2 3 3 2 6 2" xfId="6788" xr:uid="{00000000-0005-0000-0000-000057120000}"/>
    <cellStyle name="Normal 4 2 2 3 3 2 6 2 2" xfId="15238" xr:uid="{32708525-4218-447C-A93F-794FBE3FE6AC}"/>
    <cellStyle name="Normal 4 2 2 3 3 2 6 3" xfId="11020" xr:uid="{BF059EC8-F584-429F-A483-3AC68479344B}"/>
    <cellStyle name="Normal 4 2 2 3 3 2 7" xfId="4723" xr:uid="{00000000-0005-0000-0000-000058120000}"/>
    <cellStyle name="Normal 4 2 2 3 3 2 7 2" xfId="13173" xr:uid="{A971E5AB-1DE6-4B49-A544-A84457AB4F35}"/>
    <cellStyle name="Normal 4 2 2 3 3 2 8" xfId="8955" xr:uid="{65E017E2-16FE-4896-ADBF-E1EA989CBD84}"/>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4BFD2D63-1F2C-4135-8882-38A94E389AAD}"/>
    <cellStyle name="Normal 4 2 2 3 3 3 2 3" xfId="11512" xr:uid="{236BB43D-2EEC-47A7-B6F9-4C093E5F709C}"/>
    <cellStyle name="Normal 4 2 2 3 3 3 3" xfId="5135" xr:uid="{00000000-0005-0000-0000-00005C120000}"/>
    <cellStyle name="Normal 4 2 2 3 3 3 3 2" xfId="13585" xr:uid="{B3863233-B2F7-42EA-9038-249E5DDE4910}"/>
    <cellStyle name="Normal 4 2 2 3 3 3 4" xfId="9367" xr:uid="{61B60C57-D1F7-4BAB-B202-94514F75C94C}"/>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9428DE0F-C846-4E61-8CF6-8375A47B4D49}"/>
    <cellStyle name="Normal 4 2 2 3 3 4 2 3" xfId="11925" xr:uid="{E12C3D9E-7165-4A54-ADD2-739A1BA03DFE}"/>
    <cellStyle name="Normal 4 2 2 3 3 4 3" xfId="5548" xr:uid="{00000000-0005-0000-0000-000060120000}"/>
    <cellStyle name="Normal 4 2 2 3 3 4 3 2" xfId="13998" xr:uid="{D8B9D40E-B85B-4527-BAC8-33AB8372C530}"/>
    <cellStyle name="Normal 4 2 2 3 3 4 4" xfId="9780" xr:uid="{1F611899-67A5-4B3C-AA50-80893EFD5CDC}"/>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36C8ABB3-2B9C-478D-A292-550585A97270}"/>
    <cellStyle name="Normal 4 2 2 3 3 5 2 3" xfId="12338" xr:uid="{4F5A147D-50C7-4F7B-823A-78C58476A5BC}"/>
    <cellStyle name="Normal 4 2 2 3 3 5 3" xfId="5961" xr:uid="{00000000-0005-0000-0000-000064120000}"/>
    <cellStyle name="Normal 4 2 2 3 3 5 3 2" xfId="14411" xr:uid="{BB84C653-70B8-4600-BA4A-B395DF8FF60E}"/>
    <cellStyle name="Normal 4 2 2 3 3 5 4" xfId="10193" xr:uid="{DF6FD132-60BD-4DD2-BA2D-3B81FDC90DB1}"/>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AA491E5A-71F2-431F-97FA-35239B6709F7}"/>
    <cellStyle name="Normal 4 2 2 3 3 6 2 3" xfId="12751" xr:uid="{C85BC7F7-99E0-43E8-96EF-36898B9A921D}"/>
    <cellStyle name="Normal 4 2 2 3 3 6 3" xfId="6374" xr:uid="{00000000-0005-0000-0000-000068120000}"/>
    <cellStyle name="Normal 4 2 2 3 3 6 3 2" xfId="14824" xr:uid="{FF79CE36-2AC2-4CF9-A82B-59DA4F3AF9AC}"/>
    <cellStyle name="Normal 4 2 2 3 3 6 4" xfId="10606" xr:uid="{4B4C24C3-6236-41AC-8D2E-0120246CC6ED}"/>
    <cellStyle name="Normal 4 2 2 3 3 7" xfId="2504" xr:uid="{00000000-0005-0000-0000-000069120000}"/>
    <cellStyle name="Normal 4 2 2 3 3 7 2" xfId="6787" xr:uid="{00000000-0005-0000-0000-00006A120000}"/>
    <cellStyle name="Normal 4 2 2 3 3 7 2 2" xfId="15237" xr:uid="{4351B972-A9A2-449B-AD74-E73DA573B995}"/>
    <cellStyle name="Normal 4 2 2 3 3 7 3" xfId="11019" xr:uid="{816D3CBA-E278-44B8-8AFE-762F3DAB2B6D}"/>
    <cellStyle name="Normal 4 2 2 3 3 8" xfId="4722" xr:uid="{00000000-0005-0000-0000-00006B120000}"/>
    <cellStyle name="Normal 4 2 2 3 3 8 2" xfId="13172" xr:uid="{442FC37F-97C2-4F80-ACEE-B07C5FFC0EE2}"/>
    <cellStyle name="Normal 4 2 2 3 3 9" xfId="8954" xr:uid="{97468662-174E-4358-8156-3CDEF816EBC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91E442D7-77EB-4986-8BF9-CFFA0744C82A}"/>
    <cellStyle name="Normal 4 2 2 3 4 2 2 3" xfId="11514" xr:uid="{7CCDB51C-6EAA-427B-A494-6A9D36D7FCB3}"/>
    <cellStyle name="Normal 4 2 2 3 4 2 3" xfId="5137" xr:uid="{00000000-0005-0000-0000-000070120000}"/>
    <cellStyle name="Normal 4 2 2 3 4 2 3 2" xfId="13587" xr:uid="{79815ADA-6DFA-4981-B0FD-0A11649C5438}"/>
    <cellStyle name="Normal 4 2 2 3 4 2 4" xfId="9369" xr:uid="{6E0925A7-09F2-4213-BC15-E3008E13D186}"/>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0A1B4E67-61D7-41EA-BAA6-09B0394EB8FF}"/>
    <cellStyle name="Normal 4 2 2 3 4 3 2 3" xfId="11927" xr:uid="{076AF72A-AE9E-4190-9F7E-BDC56B4ACD84}"/>
    <cellStyle name="Normal 4 2 2 3 4 3 3" xfId="5550" xr:uid="{00000000-0005-0000-0000-000074120000}"/>
    <cellStyle name="Normal 4 2 2 3 4 3 3 2" xfId="14000" xr:uid="{AD77CD26-BABD-448E-987D-A3DC2CD11820}"/>
    <cellStyle name="Normal 4 2 2 3 4 3 4" xfId="9782" xr:uid="{CB592F4F-C1EC-4D22-95F1-FF3390C075E1}"/>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D629E8BE-489F-46C2-A70A-B27C26F59B6F}"/>
    <cellStyle name="Normal 4 2 2 3 4 4 2 3" xfId="12340" xr:uid="{54EE6751-BA73-4722-8D38-2CB77E2BEFCD}"/>
    <cellStyle name="Normal 4 2 2 3 4 4 3" xfId="5963" xr:uid="{00000000-0005-0000-0000-000078120000}"/>
    <cellStyle name="Normal 4 2 2 3 4 4 3 2" xfId="14413" xr:uid="{6BBD4AA2-8085-402E-939D-8D8069F66136}"/>
    <cellStyle name="Normal 4 2 2 3 4 4 4" xfId="10195" xr:uid="{7E625AF5-121E-43F3-A034-59C4344CF712}"/>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02A7450D-6021-49A1-B33D-15B7BFB615FF}"/>
    <cellStyle name="Normal 4 2 2 3 4 5 2 3" xfId="12753" xr:uid="{132DB910-7389-4B2D-BC6D-A6ADDF2F1586}"/>
    <cellStyle name="Normal 4 2 2 3 4 5 3" xfId="6376" xr:uid="{00000000-0005-0000-0000-00007C120000}"/>
    <cellStyle name="Normal 4 2 2 3 4 5 3 2" xfId="14826" xr:uid="{897FFAF9-CF86-4D0F-BDFD-48409BD37895}"/>
    <cellStyle name="Normal 4 2 2 3 4 5 4" xfId="10608" xr:uid="{1683B749-7C7D-4CA1-B8C4-9BAC3923F64B}"/>
    <cellStyle name="Normal 4 2 2 3 4 6" xfId="2506" xr:uid="{00000000-0005-0000-0000-00007D120000}"/>
    <cellStyle name="Normal 4 2 2 3 4 6 2" xfId="6789" xr:uid="{00000000-0005-0000-0000-00007E120000}"/>
    <cellStyle name="Normal 4 2 2 3 4 6 2 2" xfId="15239" xr:uid="{DAC7C3E8-FD03-48FF-8036-590B9059C50B}"/>
    <cellStyle name="Normal 4 2 2 3 4 6 3" xfId="11021" xr:uid="{70F5B231-067D-4811-A62E-FA2F97E6C70E}"/>
    <cellStyle name="Normal 4 2 2 3 4 7" xfId="4724" xr:uid="{00000000-0005-0000-0000-00007F120000}"/>
    <cellStyle name="Normal 4 2 2 3 4 7 2" xfId="13174" xr:uid="{4BEEB19E-63B5-4F74-926D-01BB5FF03AFD}"/>
    <cellStyle name="Normal 4 2 2 3 4 8" xfId="8956" xr:uid="{02F70DBC-D0DB-4A63-BC5D-44AC3A1003A5}"/>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F48BE7F5-47B9-4A36-AAD4-EF0D1E798C85}"/>
    <cellStyle name="Normal 4 2 2 3 5 2 3" xfId="11507" xr:uid="{4A775A38-0D54-46DC-BFBC-A338888A00C8}"/>
    <cellStyle name="Normal 4 2 2 3 5 3" xfId="5130" xr:uid="{00000000-0005-0000-0000-000083120000}"/>
    <cellStyle name="Normal 4 2 2 3 5 3 2" xfId="13580" xr:uid="{6D81163D-1D4B-4CFF-A4B6-EA361127B22D}"/>
    <cellStyle name="Normal 4 2 2 3 5 4" xfId="9362" xr:uid="{64D1C5E9-D582-4098-A16D-DC5A30D0F8BC}"/>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AAFE5D50-F757-4879-8417-C90955E8B118}"/>
    <cellStyle name="Normal 4 2 2 3 6 2 3" xfId="11920" xr:uid="{260AE693-6084-4F16-95E6-F253AA32220A}"/>
    <cellStyle name="Normal 4 2 2 3 6 3" xfId="5543" xr:uid="{00000000-0005-0000-0000-000087120000}"/>
    <cellStyle name="Normal 4 2 2 3 6 3 2" xfId="13993" xr:uid="{9F5D924E-E952-424D-944A-80B719642D71}"/>
    <cellStyle name="Normal 4 2 2 3 6 4" xfId="9775" xr:uid="{465B04FA-6A7F-4DD3-AB28-194958D2C9F1}"/>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FB70893D-FEA8-474A-B4A6-C0909B5D2A01}"/>
    <cellStyle name="Normal 4 2 2 3 7 2 3" xfId="12333" xr:uid="{B90ABCA9-24FF-44FC-AE6E-9E8000D9AB7C}"/>
    <cellStyle name="Normal 4 2 2 3 7 3" xfId="5956" xr:uid="{00000000-0005-0000-0000-00008B120000}"/>
    <cellStyle name="Normal 4 2 2 3 7 3 2" xfId="14406" xr:uid="{5488DD84-AFD9-433A-8B31-7BA6288F6934}"/>
    <cellStyle name="Normal 4 2 2 3 7 4" xfId="10188" xr:uid="{3A8AC76E-274D-408E-B64D-7CAA416C3E0B}"/>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147EBB40-9E56-4BA2-B4E1-8C100A85DA82}"/>
    <cellStyle name="Normal 4 2 2 3 8 2 3" xfId="12746" xr:uid="{68489763-2570-4D3E-996A-E92032FED4F6}"/>
    <cellStyle name="Normal 4 2 2 3 8 3" xfId="6369" xr:uid="{00000000-0005-0000-0000-00008F120000}"/>
    <cellStyle name="Normal 4 2 2 3 8 3 2" xfId="14819" xr:uid="{C1F789A3-7069-40B6-B15E-9C2D7840CF85}"/>
    <cellStyle name="Normal 4 2 2 3 8 4" xfId="10601" xr:uid="{80423666-4C1E-49F7-80C0-5A498FB3CCEE}"/>
    <cellStyle name="Normal 4 2 2 3 9" xfId="2499" xr:uid="{00000000-0005-0000-0000-000090120000}"/>
    <cellStyle name="Normal 4 2 2 3 9 2" xfId="6782" xr:uid="{00000000-0005-0000-0000-000091120000}"/>
    <cellStyle name="Normal 4 2 2 3 9 2 2" xfId="15232" xr:uid="{4EA1E21A-A3FD-477E-9A11-C5C187DF4CFA}"/>
    <cellStyle name="Normal 4 2 2 3 9 3" xfId="11014" xr:uid="{3C9901AF-EA98-40AD-8310-B69AD69D1F5B}"/>
    <cellStyle name="Normal 4 2 2 4" xfId="347" xr:uid="{00000000-0005-0000-0000-000092120000}"/>
    <cellStyle name="Normal 4 2 2 4 10" xfId="8957" xr:uid="{775C8419-45D5-420F-A82E-A139779D7DE3}"/>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7782D486-9F81-43FF-B825-A7F78B95937D}"/>
    <cellStyle name="Normal 4 2 2 4 2 2 2 2 3" xfId="11517" xr:uid="{A62758D7-600E-4A50-B56B-21B0D1B05C60}"/>
    <cellStyle name="Normal 4 2 2 4 2 2 2 3" xfId="5140" xr:uid="{00000000-0005-0000-0000-000098120000}"/>
    <cellStyle name="Normal 4 2 2 4 2 2 2 3 2" xfId="13590" xr:uid="{E3661FEE-5B66-409A-A2AF-CFB1C5E3EC23}"/>
    <cellStyle name="Normal 4 2 2 4 2 2 2 4" xfId="9372" xr:uid="{019C68FF-3235-447A-BBE1-0326FE95DB6D}"/>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DC80F273-4A90-49DA-BBAE-A32022159C33}"/>
    <cellStyle name="Normal 4 2 2 4 2 2 3 2 3" xfId="11930" xr:uid="{8EE234D0-2B4D-4D9D-B6FA-FA74E14D9F1C}"/>
    <cellStyle name="Normal 4 2 2 4 2 2 3 3" xfId="5553" xr:uid="{00000000-0005-0000-0000-00009C120000}"/>
    <cellStyle name="Normal 4 2 2 4 2 2 3 3 2" xfId="14003" xr:uid="{E263D79D-967A-40A6-ACC9-FFC850F9B4CF}"/>
    <cellStyle name="Normal 4 2 2 4 2 2 3 4" xfId="9785" xr:uid="{676D7D25-84A4-401F-89E6-53DEDD22597C}"/>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BF8C3F90-3098-4CC4-B8F8-DBA094A7F4BB}"/>
    <cellStyle name="Normal 4 2 2 4 2 2 4 2 3" xfId="12343" xr:uid="{DE1FF294-0ECA-4A7A-80E8-D85623991680}"/>
    <cellStyle name="Normal 4 2 2 4 2 2 4 3" xfId="5966" xr:uid="{00000000-0005-0000-0000-0000A0120000}"/>
    <cellStyle name="Normal 4 2 2 4 2 2 4 3 2" xfId="14416" xr:uid="{F09FD083-526B-43AC-9E6D-1E6156E55075}"/>
    <cellStyle name="Normal 4 2 2 4 2 2 4 4" xfId="10198" xr:uid="{6693B913-BD6E-4D98-86C0-F0A95DE8BA13}"/>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C9E02F9C-9864-45F0-B1AF-1AA72EAA75F0}"/>
    <cellStyle name="Normal 4 2 2 4 2 2 5 2 3" xfId="12756" xr:uid="{4EE8B3E2-5D60-4B67-A46B-F8A3AA9A31DA}"/>
    <cellStyle name="Normal 4 2 2 4 2 2 5 3" xfId="6379" xr:uid="{00000000-0005-0000-0000-0000A4120000}"/>
    <cellStyle name="Normal 4 2 2 4 2 2 5 3 2" xfId="14829" xr:uid="{B7044FA0-D294-4378-92F4-F8DFE56BC72E}"/>
    <cellStyle name="Normal 4 2 2 4 2 2 5 4" xfId="10611" xr:uid="{C3E51D10-B5D8-471B-A65B-84BA28AD7BB3}"/>
    <cellStyle name="Normal 4 2 2 4 2 2 6" xfId="2509" xr:uid="{00000000-0005-0000-0000-0000A5120000}"/>
    <cellStyle name="Normal 4 2 2 4 2 2 6 2" xfId="6792" xr:uid="{00000000-0005-0000-0000-0000A6120000}"/>
    <cellStyle name="Normal 4 2 2 4 2 2 6 2 2" xfId="15242" xr:uid="{196DD6A0-A3C1-4C33-BD8B-BF91CF50559A}"/>
    <cellStyle name="Normal 4 2 2 4 2 2 6 3" xfId="11024" xr:uid="{505957DA-E339-410E-980C-A8197115CF18}"/>
    <cellStyle name="Normal 4 2 2 4 2 2 7" xfId="4727" xr:uid="{00000000-0005-0000-0000-0000A7120000}"/>
    <cellStyle name="Normal 4 2 2 4 2 2 7 2" xfId="13177" xr:uid="{8C707061-DDDA-4436-A4E2-92E5BE85FF02}"/>
    <cellStyle name="Normal 4 2 2 4 2 2 8" xfId="8959" xr:uid="{6B68D929-F0FE-44CB-B1D0-39599B461E57}"/>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B1B5CCE1-6C6C-432A-A6D5-71BE52FAEA55}"/>
    <cellStyle name="Normal 4 2 2 4 2 3 2 3" xfId="11516" xr:uid="{84C66426-13D5-4984-B2B7-BEAEED961E31}"/>
    <cellStyle name="Normal 4 2 2 4 2 3 3" xfId="5139" xr:uid="{00000000-0005-0000-0000-0000AB120000}"/>
    <cellStyle name="Normal 4 2 2 4 2 3 3 2" xfId="13589" xr:uid="{E3C63B35-B708-4B8C-89E8-6B87DA5A35F9}"/>
    <cellStyle name="Normal 4 2 2 4 2 3 4" xfId="9371" xr:uid="{68B8CDC4-26C0-4731-B2BF-31B131DA9209}"/>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361F92F1-0A4E-4F1B-A0F3-65F30143FEC8}"/>
    <cellStyle name="Normal 4 2 2 4 2 4 2 3" xfId="11929" xr:uid="{AB1EB869-D331-4DE7-9688-34FDED37E3B3}"/>
    <cellStyle name="Normal 4 2 2 4 2 4 3" xfId="5552" xr:uid="{00000000-0005-0000-0000-0000AF120000}"/>
    <cellStyle name="Normal 4 2 2 4 2 4 3 2" xfId="14002" xr:uid="{D4D1D5FB-1911-492E-A9D5-7BB2EDCAA6B5}"/>
    <cellStyle name="Normal 4 2 2 4 2 4 4" xfId="9784" xr:uid="{C1C29AF3-776D-4C42-B24F-4EC4E56C18EA}"/>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4B1855BF-62CB-4FFA-AB8D-06B15DEC279C}"/>
    <cellStyle name="Normal 4 2 2 4 2 5 2 3" xfId="12342" xr:uid="{46B35920-9D5E-49CD-BF1A-038944E46227}"/>
    <cellStyle name="Normal 4 2 2 4 2 5 3" xfId="5965" xr:uid="{00000000-0005-0000-0000-0000B3120000}"/>
    <cellStyle name="Normal 4 2 2 4 2 5 3 2" xfId="14415" xr:uid="{E6BFC40A-5B90-4861-9886-0FCC8B91AB42}"/>
    <cellStyle name="Normal 4 2 2 4 2 5 4" xfId="10197" xr:uid="{EF27DE26-A275-442C-AD05-135B3B8FEC8E}"/>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F3FBA4B5-DDDC-4887-A27E-4641DA20D7C2}"/>
    <cellStyle name="Normal 4 2 2 4 2 6 2 3" xfId="12755" xr:uid="{96638D3C-F341-493D-8F9B-61DE306436A3}"/>
    <cellStyle name="Normal 4 2 2 4 2 6 3" xfId="6378" xr:uid="{00000000-0005-0000-0000-0000B7120000}"/>
    <cellStyle name="Normal 4 2 2 4 2 6 3 2" xfId="14828" xr:uid="{2974415A-7CFC-48F1-844D-D2B3068E5984}"/>
    <cellStyle name="Normal 4 2 2 4 2 6 4" xfId="10610" xr:uid="{B86F63F6-FE47-4863-8C6D-DCEBE4D8E64A}"/>
    <cellStyle name="Normal 4 2 2 4 2 7" xfId="2508" xr:uid="{00000000-0005-0000-0000-0000B8120000}"/>
    <cellStyle name="Normal 4 2 2 4 2 7 2" xfId="6791" xr:uid="{00000000-0005-0000-0000-0000B9120000}"/>
    <cellStyle name="Normal 4 2 2 4 2 7 2 2" xfId="15241" xr:uid="{2A842BF6-6C8B-4EBF-BFA4-9133ECA2C5D7}"/>
    <cellStyle name="Normal 4 2 2 4 2 7 3" xfId="11023" xr:uid="{0567389D-69EF-47F3-A518-A88E0DAC9C34}"/>
    <cellStyle name="Normal 4 2 2 4 2 8" xfId="4726" xr:uid="{00000000-0005-0000-0000-0000BA120000}"/>
    <cellStyle name="Normal 4 2 2 4 2 8 2" xfId="13176" xr:uid="{A6E644C6-2632-46EB-8F07-641DC3FD86AF}"/>
    <cellStyle name="Normal 4 2 2 4 2 9" xfId="8958" xr:uid="{C1AB22CC-3B18-4EE3-8096-8F71B467EC92}"/>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EA36B292-EAEA-4475-86E6-A5A3DE7BCC33}"/>
    <cellStyle name="Normal 4 2 2 4 3 2 2 3" xfId="11518" xr:uid="{1CB5DE1E-5C14-48E0-AA09-FE52C446AED6}"/>
    <cellStyle name="Normal 4 2 2 4 3 2 3" xfId="5141" xr:uid="{00000000-0005-0000-0000-0000BF120000}"/>
    <cellStyle name="Normal 4 2 2 4 3 2 3 2" xfId="13591" xr:uid="{9134EC54-5358-4C78-B060-FDF5B233ADC5}"/>
    <cellStyle name="Normal 4 2 2 4 3 2 4" xfId="9373" xr:uid="{188869D3-4EF0-4B17-81DA-70B364AED561}"/>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9ACE5BE1-FF51-4BDD-A6FA-03D5BDC8B55C}"/>
    <cellStyle name="Normal 4 2 2 4 3 3 2 3" xfId="11931" xr:uid="{84553C4F-63AD-4F21-91C9-C0366A8CAA86}"/>
    <cellStyle name="Normal 4 2 2 4 3 3 3" xfId="5554" xr:uid="{00000000-0005-0000-0000-0000C3120000}"/>
    <cellStyle name="Normal 4 2 2 4 3 3 3 2" xfId="14004" xr:uid="{BBD39F7E-1EB7-4EDB-B041-949CEBDABFE8}"/>
    <cellStyle name="Normal 4 2 2 4 3 3 4" xfId="9786" xr:uid="{53D46F49-99C3-43FC-A480-6D9D5B96C331}"/>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7003966A-F9E1-4207-B2AE-1A16EEB6EE4C}"/>
    <cellStyle name="Normal 4 2 2 4 3 4 2 3" xfId="12344" xr:uid="{D030D97E-D4BA-44DA-952D-A8D4F2FB7818}"/>
    <cellStyle name="Normal 4 2 2 4 3 4 3" xfId="5967" xr:uid="{00000000-0005-0000-0000-0000C7120000}"/>
    <cellStyle name="Normal 4 2 2 4 3 4 3 2" xfId="14417" xr:uid="{7C49F39B-BDFE-4FCE-B4AD-2373CEC744D9}"/>
    <cellStyle name="Normal 4 2 2 4 3 4 4" xfId="10199" xr:uid="{730BEE2F-6A93-4E3E-AE10-936AEC486022}"/>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9A9BA79C-2D6A-4AC2-9814-E3A8F7A4162A}"/>
    <cellStyle name="Normal 4 2 2 4 3 5 2 3" xfId="12757" xr:uid="{01E2804F-0D71-47EB-9A27-460B65A351C9}"/>
    <cellStyle name="Normal 4 2 2 4 3 5 3" xfId="6380" xr:uid="{00000000-0005-0000-0000-0000CB120000}"/>
    <cellStyle name="Normal 4 2 2 4 3 5 3 2" xfId="14830" xr:uid="{3E1685D5-8A21-4889-B85A-64C3072FB0C6}"/>
    <cellStyle name="Normal 4 2 2 4 3 5 4" xfId="10612" xr:uid="{75228FD6-8868-4648-97BD-04B807A51882}"/>
    <cellStyle name="Normal 4 2 2 4 3 6" xfId="2510" xr:uid="{00000000-0005-0000-0000-0000CC120000}"/>
    <cellStyle name="Normal 4 2 2 4 3 6 2" xfId="6793" xr:uid="{00000000-0005-0000-0000-0000CD120000}"/>
    <cellStyle name="Normal 4 2 2 4 3 6 2 2" xfId="15243" xr:uid="{FE6244FD-8B89-4219-9B18-66EEA3E2F792}"/>
    <cellStyle name="Normal 4 2 2 4 3 6 3" xfId="11025" xr:uid="{887F36F3-72B6-4BDB-9B59-604207D9719E}"/>
    <cellStyle name="Normal 4 2 2 4 3 7" xfId="4728" xr:uid="{00000000-0005-0000-0000-0000CE120000}"/>
    <cellStyle name="Normal 4 2 2 4 3 7 2" xfId="13178" xr:uid="{E4066421-5B03-40D0-8EDC-383F96510B24}"/>
    <cellStyle name="Normal 4 2 2 4 3 8" xfId="8960" xr:uid="{3A4E858E-A2F6-484B-A1B8-9BDAB83B4AD0}"/>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C0E0002B-376B-4F33-93D6-4C67239C53EC}"/>
    <cellStyle name="Normal 4 2 2 4 4 2 3" xfId="11515" xr:uid="{9366DB8D-8ADF-4FE4-87D7-269D9CCD53E2}"/>
    <cellStyle name="Normal 4 2 2 4 4 3" xfId="5138" xr:uid="{00000000-0005-0000-0000-0000D2120000}"/>
    <cellStyle name="Normal 4 2 2 4 4 3 2" xfId="13588" xr:uid="{4B1E50BD-CB06-4860-9ADC-1D07950EE667}"/>
    <cellStyle name="Normal 4 2 2 4 4 4" xfId="9370" xr:uid="{4A809741-3D87-4F74-9028-2BFF22969CCF}"/>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48B34F81-7423-4C32-B56F-7CD107730E70}"/>
    <cellStyle name="Normal 4 2 2 4 5 2 3" xfId="11928" xr:uid="{B459414C-45E1-46F5-9231-191DCE628C4E}"/>
    <cellStyle name="Normal 4 2 2 4 5 3" xfId="5551" xr:uid="{00000000-0005-0000-0000-0000D6120000}"/>
    <cellStyle name="Normal 4 2 2 4 5 3 2" xfId="14001" xr:uid="{43375750-29C9-4D05-A16C-059E2A86101F}"/>
    <cellStyle name="Normal 4 2 2 4 5 4" xfId="9783" xr:uid="{F95C5E24-5C1C-4B46-8990-A50DF95CA14B}"/>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31E2937B-5783-4D2A-B3BA-7E91E363FE8C}"/>
    <cellStyle name="Normal 4 2 2 4 6 2 3" xfId="12341" xr:uid="{35A936DC-B976-4740-AF26-703C86B2F495}"/>
    <cellStyle name="Normal 4 2 2 4 6 3" xfId="5964" xr:uid="{00000000-0005-0000-0000-0000DA120000}"/>
    <cellStyle name="Normal 4 2 2 4 6 3 2" xfId="14414" xr:uid="{C7A4D457-AF6E-4C50-889C-0366D975EC3A}"/>
    <cellStyle name="Normal 4 2 2 4 6 4" xfId="10196" xr:uid="{40D0CFC9-361F-4AA9-8574-4D6C8B180256}"/>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9818C3DE-8F46-482E-BB30-A3D698C897DC}"/>
    <cellStyle name="Normal 4 2 2 4 7 2 3" xfId="12754" xr:uid="{AC1E8AED-F2FB-44A6-B49C-B3DF5C3CD108}"/>
    <cellStyle name="Normal 4 2 2 4 7 3" xfId="6377" xr:uid="{00000000-0005-0000-0000-0000DE120000}"/>
    <cellStyle name="Normal 4 2 2 4 7 3 2" xfId="14827" xr:uid="{8B6F7A85-F56F-40C7-8355-D22AD70E9D93}"/>
    <cellStyle name="Normal 4 2 2 4 7 4" xfId="10609" xr:uid="{6D6AAB1D-713E-4EC1-AF60-4CF6C4692E4D}"/>
    <cellStyle name="Normal 4 2 2 4 8" xfId="2507" xr:uid="{00000000-0005-0000-0000-0000DF120000}"/>
    <cellStyle name="Normal 4 2 2 4 8 2" xfId="6790" xr:uid="{00000000-0005-0000-0000-0000E0120000}"/>
    <cellStyle name="Normal 4 2 2 4 8 2 2" xfId="15240" xr:uid="{974B5E23-5913-445A-B87B-A07B140A3D70}"/>
    <cellStyle name="Normal 4 2 2 4 8 3" xfId="11022" xr:uid="{5907EA68-063D-4645-A84F-6B544C7A2A90}"/>
    <cellStyle name="Normal 4 2 2 4 9" xfId="4725" xr:uid="{00000000-0005-0000-0000-0000E1120000}"/>
    <cellStyle name="Normal 4 2 2 4 9 2" xfId="13175" xr:uid="{D462E58D-CAA6-4D8C-9245-D6BBF23BBCA6}"/>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D4058857-1E2D-4CF0-9604-A8924E49428B}"/>
    <cellStyle name="Normal 4 2 2 5 2 2 2 3" xfId="11520" xr:uid="{0D3B586F-4CE3-4675-84ED-B6AABD8DA974}"/>
    <cellStyle name="Normal 4 2 2 5 2 2 3" xfId="5143" xr:uid="{00000000-0005-0000-0000-0000E7120000}"/>
    <cellStyle name="Normal 4 2 2 5 2 2 3 2" xfId="13593" xr:uid="{1BC49A37-EDC9-4946-91E8-E5126D09B110}"/>
    <cellStyle name="Normal 4 2 2 5 2 2 4" xfId="9375" xr:uid="{06BE91F6-974A-456D-9F34-EDD36532FA2C}"/>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D47F39BF-7AD2-405B-87C8-2740A334E1EE}"/>
    <cellStyle name="Normal 4 2 2 5 2 3 2 3" xfId="11933" xr:uid="{B1D450FE-0BBB-4624-B758-5C9F9D1B1489}"/>
    <cellStyle name="Normal 4 2 2 5 2 3 3" xfId="5556" xr:uid="{00000000-0005-0000-0000-0000EB120000}"/>
    <cellStyle name="Normal 4 2 2 5 2 3 3 2" xfId="14006" xr:uid="{E02BB209-0576-4C9B-B09F-B278D794174E}"/>
    <cellStyle name="Normal 4 2 2 5 2 3 4" xfId="9788" xr:uid="{E7941A97-0550-4230-A89D-A1170DB6C655}"/>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398D9FF4-5725-4F92-8ED0-071956887130}"/>
    <cellStyle name="Normal 4 2 2 5 2 4 2 3" xfId="12346" xr:uid="{45133D0E-0328-4AD3-83C5-27D202F2015E}"/>
    <cellStyle name="Normal 4 2 2 5 2 4 3" xfId="5969" xr:uid="{00000000-0005-0000-0000-0000EF120000}"/>
    <cellStyle name="Normal 4 2 2 5 2 4 3 2" xfId="14419" xr:uid="{62680B6F-6E52-48A7-A84D-A4D01ADC7830}"/>
    <cellStyle name="Normal 4 2 2 5 2 4 4" xfId="10201" xr:uid="{C0873AD6-7D68-414F-89CF-70BE41E8E94A}"/>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58741F0B-8A26-4D38-AEBA-6D5DA78B28A5}"/>
    <cellStyle name="Normal 4 2 2 5 2 5 2 3" xfId="12759" xr:uid="{167D8285-1C37-4779-852F-962F28A3E804}"/>
    <cellStyle name="Normal 4 2 2 5 2 5 3" xfId="6382" xr:uid="{00000000-0005-0000-0000-0000F3120000}"/>
    <cellStyle name="Normal 4 2 2 5 2 5 3 2" xfId="14832" xr:uid="{6F6F1479-E623-4F24-9597-A0E8E36D7CF6}"/>
    <cellStyle name="Normal 4 2 2 5 2 5 4" xfId="10614" xr:uid="{8B272279-6002-4825-8138-02BE21A9B031}"/>
    <cellStyle name="Normal 4 2 2 5 2 6" xfId="2512" xr:uid="{00000000-0005-0000-0000-0000F4120000}"/>
    <cellStyle name="Normal 4 2 2 5 2 6 2" xfId="6795" xr:uid="{00000000-0005-0000-0000-0000F5120000}"/>
    <cellStyle name="Normal 4 2 2 5 2 6 2 2" xfId="15245" xr:uid="{42ADC5F6-8471-49AD-BA8F-727B0B349C8C}"/>
    <cellStyle name="Normal 4 2 2 5 2 6 3" xfId="11027" xr:uid="{E81334F6-4D09-4B4F-898C-63C475100064}"/>
    <cellStyle name="Normal 4 2 2 5 2 7" xfId="4730" xr:uid="{00000000-0005-0000-0000-0000F6120000}"/>
    <cellStyle name="Normal 4 2 2 5 2 7 2" xfId="13180" xr:uid="{0CB1F6FD-C8CA-4E8F-AB6B-B41B559F7D39}"/>
    <cellStyle name="Normal 4 2 2 5 2 8" xfId="8962" xr:uid="{B2DFEB8A-BBE8-4915-A3C4-B0842E9C2204}"/>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790DFEAB-BC12-4D49-9E50-315B381E3A6A}"/>
    <cellStyle name="Normal 4 2 2 5 3 2 3" xfId="11519" xr:uid="{9EF18912-D629-4D87-8EF4-EE15D6DD0859}"/>
    <cellStyle name="Normal 4 2 2 5 3 3" xfId="5142" xr:uid="{00000000-0005-0000-0000-0000FA120000}"/>
    <cellStyle name="Normal 4 2 2 5 3 3 2" xfId="13592" xr:uid="{701EA845-E008-420E-8040-D6BE8308725A}"/>
    <cellStyle name="Normal 4 2 2 5 3 4" xfId="9374" xr:uid="{ECDA1617-33AA-4978-BFA1-8847A9590C8C}"/>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D1E89B7B-3F2D-486F-94C7-6B49D7476491}"/>
    <cellStyle name="Normal 4 2 2 5 4 2 3" xfId="11932" xr:uid="{BBCCB3DA-DF4F-424B-ABCF-F603E2290068}"/>
    <cellStyle name="Normal 4 2 2 5 4 3" xfId="5555" xr:uid="{00000000-0005-0000-0000-0000FE120000}"/>
    <cellStyle name="Normal 4 2 2 5 4 3 2" xfId="14005" xr:uid="{DE624691-3761-4EC1-9B5D-918D15CB4C19}"/>
    <cellStyle name="Normal 4 2 2 5 4 4" xfId="9787" xr:uid="{EB0CFFDF-A902-4249-8D5C-880B91DCA175}"/>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1087BD9B-DFB4-4350-97E3-8DA85449F703}"/>
    <cellStyle name="Normal 4 2 2 5 5 2 3" xfId="12345" xr:uid="{01B4B515-7CC2-45F2-8FFB-C2BEE58E5D4F}"/>
    <cellStyle name="Normal 4 2 2 5 5 3" xfId="5968" xr:uid="{00000000-0005-0000-0000-000002130000}"/>
    <cellStyle name="Normal 4 2 2 5 5 3 2" xfId="14418" xr:uid="{047379C2-BCFC-47BC-9438-125D3CB90ABE}"/>
    <cellStyle name="Normal 4 2 2 5 5 4" xfId="10200" xr:uid="{70C1A0BB-307E-4881-93BD-C30B53CB5DBA}"/>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6512255D-A309-4169-B27D-65972D304260}"/>
    <cellStyle name="Normal 4 2 2 5 6 2 3" xfId="12758" xr:uid="{A8CFEDE6-FC3F-4984-9815-913039C90F71}"/>
    <cellStyle name="Normal 4 2 2 5 6 3" xfId="6381" xr:uid="{00000000-0005-0000-0000-000006130000}"/>
    <cellStyle name="Normal 4 2 2 5 6 3 2" xfId="14831" xr:uid="{CC78E3C3-2790-4841-88AE-BAF980BFE486}"/>
    <cellStyle name="Normal 4 2 2 5 6 4" xfId="10613" xr:uid="{FB597003-C118-4DE7-82E1-487E47958758}"/>
    <cellStyle name="Normal 4 2 2 5 7" xfId="2511" xr:uid="{00000000-0005-0000-0000-000007130000}"/>
    <cellStyle name="Normal 4 2 2 5 7 2" xfId="6794" xr:uid="{00000000-0005-0000-0000-000008130000}"/>
    <cellStyle name="Normal 4 2 2 5 7 2 2" xfId="15244" xr:uid="{C5A310D9-7975-48F0-86F6-8D7A82264352}"/>
    <cellStyle name="Normal 4 2 2 5 7 3" xfId="11026" xr:uid="{9CFD0B55-DF4C-42EB-8D3A-87ED7A2B51FA}"/>
    <cellStyle name="Normal 4 2 2 5 8" xfId="4729" xr:uid="{00000000-0005-0000-0000-000009130000}"/>
    <cellStyle name="Normal 4 2 2 5 8 2" xfId="13179" xr:uid="{332AEBB3-AA5F-46FB-89AD-AA01ED886480}"/>
    <cellStyle name="Normal 4 2 2 5 9" xfId="8961" xr:uid="{2E9D871A-B9CF-4B28-9E56-1BAFD28F748F}"/>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10F65C9B-9AC0-4620-BC1B-6D712B9C5130}"/>
    <cellStyle name="Normal 4 2 2 6 2 2 3" xfId="11521" xr:uid="{52D1FBFB-8429-4433-90D1-586000DFC8F3}"/>
    <cellStyle name="Normal 4 2 2 6 2 3" xfId="5144" xr:uid="{00000000-0005-0000-0000-00000E130000}"/>
    <cellStyle name="Normal 4 2 2 6 2 3 2" xfId="13594" xr:uid="{CD37EADF-8374-43E4-82D7-EE358884952A}"/>
    <cellStyle name="Normal 4 2 2 6 2 4" xfId="9376" xr:uid="{FD7EC78E-24E1-41C0-B85A-5C8B00AE2753}"/>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4C4DB1B5-66E2-4F69-99C1-8B7A30C3BDBB}"/>
    <cellStyle name="Normal 4 2 2 6 3 2 3" xfId="11934" xr:uid="{4033B696-458D-45F9-BF15-2F765A026517}"/>
    <cellStyle name="Normal 4 2 2 6 3 3" xfId="5557" xr:uid="{00000000-0005-0000-0000-000012130000}"/>
    <cellStyle name="Normal 4 2 2 6 3 3 2" xfId="14007" xr:uid="{066226C0-1550-47CC-9008-EC4339F0E24F}"/>
    <cellStyle name="Normal 4 2 2 6 3 4" xfId="9789" xr:uid="{EE342F46-8864-4049-9BF6-463AD6C2F5E6}"/>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2C433A2C-4846-46E6-92C7-C7146140CF6F}"/>
    <cellStyle name="Normal 4 2 2 6 4 2 3" xfId="12347" xr:uid="{7D4C48E3-0742-4F45-A5B3-3A78D745DD9B}"/>
    <cellStyle name="Normal 4 2 2 6 4 3" xfId="5970" xr:uid="{00000000-0005-0000-0000-000016130000}"/>
    <cellStyle name="Normal 4 2 2 6 4 3 2" xfId="14420" xr:uid="{62DAA918-C432-4332-BEA6-8C7429325029}"/>
    <cellStyle name="Normal 4 2 2 6 4 4" xfId="10202" xr:uid="{C3EFFC53-037E-4308-B90B-28C18AC6AB64}"/>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FFA76A30-E05B-443E-9C06-7FB1D3E43B11}"/>
    <cellStyle name="Normal 4 2 2 6 5 2 3" xfId="12760" xr:uid="{CE419432-3668-4798-BF91-CB0CC4B9A4C5}"/>
    <cellStyle name="Normal 4 2 2 6 5 3" xfId="6383" xr:uid="{00000000-0005-0000-0000-00001A130000}"/>
    <cellStyle name="Normal 4 2 2 6 5 3 2" xfId="14833" xr:uid="{4497FBA4-965E-46BA-B160-38209A843A78}"/>
    <cellStyle name="Normal 4 2 2 6 5 4" xfId="10615" xr:uid="{7E5C01C4-D96F-4F3E-B24C-8EE9A05A0106}"/>
    <cellStyle name="Normal 4 2 2 6 6" xfId="2513" xr:uid="{00000000-0005-0000-0000-00001B130000}"/>
    <cellStyle name="Normal 4 2 2 6 6 2" xfId="6796" xr:uid="{00000000-0005-0000-0000-00001C130000}"/>
    <cellStyle name="Normal 4 2 2 6 6 2 2" xfId="15246" xr:uid="{3B665121-A6AA-4915-BB7A-2D76935A912D}"/>
    <cellStyle name="Normal 4 2 2 6 6 3" xfId="11028" xr:uid="{E7B3FC3C-6BF9-4AF3-838D-9CF7BF24869A}"/>
    <cellStyle name="Normal 4 2 2 6 7" xfId="4731" xr:uid="{00000000-0005-0000-0000-00001D130000}"/>
    <cellStyle name="Normal 4 2 2 6 7 2" xfId="13181" xr:uid="{C5A6D9AD-8B91-46D6-82C9-8BC099F0C4E9}"/>
    <cellStyle name="Normal 4 2 2 6 8" xfId="8963" xr:uid="{63EA2537-A9E6-4D8F-B63D-2C17ECBE5429}"/>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41B9F71E-D735-4084-B575-919906C5C1D9}"/>
    <cellStyle name="Normal 4 2 2 7 2 3" xfId="11506" xr:uid="{6F44B32C-CC28-4E04-87C6-D267496AEBFD}"/>
    <cellStyle name="Normal 4 2 2 7 3" xfId="5129" xr:uid="{00000000-0005-0000-0000-000021130000}"/>
    <cellStyle name="Normal 4 2 2 7 3 2" xfId="13579" xr:uid="{61437B3B-1D8C-4E51-BE7B-4846E3578523}"/>
    <cellStyle name="Normal 4 2 2 7 4" xfId="9361" xr:uid="{AF631F37-878A-4BAF-ADD5-01D932BC91F5}"/>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8FD8B804-17A7-4F38-ADC2-A200B9DB977E}"/>
    <cellStyle name="Normal 4 2 2 8 2 3" xfId="11919" xr:uid="{23350442-EC22-4313-BC09-8420DE1A6ED1}"/>
    <cellStyle name="Normal 4 2 2 8 3" xfId="5542" xr:uid="{00000000-0005-0000-0000-000025130000}"/>
    <cellStyle name="Normal 4 2 2 8 3 2" xfId="13992" xr:uid="{00F8E9DD-DEF5-4337-A285-7730330EF69B}"/>
    <cellStyle name="Normal 4 2 2 8 4" xfId="9774" xr:uid="{E6F6611E-3DE0-4ECE-B3BA-D59A85A21CC7}"/>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225366D2-F95C-4534-8291-9BDF25BC6729}"/>
    <cellStyle name="Normal 4 2 2 9 2 3" xfId="12332" xr:uid="{B7C45A59-1580-4628-8155-4A9A34D6451F}"/>
    <cellStyle name="Normal 4 2 2 9 3" xfId="5955" xr:uid="{00000000-0005-0000-0000-000029130000}"/>
    <cellStyle name="Normal 4 2 2 9 3 2" xfId="14405" xr:uid="{E10D78ED-D4AC-4DD1-98D3-F5CFC6A7DE56}"/>
    <cellStyle name="Normal 4 2 2 9 4" xfId="10187" xr:uid="{12FA2168-2295-48B1-96C4-0F4A5C044794}"/>
    <cellStyle name="Normal 4 2 3" xfId="354" xr:uid="{00000000-0005-0000-0000-00002A130000}"/>
    <cellStyle name="Normal 4 2 4" xfId="355" xr:uid="{00000000-0005-0000-0000-00002B130000}"/>
    <cellStyle name="Normal 4 2 4 10" xfId="4732" xr:uid="{00000000-0005-0000-0000-00002C130000}"/>
    <cellStyle name="Normal 4 2 4 10 2" xfId="13182" xr:uid="{980C9888-EDE4-4958-AFD6-E997B5C53EAD}"/>
    <cellStyle name="Normal 4 2 4 11" xfId="8964" xr:uid="{01DF5F1E-3594-4060-B235-B6AE1BAFF092}"/>
    <cellStyle name="Normal 4 2 4 2" xfId="356" xr:uid="{00000000-0005-0000-0000-00002D130000}"/>
    <cellStyle name="Normal 4 2 4 2 10" xfId="8965" xr:uid="{B368E599-BF94-4898-80A3-90B4EC21B79F}"/>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33174267-CBD4-41C4-A249-F9271A5D59DB}"/>
    <cellStyle name="Normal 4 2 4 2 2 2 2 2 3" xfId="11525" xr:uid="{2D3F5C52-068E-49E5-8713-FD1330E2A132}"/>
    <cellStyle name="Normal 4 2 4 2 2 2 2 3" xfId="5148" xr:uid="{00000000-0005-0000-0000-000033130000}"/>
    <cellStyle name="Normal 4 2 4 2 2 2 2 3 2" xfId="13598" xr:uid="{C24F6414-3D99-44BA-80AF-09C80C8F19D6}"/>
    <cellStyle name="Normal 4 2 4 2 2 2 2 4" xfId="9380" xr:uid="{C503E664-FCB4-4CB8-B5FB-2E99EBDBF88F}"/>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C5643A1B-AD72-4A72-AA67-E8F2C5F6DB69}"/>
    <cellStyle name="Normal 4 2 4 2 2 2 3 2 3" xfId="11938" xr:uid="{D38D5493-E758-44C9-91F9-28DA0A9D9BE3}"/>
    <cellStyle name="Normal 4 2 4 2 2 2 3 3" xfId="5561" xr:uid="{00000000-0005-0000-0000-000037130000}"/>
    <cellStyle name="Normal 4 2 4 2 2 2 3 3 2" xfId="14011" xr:uid="{7FB9CB55-A5F3-4643-A7CD-180A8511E1EE}"/>
    <cellStyle name="Normal 4 2 4 2 2 2 3 4" xfId="9793" xr:uid="{396E0B71-EB29-4948-A452-76B4B047DB8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AA3E81F0-0317-490F-94BA-0A96F0C29D15}"/>
    <cellStyle name="Normal 4 2 4 2 2 2 4 2 3" xfId="12351" xr:uid="{290E6312-37FE-4850-87A6-DDD49BA61AE0}"/>
    <cellStyle name="Normal 4 2 4 2 2 2 4 3" xfId="5974" xr:uid="{00000000-0005-0000-0000-00003B130000}"/>
    <cellStyle name="Normal 4 2 4 2 2 2 4 3 2" xfId="14424" xr:uid="{B5907B6B-AC3A-4AE0-A3B4-F35A0A9B2380}"/>
    <cellStyle name="Normal 4 2 4 2 2 2 4 4" xfId="10206" xr:uid="{45C93DE3-05E3-4CA8-8192-2FB5AD377163}"/>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C053B7BA-5D86-4027-AA3A-ED72BD14A0B6}"/>
    <cellStyle name="Normal 4 2 4 2 2 2 5 2 3" xfId="12764" xr:uid="{FBCAD1E0-6A6B-47A4-8A2C-9FF46129AD89}"/>
    <cellStyle name="Normal 4 2 4 2 2 2 5 3" xfId="6387" xr:uid="{00000000-0005-0000-0000-00003F130000}"/>
    <cellStyle name="Normal 4 2 4 2 2 2 5 3 2" xfId="14837" xr:uid="{57D0C2B1-AEFD-432E-BB41-A3760FC3DFF4}"/>
    <cellStyle name="Normal 4 2 4 2 2 2 5 4" xfId="10619" xr:uid="{07212867-4085-4BDF-B79C-784D34145EA1}"/>
    <cellStyle name="Normal 4 2 4 2 2 2 6" xfId="2517" xr:uid="{00000000-0005-0000-0000-000040130000}"/>
    <cellStyle name="Normal 4 2 4 2 2 2 6 2" xfId="6800" xr:uid="{00000000-0005-0000-0000-000041130000}"/>
    <cellStyle name="Normal 4 2 4 2 2 2 6 2 2" xfId="15250" xr:uid="{85C9A8D1-6C1B-4EC5-9F61-A42CD46CD67B}"/>
    <cellStyle name="Normal 4 2 4 2 2 2 6 3" xfId="11032" xr:uid="{712F7691-2F95-4799-B81F-1A53B92BA547}"/>
    <cellStyle name="Normal 4 2 4 2 2 2 7" xfId="4735" xr:uid="{00000000-0005-0000-0000-000042130000}"/>
    <cellStyle name="Normal 4 2 4 2 2 2 7 2" xfId="13185" xr:uid="{8FBFCBE0-ECE5-44F6-91A2-9EF46C0789A1}"/>
    <cellStyle name="Normal 4 2 4 2 2 2 8" xfId="8967" xr:uid="{76D7A5E4-069E-44A4-9263-20FE73BD6157}"/>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03A039C2-F239-4754-A6FD-B7D348227632}"/>
    <cellStyle name="Normal 4 2 4 2 2 3 2 3" xfId="11524" xr:uid="{DAF01D90-62CC-4D73-892B-7F1D17D4210C}"/>
    <cellStyle name="Normal 4 2 4 2 2 3 3" xfId="5147" xr:uid="{00000000-0005-0000-0000-000046130000}"/>
    <cellStyle name="Normal 4 2 4 2 2 3 3 2" xfId="13597" xr:uid="{1DAE0138-02B9-4970-8C48-6324A3FF55EB}"/>
    <cellStyle name="Normal 4 2 4 2 2 3 4" xfId="9379" xr:uid="{26CA198E-65A1-4E44-B328-B90711DE0E78}"/>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362F0C15-06A0-430A-9F6D-87CD73CFE72C}"/>
    <cellStyle name="Normal 4 2 4 2 2 4 2 3" xfId="11937" xr:uid="{1198298F-775B-43CB-8CE3-571627C1ACE5}"/>
    <cellStyle name="Normal 4 2 4 2 2 4 3" xfId="5560" xr:uid="{00000000-0005-0000-0000-00004A130000}"/>
    <cellStyle name="Normal 4 2 4 2 2 4 3 2" xfId="14010" xr:uid="{48FDDA9F-136E-4708-89E0-D08C77DB33BC}"/>
    <cellStyle name="Normal 4 2 4 2 2 4 4" xfId="9792" xr:uid="{50F9D106-8A3F-4627-B174-B928188CC2A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05F0812E-5082-4EEC-B525-B1EA1476584B}"/>
    <cellStyle name="Normal 4 2 4 2 2 5 2 3" xfId="12350" xr:uid="{A18FBF11-E017-46DF-8EE3-97CA4E699E3E}"/>
    <cellStyle name="Normal 4 2 4 2 2 5 3" xfId="5973" xr:uid="{00000000-0005-0000-0000-00004E130000}"/>
    <cellStyle name="Normal 4 2 4 2 2 5 3 2" xfId="14423" xr:uid="{995BAF12-994D-41D0-80D5-0E63AB194843}"/>
    <cellStyle name="Normal 4 2 4 2 2 5 4" xfId="10205" xr:uid="{C7705EE5-C282-4374-8C82-EC369FA57129}"/>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8B157469-E2A4-4101-8587-BFB39AE963B8}"/>
    <cellStyle name="Normal 4 2 4 2 2 6 2 3" xfId="12763" xr:uid="{E80A4F7B-5BC4-4653-A131-09DF1F236F01}"/>
    <cellStyle name="Normal 4 2 4 2 2 6 3" xfId="6386" xr:uid="{00000000-0005-0000-0000-000052130000}"/>
    <cellStyle name="Normal 4 2 4 2 2 6 3 2" xfId="14836" xr:uid="{4281586A-2173-4687-BA89-9403C9DF5F97}"/>
    <cellStyle name="Normal 4 2 4 2 2 6 4" xfId="10618" xr:uid="{FC818363-792E-4849-AF3F-7458D6F5A06F}"/>
    <cellStyle name="Normal 4 2 4 2 2 7" xfId="2516" xr:uid="{00000000-0005-0000-0000-000053130000}"/>
    <cellStyle name="Normal 4 2 4 2 2 7 2" xfId="6799" xr:uid="{00000000-0005-0000-0000-000054130000}"/>
    <cellStyle name="Normal 4 2 4 2 2 7 2 2" xfId="15249" xr:uid="{6407756C-226A-47A2-9D30-3A466782999A}"/>
    <cellStyle name="Normal 4 2 4 2 2 7 3" xfId="11031" xr:uid="{59E355C8-C855-4850-B5D9-4F6B5F732CBB}"/>
    <cellStyle name="Normal 4 2 4 2 2 8" xfId="4734" xr:uid="{00000000-0005-0000-0000-000055130000}"/>
    <cellStyle name="Normal 4 2 4 2 2 8 2" xfId="13184" xr:uid="{6D1661E4-E878-4642-AB2D-BA98C0C123C3}"/>
    <cellStyle name="Normal 4 2 4 2 2 9" xfId="8966" xr:uid="{4E29B041-5A2B-452E-AD9D-5BE6763085B7}"/>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375645CE-7E85-44E7-99EE-264440210323}"/>
    <cellStyle name="Normal 4 2 4 2 3 2 2 3" xfId="11526" xr:uid="{0A7343E2-2A71-47BA-BF64-10F722F3CD25}"/>
    <cellStyle name="Normal 4 2 4 2 3 2 3" xfId="5149" xr:uid="{00000000-0005-0000-0000-00005A130000}"/>
    <cellStyle name="Normal 4 2 4 2 3 2 3 2" xfId="13599" xr:uid="{5DDE9322-8246-434E-B668-60A3808C274F}"/>
    <cellStyle name="Normal 4 2 4 2 3 2 4" xfId="9381" xr:uid="{C4B66130-3475-44C6-9887-89DAF556DDE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56BA5559-5FDD-465E-BB25-A686D49242C8}"/>
    <cellStyle name="Normal 4 2 4 2 3 3 2 3" xfId="11939" xr:uid="{343B700A-C843-4A64-A5D6-8D007976611A}"/>
    <cellStyle name="Normal 4 2 4 2 3 3 3" xfId="5562" xr:uid="{00000000-0005-0000-0000-00005E130000}"/>
    <cellStyle name="Normal 4 2 4 2 3 3 3 2" xfId="14012" xr:uid="{A80AE31E-AFFD-479A-BAEE-27A2E0D50359}"/>
    <cellStyle name="Normal 4 2 4 2 3 3 4" xfId="9794" xr:uid="{7BB92F28-D63D-4429-866C-786E03765C5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7429A4D2-624B-4FE3-9821-7A96D6ED9376}"/>
    <cellStyle name="Normal 4 2 4 2 3 4 2 3" xfId="12352" xr:uid="{AFE26431-F487-4632-A526-55A10A60056A}"/>
    <cellStyle name="Normal 4 2 4 2 3 4 3" xfId="5975" xr:uid="{00000000-0005-0000-0000-000062130000}"/>
    <cellStyle name="Normal 4 2 4 2 3 4 3 2" xfId="14425" xr:uid="{256C306F-6947-4C50-8B82-DA82875DBDA1}"/>
    <cellStyle name="Normal 4 2 4 2 3 4 4" xfId="10207" xr:uid="{CF8F2C67-062E-4AE0-B8DC-6C6BEF539437}"/>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B94A71F7-C4E6-440B-8091-AC6BCC1579AF}"/>
    <cellStyle name="Normal 4 2 4 2 3 5 2 3" xfId="12765" xr:uid="{5E5BEAD5-E081-4BC1-87D9-5B5E159B19C1}"/>
    <cellStyle name="Normal 4 2 4 2 3 5 3" xfId="6388" xr:uid="{00000000-0005-0000-0000-000066130000}"/>
    <cellStyle name="Normal 4 2 4 2 3 5 3 2" xfId="14838" xr:uid="{CCDAE035-4565-4A98-B036-52B8D51BA65F}"/>
    <cellStyle name="Normal 4 2 4 2 3 5 4" xfId="10620" xr:uid="{9DB1A6FF-F711-4F13-AABF-E9B7AB947DCA}"/>
    <cellStyle name="Normal 4 2 4 2 3 6" xfId="2518" xr:uid="{00000000-0005-0000-0000-000067130000}"/>
    <cellStyle name="Normal 4 2 4 2 3 6 2" xfId="6801" xr:uid="{00000000-0005-0000-0000-000068130000}"/>
    <cellStyle name="Normal 4 2 4 2 3 6 2 2" xfId="15251" xr:uid="{547360AA-B244-4C21-AA04-23455F184B1C}"/>
    <cellStyle name="Normal 4 2 4 2 3 6 3" xfId="11033" xr:uid="{274745D8-F5EF-4006-924D-40F4A963213E}"/>
    <cellStyle name="Normal 4 2 4 2 3 7" xfId="4736" xr:uid="{00000000-0005-0000-0000-000069130000}"/>
    <cellStyle name="Normal 4 2 4 2 3 7 2" xfId="13186" xr:uid="{ABB3CAE0-DE99-4A26-8C7A-A7FBA020ACBF}"/>
    <cellStyle name="Normal 4 2 4 2 3 8" xfId="8968" xr:uid="{AF3EE0C2-2FD3-4D5D-B43D-23A584282BBB}"/>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34A29034-6B02-4457-ACA8-7B85786CA8C1}"/>
    <cellStyle name="Normal 4 2 4 2 4 2 3" xfId="11523" xr:uid="{62136A60-C5EB-4D68-9CBE-B2C02C23E237}"/>
    <cellStyle name="Normal 4 2 4 2 4 3" xfId="5146" xr:uid="{00000000-0005-0000-0000-00006D130000}"/>
    <cellStyle name="Normal 4 2 4 2 4 3 2" xfId="13596" xr:uid="{F0E8C042-3C25-49A9-B546-B628ABC9478D}"/>
    <cellStyle name="Normal 4 2 4 2 4 4" xfId="9378" xr:uid="{70DA85D7-BA98-47FD-A502-875858714778}"/>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2C9610D4-A968-4DD0-B0F3-9AD2B3580D42}"/>
    <cellStyle name="Normal 4 2 4 2 5 2 3" xfId="11936" xr:uid="{37DD1810-6A98-4DD2-A36E-F4C86C79256A}"/>
    <cellStyle name="Normal 4 2 4 2 5 3" xfId="5559" xr:uid="{00000000-0005-0000-0000-000071130000}"/>
    <cellStyle name="Normal 4 2 4 2 5 3 2" xfId="14009" xr:uid="{ADB7B819-9026-46B1-9440-94A9EADFDCB4}"/>
    <cellStyle name="Normal 4 2 4 2 5 4" xfId="9791" xr:uid="{A956891B-378B-42DC-956F-21063FF96D13}"/>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65643231-33B8-4CC5-B155-04CF4E8D2386}"/>
    <cellStyle name="Normal 4 2 4 2 6 2 3" xfId="12349" xr:uid="{DC573580-72EA-4B85-8502-B6EEE6C243F0}"/>
    <cellStyle name="Normal 4 2 4 2 6 3" xfId="5972" xr:uid="{00000000-0005-0000-0000-000075130000}"/>
    <cellStyle name="Normal 4 2 4 2 6 3 2" xfId="14422" xr:uid="{3F765D40-D0EA-48E9-9441-4D41DDF0C229}"/>
    <cellStyle name="Normal 4 2 4 2 6 4" xfId="10204" xr:uid="{58BC34F1-A3F1-4C6A-B606-74B1C5ADEDBA}"/>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EE1FCFE6-5679-4676-93A4-D5B3E86A5E3E}"/>
    <cellStyle name="Normal 4 2 4 2 7 2 3" xfId="12762" xr:uid="{F2B48B6D-68B5-4650-8576-C8F35FE25B78}"/>
    <cellStyle name="Normal 4 2 4 2 7 3" xfId="6385" xr:uid="{00000000-0005-0000-0000-000079130000}"/>
    <cellStyle name="Normal 4 2 4 2 7 3 2" xfId="14835" xr:uid="{1E24B96B-4539-4C94-B49D-0C031C3CB74C}"/>
    <cellStyle name="Normal 4 2 4 2 7 4" xfId="10617" xr:uid="{034E3742-D027-4344-9B8F-5AEFA95E4485}"/>
    <cellStyle name="Normal 4 2 4 2 8" xfId="2515" xr:uid="{00000000-0005-0000-0000-00007A130000}"/>
    <cellStyle name="Normal 4 2 4 2 8 2" xfId="6798" xr:uid="{00000000-0005-0000-0000-00007B130000}"/>
    <cellStyle name="Normal 4 2 4 2 8 2 2" xfId="15248" xr:uid="{0A948FAF-A50D-4B12-859C-86E051BC7A5C}"/>
    <cellStyle name="Normal 4 2 4 2 8 3" xfId="11030" xr:uid="{019F94E6-512C-42A6-8CCC-889A683BD864}"/>
    <cellStyle name="Normal 4 2 4 2 9" xfId="4733" xr:uid="{00000000-0005-0000-0000-00007C130000}"/>
    <cellStyle name="Normal 4 2 4 2 9 2" xfId="13183" xr:uid="{F9267A77-A0EA-48DC-9763-78BC37018801}"/>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BEB5B56A-0C55-4EAC-953B-D738BBEF40B7}"/>
    <cellStyle name="Normal 4 2 4 3 2 2 2 3" xfId="11528" xr:uid="{6918A6A0-DFFF-4C32-AC7F-CFC53E46C501}"/>
    <cellStyle name="Normal 4 2 4 3 2 2 3" xfId="5151" xr:uid="{00000000-0005-0000-0000-000082130000}"/>
    <cellStyle name="Normal 4 2 4 3 2 2 3 2" xfId="13601" xr:uid="{E32F9D38-7D84-4750-BF9D-34EB2A86DED3}"/>
    <cellStyle name="Normal 4 2 4 3 2 2 4" xfId="9383" xr:uid="{85944712-6C49-4C2F-A526-A69E8024A04C}"/>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2E98E9B4-4BB4-4A5F-85EA-C4DC79027C76}"/>
    <cellStyle name="Normal 4 2 4 3 2 3 2 3" xfId="11941" xr:uid="{E0C39A48-4A3B-47C4-95E5-82E859134C66}"/>
    <cellStyle name="Normal 4 2 4 3 2 3 3" xfId="5564" xr:uid="{00000000-0005-0000-0000-000086130000}"/>
    <cellStyle name="Normal 4 2 4 3 2 3 3 2" xfId="14014" xr:uid="{85821FCF-987A-4891-8C46-022EC8EEA69F}"/>
    <cellStyle name="Normal 4 2 4 3 2 3 4" xfId="9796" xr:uid="{53A14F32-FE3A-47CF-87A9-2F35D73FD8D2}"/>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3D21455D-13C4-41D4-A775-DAC9ECE3FFC9}"/>
    <cellStyle name="Normal 4 2 4 3 2 4 2 3" xfId="12354" xr:uid="{9ED76763-1788-40D1-A71E-29EFB7735E49}"/>
    <cellStyle name="Normal 4 2 4 3 2 4 3" xfId="5977" xr:uid="{00000000-0005-0000-0000-00008A130000}"/>
    <cellStyle name="Normal 4 2 4 3 2 4 3 2" xfId="14427" xr:uid="{3D8FDC8C-D7E6-41AB-AD23-BDEB79757999}"/>
    <cellStyle name="Normal 4 2 4 3 2 4 4" xfId="10209" xr:uid="{C823FC14-F95A-49E6-9E34-EE1DF06D4B14}"/>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87DD3433-2839-41F2-81B8-EB5C205D04A8}"/>
    <cellStyle name="Normal 4 2 4 3 2 5 2 3" xfId="12767" xr:uid="{011FDADC-A629-426A-A5E7-E554A175E50F}"/>
    <cellStyle name="Normal 4 2 4 3 2 5 3" xfId="6390" xr:uid="{00000000-0005-0000-0000-00008E130000}"/>
    <cellStyle name="Normal 4 2 4 3 2 5 3 2" xfId="14840" xr:uid="{53D5B8A4-4348-4966-8E94-6A3D05F363C6}"/>
    <cellStyle name="Normal 4 2 4 3 2 5 4" xfId="10622" xr:uid="{8668D734-B3CC-4992-A1EA-AEEA50A995E9}"/>
    <cellStyle name="Normal 4 2 4 3 2 6" xfId="2520" xr:uid="{00000000-0005-0000-0000-00008F130000}"/>
    <cellStyle name="Normal 4 2 4 3 2 6 2" xfId="6803" xr:uid="{00000000-0005-0000-0000-000090130000}"/>
    <cellStyle name="Normal 4 2 4 3 2 6 2 2" xfId="15253" xr:uid="{829ED52B-4D67-4882-8A66-AE92958B6C1E}"/>
    <cellStyle name="Normal 4 2 4 3 2 6 3" xfId="11035" xr:uid="{83EB80A9-1A7A-4FF9-AEF7-7D8D8F9DA8D3}"/>
    <cellStyle name="Normal 4 2 4 3 2 7" xfId="4738" xr:uid="{00000000-0005-0000-0000-000091130000}"/>
    <cellStyle name="Normal 4 2 4 3 2 7 2" xfId="13188" xr:uid="{AA501976-1A6F-412B-99FF-E08B3D0D93B6}"/>
    <cellStyle name="Normal 4 2 4 3 2 8" xfId="8970" xr:uid="{03CD4A51-D3FE-4B2A-B398-8D36355D93D2}"/>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F336CD2C-7321-4C74-BD32-E5B6E18AFC07}"/>
    <cellStyle name="Normal 4 2 4 3 3 2 3" xfId="11527" xr:uid="{938948B3-DA94-4B81-953D-5176D22BC493}"/>
    <cellStyle name="Normal 4 2 4 3 3 3" xfId="5150" xr:uid="{00000000-0005-0000-0000-000095130000}"/>
    <cellStyle name="Normal 4 2 4 3 3 3 2" xfId="13600" xr:uid="{155E9381-6E74-49C4-97D0-1275DDEF4774}"/>
    <cellStyle name="Normal 4 2 4 3 3 4" xfId="9382" xr:uid="{2CC2C94E-A634-4D84-8D3B-E213A3EED678}"/>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9342B17B-3CFF-4B5F-B419-3339868442DF}"/>
    <cellStyle name="Normal 4 2 4 3 4 2 3" xfId="11940" xr:uid="{8EAC1EC1-473A-4C06-8332-346DC6B7C392}"/>
    <cellStyle name="Normal 4 2 4 3 4 3" xfId="5563" xr:uid="{00000000-0005-0000-0000-000099130000}"/>
    <cellStyle name="Normal 4 2 4 3 4 3 2" xfId="14013" xr:uid="{AC61F3B2-919B-4865-85D5-C7AE8A747206}"/>
    <cellStyle name="Normal 4 2 4 3 4 4" xfId="9795" xr:uid="{BEE70F2F-5C13-4AD4-84D9-413E55948BCC}"/>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C736DA4F-1C21-47F0-8621-5083387A16C7}"/>
    <cellStyle name="Normal 4 2 4 3 5 2 3" xfId="12353" xr:uid="{9FF4725A-D9BF-4D7D-AEA5-EE22190F0B7D}"/>
    <cellStyle name="Normal 4 2 4 3 5 3" xfId="5976" xr:uid="{00000000-0005-0000-0000-00009D130000}"/>
    <cellStyle name="Normal 4 2 4 3 5 3 2" xfId="14426" xr:uid="{849E9463-0545-4858-BA1D-288EF8AF551F}"/>
    <cellStyle name="Normal 4 2 4 3 5 4" xfId="10208" xr:uid="{E3BBF175-87D4-4449-928B-CAC88A760082}"/>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0B032890-9A61-4814-942A-713850B05358}"/>
    <cellStyle name="Normal 4 2 4 3 6 2 3" xfId="12766" xr:uid="{905EA9F1-8766-41A6-85BC-C5283A383F93}"/>
    <cellStyle name="Normal 4 2 4 3 6 3" xfId="6389" xr:uid="{00000000-0005-0000-0000-0000A1130000}"/>
    <cellStyle name="Normal 4 2 4 3 6 3 2" xfId="14839" xr:uid="{EB683C88-ADD4-43A4-A0C1-490FB9305E77}"/>
    <cellStyle name="Normal 4 2 4 3 6 4" xfId="10621" xr:uid="{25990091-DB89-4322-9C47-9C30CDD8AA58}"/>
    <cellStyle name="Normal 4 2 4 3 7" xfId="2519" xr:uid="{00000000-0005-0000-0000-0000A2130000}"/>
    <cellStyle name="Normal 4 2 4 3 7 2" xfId="6802" xr:uid="{00000000-0005-0000-0000-0000A3130000}"/>
    <cellStyle name="Normal 4 2 4 3 7 2 2" xfId="15252" xr:uid="{2123183A-FF37-45A2-875A-E284B421DF56}"/>
    <cellStyle name="Normal 4 2 4 3 7 3" xfId="11034" xr:uid="{1838B3CD-C564-45BE-9099-BB1C7C160528}"/>
    <cellStyle name="Normal 4 2 4 3 8" xfId="4737" xr:uid="{00000000-0005-0000-0000-0000A4130000}"/>
    <cellStyle name="Normal 4 2 4 3 8 2" xfId="13187" xr:uid="{41D30BBA-73D0-45AB-AA01-25D0FAC66B12}"/>
    <cellStyle name="Normal 4 2 4 3 9" xfId="8969" xr:uid="{8C485759-F765-4E79-9FBA-58CEA74BB878}"/>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1CD235D3-33EA-4EFF-9C58-108DBEBF5C56}"/>
    <cellStyle name="Normal 4 2 4 4 2 2 3" xfId="11529" xr:uid="{93058FB7-1A7E-43D6-8A13-1688A8FC05D0}"/>
    <cellStyle name="Normal 4 2 4 4 2 3" xfId="5152" xr:uid="{00000000-0005-0000-0000-0000A9130000}"/>
    <cellStyle name="Normal 4 2 4 4 2 3 2" xfId="13602" xr:uid="{8696A282-29ED-4727-8227-D7E824D15C22}"/>
    <cellStyle name="Normal 4 2 4 4 2 4" xfId="9384" xr:uid="{49062114-140E-4C93-8A94-15E82F03B61E}"/>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32E88C4B-0125-4770-911A-21AA41EB050C}"/>
    <cellStyle name="Normal 4 2 4 4 3 2 3" xfId="11942" xr:uid="{4156051E-6D66-47D9-9C9B-B5CE64FC1520}"/>
    <cellStyle name="Normal 4 2 4 4 3 3" xfId="5565" xr:uid="{00000000-0005-0000-0000-0000AD130000}"/>
    <cellStyle name="Normal 4 2 4 4 3 3 2" xfId="14015" xr:uid="{AC1018BE-159D-40E7-91CA-0AE3A215B9A2}"/>
    <cellStyle name="Normal 4 2 4 4 3 4" xfId="9797" xr:uid="{C9FF0E27-9DF9-43EE-ACA2-D38E138A1870}"/>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459DA6F3-82FB-4BE2-ACBB-DC229ECD8870}"/>
    <cellStyle name="Normal 4 2 4 4 4 2 3" xfId="12355" xr:uid="{A2AC21D1-CE44-458A-9F06-12B01CE86D7D}"/>
    <cellStyle name="Normal 4 2 4 4 4 3" xfId="5978" xr:uid="{00000000-0005-0000-0000-0000B1130000}"/>
    <cellStyle name="Normal 4 2 4 4 4 3 2" xfId="14428" xr:uid="{0DC279C6-7905-44A4-A02D-AEBC63CB2B73}"/>
    <cellStyle name="Normal 4 2 4 4 4 4" xfId="10210" xr:uid="{76F67C9D-2ADA-4AD1-AD33-48C3C161AD63}"/>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C5C6AA8E-49DB-4B73-9A50-205127CF3CD0}"/>
    <cellStyle name="Normal 4 2 4 4 5 2 3" xfId="12768" xr:uid="{55BA3BD8-128E-46CF-8A7E-8CB79B0BBE24}"/>
    <cellStyle name="Normal 4 2 4 4 5 3" xfId="6391" xr:uid="{00000000-0005-0000-0000-0000B5130000}"/>
    <cellStyle name="Normal 4 2 4 4 5 3 2" xfId="14841" xr:uid="{DFD0BD50-428F-4CC9-9D23-57C387BC5E12}"/>
    <cellStyle name="Normal 4 2 4 4 5 4" xfId="10623" xr:uid="{8B37FAB5-A391-4A50-AC7E-4235E0784C10}"/>
    <cellStyle name="Normal 4 2 4 4 6" xfId="2521" xr:uid="{00000000-0005-0000-0000-0000B6130000}"/>
    <cellStyle name="Normal 4 2 4 4 6 2" xfId="6804" xr:uid="{00000000-0005-0000-0000-0000B7130000}"/>
    <cellStyle name="Normal 4 2 4 4 6 2 2" xfId="15254" xr:uid="{566F4DC4-4AE7-4D03-B732-FB55329F993B}"/>
    <cellStyle name="Normal 4 2 4 4 6 3" xfId="11036" xr:uid="{6D9CB6F7-03D4-426C-B792-60E728BDE4AA}"/>
    <cellStyle name="Normal 4 2 4 4 7" xfId="4739" xr:uid="{00000000-0005-0000-0000-0000B8130000}"/>
    <cellStyle name="Normal 4 2 4 4 7 2" xfId="13189" xr:uid="{EFC3FC11-9990-4860-996F-03E3EF322E34}"/>
    <cellStyle name="Normal 4 2 4 4 8" xfId="8971" xr:uid="{6A5095B7-3977-48F4-8706-AE7E7B79CF90}"/>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9AFE7DCC-FD00-4AB2-B14E-824E3EF7E281}"/>
    <cellStyle name="Normal 4 2 4 5 2 3" xfId="11522" xr:uid="{146C348B-BF85-4F72-A787-71268A414FEA}"/>
    <cellStyle name="Normal 4 2 4 5 3" xfId="5145" xr:uid="{00000000-0005-0000-0000-0000BC130000}"/>
    <cellStyle name="Normal 4 2 4 5 3 2" xfId="13595" xr:uid="{912DD260-007C-48C6-8228-9CC54A7051B2}"/>
    <cellStyle name="Normal 4 2 4 5 4" xfId="9377" xr:uid="{CF4049D1-02AE-4B3C-9BBF-6A9D23D4A712}"/>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3CA97F37-2D53-4D8F-8473-01F230E405C2}"/>
    <cellStyle name="Normal 4 2 4 6 2 3" xfId="11935" xr:uid="{19A964BD-9BEB-4A71-9545-C7A3F567AA18}"/>
    <cellStyle name="Normal 4 2 4 6 3" xfId="5558" xr:uid="{00000000-0005-0000-0000-0000C0130000}"/>
    <cellStyle name="Normal 4 2 4 6 3 2" xfId="14008" xr:uid="{10D0CEF7-11FC-4917-B42B-E168D2D046F1}"/>
    <cellStyle name="Normal 4 2 4 6 4" xfId="9790" xr:uid="{5F27FC6D-C4D3-40F3-8DE4-64C61186A51D}"/>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C8F78B95-A8E9-42C9-8387-D849D09E59C5}"/>
    <cellStyle name="Normal 4 2 4 7 2 3" xfId="12348" xr:uid="{3BED89D2-179D-46A0-8CD4-8A7DC06DACEE}"/>
    <cellStyle name="Normal 4 2 4 7 3" xfId="5971" xr:uid="{00000000-0005-0000-0000-0000C4130000}"/>
    <cellStyle name="Normal 4 2 4 7 3 2" xfId="14421" xr:uid="{0CD3F1B9-ED82-4E82-B18F-6CA874B392A9}"/>
    <cellStyle name="Normal 4 2 4 7 4" xfId="10203" xr:uid="{72E177C1-16C9-4A83-BA65-FBAFC3317A48}"/>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7F70F000-93EB-4A92-8206-D1A570817DCD}"/>
    <cellStyle name="Normal 4 2 4 8 2 3" xfId="12761" xr:uid="{82FC33F5-85D1-4219-AE69-9418F8A4CD30}"/>
    <cellStyle name="Normal 4 2 4 8 3" xfId="6384" xr:uid="{00000000-0005-0000-0000-0000C8130000}"/>
    <cellStyle name="Normal 4 2 4 8 3 2" xfId="14834" xr:uid="{A6AFB259-F79E-442B-A3B2-3BB8F663329C}"/>
    <cellStyle name="Normal 4 2 4 8 4" xfId="10616" xr:uid="{315E986F-229C-4395-8A38-5058686EE257}"/>
    <cellStyle name="Normal 4 2 4 9" xfId="2514" xr:uid="{00000000-0005-0000-0000-0000C9130000}"/>
    <cellStyle name="Normal 4 2 4 9 2" xfId="6797" xr:uid="{00000000-0005-0000-0000-0000CA130000}"/>
    <cellStyle name="Normal 4 2 4 9 2 2" xfId="15247" xr:uid="{8117E2B8-AE67-4F9D-B9B2-44CF0D32D6CC}"/>
    <cellStyle name="Normal 4 2 4 9 3" xfId="11029" xr:uid="{E025FE5C-FD3C-4966-BD84-F8ED30D348DC}"/>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24F686D2-D304-41D1-AA08-65056746DF31}"/>
    <cellStyle name="Normal 4 2 5 2 2 2 3" xfId="11531" xr:uid="{12A19B37-2B12-43E7-8D4A-638CE555F40E}"/>
    <cellStyle name="Normal 4 2 5 2 2 3" xfId="5154" xr:uid="{00000000-0005-0000-0000-0000D0130000}"/>
    <cellStyle name="Normal 4 2 5 2 2 3 2" xfId="13604" xr:uid="{6BC9EDD0-F73C-4D5D-9664-C6226E089891}"/>
    <cellStyle name="Normal 4 2 5 2 2 4" xfId="9386" xr:uid="{987BB817-9B64-481B-8399-D110995C8857}"/>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8B758C11-97AE-4D37-9C76-0FC910BEB32B}"/>
    <cellStyle name="Normal 4 2 5 2 3 2 3" xfId="11944" xr:uid="{3D9DE539-DD19-4BB2-A8D9-06093D26BF2B}"/>
    <cellStyle name="Normal 4 2 5 2 3 3" xfId="5567" xr:uid="{00000000-0005-0000-0000-0000D4130000}"/>
    <cellStyle name="Normal 4 2 5 2 3 3 2" xfId="14017" xr:uid="{1F3D0A4C-B30D-4CBF-A351-4CA54154B30C}"/>
    <cellStyle name="Normal 4 2 5 2 3 4" xfId="9799" xr:uid="{D6B93E94-5F29-4606-AAC6-E97A7507D6C4}"/>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0A51B553-7A57-4658-851E-AED8E6A5BC02}"/>
    <cellStyle name="Normal 4 2 5 2 4 2 3" xfId="12357" xr:uid="{7DD614C6-DA9F-4B52-8C62-C8A1A08FE443}"/>
    <cellStyle name="Normal 4 2 5 2 4 3" xfId="5980" xr:uid="{00000000-0005-0000-0000-0000D8130000}"/>
    <cellStyle name="Normal 4 2 5 2 4 3 2" xfId="14430" xr:uid="{96A912B4-4E0A-4611-847C-1667962028F3}"/>
    <cellStyle name="Normal 4 2 5 2 4 4" xfId="10212" xr:uid="{3602E16E-487D-462A-9F29-427E40E07418}"/>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5817014E-BF89-40BC-B9AF-03522777087B}"/>
    <cellStyle name="Normal 4 2 5 2 5 2 3" xfId="12770" xr:uid="{879AE5DF-B810-4CDF-9ADF-5188F9E101B6}"/>
    <cellStyle name="Normal 4 2 5 2 5 3" xfId="6393" xr:uid="{00000000-0005-0000-0000-0000DC130000}"/>
    <cellStyle name="Normal 4 2 5 2 5 3 2" xfId="14843" xr:uid="{0E963498-5B39-44C3-825C-E820FAA3C0FF}"/>
    <cellStyle name="Normal 4 2 5 2 5 4" xfId="10625" xr:uid="{08A8C80C-0611-4B6E-9203-D3CD3059EC60}"/>
    <cellStyle name="Normal 4 2 5 2 6" xfId="2523" xr:uid="{00000000-0005-0000-0000-0000DD130000}"/>
    <cellStyle name="Normal 4 2 5 2 6 2" xfId="6806" xr:uid="{00000000-0005-0000-0000-0000DE130000}"/>
    <cellStyle name="Normal 4 2 5 2 6 2 2" xfId="15256" xr:uid="{9584DF7B-6543-4830-9C98-5CBCE64DDA1F}"/>
    <cellStyle name="Normal 4 2 5 2 6 3" xfId="11038" xr:uid="{25C966A1-F3D1-40B2-B82C-90D72F29CE27}"/>
    <cellStyle name="Normal 4 2 5 2 7" xfId="4741" xr:uid="{00000000-0005-0000-0000-0000DF130000}"/>
    <cellStyle name="Normal 4 2 5 2 7 2" xfId="13191" xr:uid="{777FB631-065F-4727-B56B-1EE5660F7925}"/>
    <cellStyle name="Normal 4 2 5 2 8" xfId="8973" xr:uid="{2BBBE705-6EE4-4016-8343-552D3D967806}"/>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3D5A1C1C-19F7-425F-906C-B72C5ACCBCCC}"/>
    <cellStyle name="Normal 4 2 5 3 2 3" xfId="11530" xr:uid="{4A6289DD-2A95-4B57-A97B-F0D2BA9BD172}"/>
    <cellStyle name="Normal 4 2 5 3 3" xfId="5153" xr:uid="{00000000-0005-0000-0000-0000E3130000}"/>
    <cellStyle name="Normal 4 2 5 3 3 2" xfId="13603" xr:uid="{EFDD51CA-63FA-4C71-A104-4FFA86F525D1}"/>
    <cellStyle name="Normal 4 2 5 3 4" xfId="9385" xr:uid="{009CDFBB-B815-4B05-B89F-2677572CD40A}"/>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EDD6B7DB-A746-4751-BB53-CDBB5D4BE6A6}"/>
    <cellStyle name="Normal 4 2 5 4 2 3" xfId="11943" xr:uid="{16F77A8F-C331-440B-B4EC-F193A16DC42D}"/>
    <cellStyle name="Normal 4 2 5 4 3" xfId="5566" xr:uid="{00000000-0005-0000-0000-0000E7130000}"/>
    <cellStyle name="Normal 4 2 5 4 3 2" xfId="14016" xr:uid="{02661A49-AA27-4DEE-8B05-FA009902D6E7}"/>
    <cellStyle name="Normal 4 2 5 4 4" xfId="9798" xr:uid="{10D1F61E-59C4-4E81-B7F4-170DAFCE6910}"/>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FEFC219D-698A-4FB5-8C80-A2DA5EFFE1E6}"/>
    <cellStyle name="Normal 4 2 5 5 2 3" xfId="12356" xr:uid="{5910AF27-2717-45D7-AD70-6043E4030492}"/>
    <cellStyle name="Normal 4 2 5 5 3" xfId="5979" xr:uid="{00000000-0005-0000-0000-0000EB130000}"/>
    <cellStyle name="Normal 4 2 5 5 3 2" xfId="14429" xr:uid="{6D07D107-E1F9-4FD0-B807-8318833533A4}"/>
    <cellStyle name="Normal 4 2 5 5 4" xfId="10211" xr:uid="{CF395F74-47D3-4587-B0D6-93335FF5E030}"/>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3EAB3149-0667-4855-8C23-4C785301125D}"/>
    <cellStyle name="Normal 4 2 5 6 2 3" xfId="12769" xr:uid="{1613AE48-2221-44CA-9257-CA76410FC47E}"/>
    <cellStyle name="Normal 4 2 5 6 3" xfId="6392" xr:uid="{00000000-0005-0000-0000-0000EF130000}"/>
    <cellStyle name="Normal 4 2 5 6 3 2" xfId="14842" xr:uid="{31EC47B0-7708-417B-ADD6-99CA284921F7}"/>
    <cellStyle name="Normal 4 2 5 6 4" xfId="10624" xr:uid="{0987980F-B0C1-402F-BB1B-19CBE39C2DFD}"/>
    <cellStyle name="Normal 4 2 5 7" xfId="2522" xr:uid="{00000000-0005-0000-0000-0000F0130000}"/>
    <cellStyle name="Normal 4 2 5 7 2" xfId="6805" xr:uid="{00000000-0005-0000-0000-0000F1130000}"/>
    <cellStyle name="Normal 4 2 5 7 2 2" xfId="15255" xr:uid="{514E64F7-B791-44AF-B903-242C2C5CC28A}"/>
    <cellStyle name="Normal 4 2 5 7 3" xfId="11037" xr:uid="{B0ACE141-3AFE-404A-BC3A-763A65944092}"/>
    <cellStyle name="Normal 4 2 5 8" xfId="4740" xr:uid="{00000000-0005-0000-0000-0000F2130000}"/>
    <cellStyle name="Normal 4 2 5 8 2" xfId="13190" xr:uid="{6DA24B1E-DF6E-42FE-A568-80D00C63C8DB}"/>
    <cellStyle name="Normal 4 2 5 9" xfId="8972" xr:uid="{7B8407CD-14D1-4D9B-B56A-8650299AABDD}"/>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3164383F-25F0-4DEA-8C51-86753D6C9E1F}"/>
    <cellStyle name="Normal 4 2 6 2 2 3" xfId="11532" xr:uid="{C30F3107-E216-4B94-8AF9-C5BD0921478B}"/>
    <cellStyle name="Normal 4 2 6 2 3" xfId="5155" xr:uid="{00000000-0005-0000-0000-0000F7130000}"/>
    <cellStyle name="Normal 4 2 6 2 3 2" xfId="13605" xr:uid="{5DDEA079-DDED-4415-8CD2-155EC6BACB29}"/>
    <cellStyle name="Normal 4 2 6 2 4" xfId="9387" xr:uid="{F4B56C9E-9401-49DD-AF05-6DA9C26BE934}"/>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2DC1C987-CD33-40A1-ABAF-DEF3B310E2EE}"/>
    <cellStyle name="Normal 4 2 6 3 2 3" xfId="11945" xr:uid="{F7C090C2-B31E-4E17-9FEC-468958859272}"/>
    <cellStyle name="Normal 4 2 6 3 3" xfId="5568" xr:uid="{00000000-0005-0000-0000-0000FB130000}"/>
    <cellStyle name="Normal 4 2 6 3 3 2" xfId="14018" xr:uid="{C000B258-8A49-4CBD-BF9C-E5BC682F16CD}"/>
    <cellStyle name="Normal 4 2 6 3 4" xfId="9800" xr:uid="{24491757-8D33-48F9-BCB2-D2467C9B0A48}"/>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F8CBF183-3F69-45D4-9171-DC470331A64A}"/>
    <cellStyle name="Normal 4 2 6 4 2 3" xfId="12358" xr:uid="{059E6568-7443-4BBB-A941-C3F9B5A69272}"/>
    <cellStyle name="Normal 4 2 6 4 3" xfId="5981" xr:uid="{00000000-0005-0000-0000-0000FF130000}"/>
    <cellStyle name="Normal 4 2 6 4 3 2" xfId="14431" xr:uid="{A20EEFC1-5390-4348-A82C-EB1B4C33F351}"/>
    <cellStyle name="Normal 4 2 6 4 4" xfId="10213" xr:uid="{668F7BD2-45A6-4D9D-A360-58DDFEF5DCCD}"/>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D1266ADD-7A03-47AD-B8F7-C739BDEF119F}"/>
    <cellStyle name="Normal 4 2 6 5 2 3" xfId="12771" xr:uid="{A0B5850B-BF27-416E-93BC-531FAFC8FD60}"/>
    <cellStyle name="Normal 4 2 6 5 3" xfId="6394" xr:uid="{00000000-0005-0000-0000-000003140000}"/>
    <cellStyle name="Normal 4 2 6 5 3 2" xfId="14844" xr:uid="{DFF46C8B-433C-48D4-9D54-AA0A28056A0F}"/>
    <cellStyle name="Normal 4 2 6 5 4" xfId="10626" xr:uid="{C0D75A68-6E50-48F2-8609-461AB3DA9C40}"/>
    <cellStyle name="Normal 4 2 6 6" xfId="2524" xr:uid="{00000000-0005-0000-0000-000004140000}"/>
    <cellStyle name="Normal 4 2 6 6 2" xfId="6807" xr:uid="{00000000-0005-0000-0000-000005140000}"/>
    <cellStyle name="Normal 4 2 6 6 2 2" xfId="15257" xr:uid="{DCF8C738-116E-43DE-99CA-352D8F393B9B}"/>
    <cellStyle name="Normal 4 2 6 6 3" xfId="11039" xr:uid="{2373F3D7-15AE-43B6-AF43-7C77D0C8E377}"/>
    <cellStyle name="Normal 4 2 6 7" xfId="4742" xr:uid="{00000000-0005-0000-0000-000006140000}"/>
    <cellStyle name="Normal 4 2 6 7 2" xfId="13192" xr:uid="{5F53D3DD-CF6C-4CB0-8DF6-C45996290413}"/>
    <cellStyle name="Normal 4 2 6 8" xfId="8974" xr:uid="{363DEED0-324F-4EE7-B8FF-710F48B65452}"/>
    <cellStyle name="Normal 4 3" xfId="366" xr:uid="{00000000-0005-0000-0000-000007140000}"/>
    <cellStyle name="Normal 4 3 10" xfId="8975" xr:uid="{2881B78B-81AC-4FD8-8571-0C374D31BF13}"/>
    <cellStyle name="Normal 4 3 2" xfId="367" xr:uid="{00000000-0005-0000-0000-000008140000}"/>
    <cellStyle name="Normal 4 3 2 2" xfId="368" xr:uid="{00000000-0005-0000-0000-000009140000}"/>
    <cellStyle name="Normal 4 3 2 2 2" xfId="369" xr:uid="{00000000-0005-0000-0000-00000A140000}"/>
    <cellStyle name="Normal 4 3 2 2 2 10" xfId="8976" xr:uid="{3049C826-1317-4408-BD06-D5EA9A64551C}"/>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40367BB6-16B9-4721-A4D4-9A934767666B}"/>
    <cellStyle name="Normal 4 3 2 2 2 2 2 2 2 3" xfId="11536" xr:uid="{8F01D108-1992-4BF4-9E93-69FBF0FF9596}"/>
    <cellStyle name="Normal 4 3 2 2 2 2 2 2 3" xfId="5159" xr:uid="{00000000-0005-0000-0000-000010140000}"/>
    <cellStyle name="Normal 4 3 2 2 2 2 2 2 3 2" xfId="13609" xr:uid="{536C3F1F-022D-4C19-9C23-CFD5BEAAAA51}"/>
    <cellStyle name="Normal 4 3 2 2 2 2 2 2 4" xfId="9391" xr:uid="{C90BC0B7-0930-4A94-9EB1-97CE96AAB815}"/>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CDC3DDB3-6E96-40E7-99B3-9351CE1C83D3}"/>
    <cellStyle name="Normal 4 3 2 2 2 2 2 3 2 3" xfId="11949" xr:uid="{30AF0C68-1DF1-461A-8F5F-A9C07FA15683}"/>
    <cellStyle name="Normal 4 3 2 2 2 2 2 3 3" xfId="5572" xr:uid="{00000000-0005-0000-0000-000014140000}"/>
    <cellStyle name="Normal 4 3 2 2 2 2 2 3 3 2" xfId="14022" xr:uid="{95A103F9-0427-409D-AC75-41C7F9DE015D}"/>
    <cellStyle name="Normal 4 3 2 2 2 2 2 3 4" xfId="9804" xr:uid="{3AA5897C-7A4C-453A-B099-CA75AC32C7B2}"/>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3E29E8AB-1B46-433F-A576-8FF4D7754EF2}"/>
    <cellStyle name="Normal 4 3 2 2 2 2 2 4 2 3" xfId="12362" xr:uid="{AAD6B505-8168-41DA-AB01-56D99FA0548B}"/>
    <cellStyle name="Normal 4 3 2 2 2 2 2 4 3" xfId="5985" xr:uid="{00000000-0005-0000-0000-000018140000}"/>
    <cellStyle name="Normal 4 3 2 2 2 2 2 4 3 2" xfId="14435" xr:uid="{C98A11BC-582A-4ADF-9838-9628742F7E05}"/>
    <cellStyle name="Normal 4 3 2 2 2 2 2 4 4" xfId="10217" xr:uid="{1092519A-571D-4C0E-A117-314A061E1BCE}"/>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F2ED80DA-0B97-45E5-B79C-82E014F20283}"/>
    <cellStyle name="Normal 4 3 2 2 2 2 2 5 2 3" xfId="12775" xr:uid="{B353B701-D756-4562-A73B-DEB75FF62631}"/>
    <cellStyle name="Normal 4 3 2 2 2 2 2 5 3" xfId="6398" xr:uid="{00000000-0005-0000-0000-00001C140000}"/>
    <cellStyle name="Normal 4 3 2 2 2 2 2 5 3 2" xfId="14848" xr:uid="{D8FA3963-DD0F-42A4-A57D-BE3A57378B40}"/>
    <cellStyle name="Normal 4 3 2 2 2 2 2 5 4" xfId="10630" xr:uid="{CB0B1498-77DC-4952-BCFD-0533585C9E49}"/>
    <cellStyle name="Normal 4 3 2 2 2 2 2 6" xfId="2528" xr:uid="{00000000-0005-0000-0000-00001D140000}"/>
    <cellStyle name="Normal 4 3 2 2 2 2 2 6 2" xfId="6811" xr:uid="{00000000-0005-0000-0000-00001E140000}"/>
    <cellStyle name="Normal 4 3 2 2 2 2 2 6 2 2" xfId="15261" xr:uid="{75F108E2-AFEE-435D-A964-3FEFF8947DB3}"/>
    <cellStyle name="Normal 4 3 2 2 2 2 2 6 3" xfId="11043" xr:uid="{B5E2B9C2-3C30-405C-87E4-2860714A445C}"/>
    <cellStyle name="Normal 4 3 2 2 2 2 2 7" xfId="4746" xr:uid="{00000000-0005-0000-0000-00001F140000}"/>
    <cellStyle name="Normal 4 3 2 2 2 2 2 7 2" xfId="13196" xr:uid="{307B0C33-1229-4925-BA80-F4A8CA10CC1B}"/>
    <cellStyle name="Normal 4 3 2 2 2 2 2 8" xfId="8978" xr:uid="{9F99A1E0-49B3-47A4-9432-4EE56AD3C2EC}"/>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52D52D00-4A17-4DBF-8E3D-CD7311888114}"/>
    <cellStyle name="Normal 4 3 2 2 2 2 3 2 3" xfId="11535" xr:uid="{6E39B400-74CB-4B5F-ADEB-EBA01148DAA1}"/>
    <cellStyle name="Normal 4 3 2 2 2 2 3 3" xfId="5158" xr:uid="{00000000-0005-0000-0000-000023140000}"/>
    <cellStyle name="Normal 4 3 2 2 2 2 3 3 2" xfId="13608" xr:uid="{239D9D64-6058-4540-89F0-F4010D3896DF}"/>
    <cellStyle name="Normal 4 3 2 2 2 2 3 4" xfId="9390" xr:uid="{698D06C9-AE72-4B25-9BDA-BFEF3474E944}"/>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480A582E-EA8C-4273-9314-F11B28045953}"/>
    <cellStyle name="Normal 4 3 2 2 2 2 4 2 3" xfId="11948" xr:uid="{6D6B8FCE-1FB6-4BA1-868D-6CA440B30E31}"/>
    <cellStyle name="Normal 4 3 2 2 2 2 4 3" xfId="5571" xr:uid="{00000000-0005-0000-0000-000027140000}"/>
    <cellStyle name="Normal 4 3 2 2 2 2 4 3 2" xfId="14021" xr:uid="{6D4CCBE8-3FAC-4508-9FF9-9333DD5EA1FC}"/>
    <cellStyle name="Normal 4 3 2 2 2 2 4 4" xfId="9803" xr:uid="{954BD3C7-6BF4-495D-8D89-4579EB14A12B}"/>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566678FD-8AED-4394-BB1C-5CCCC09DA549}"/>
    <cellStyle name="Normal 4 3 2 2 2 2 5 2 3" xfId="12361" xr:uid="{7EE00EAC-A5B4-4232-9DAA-0D145323DA6B}"/>
    <cellStyle name="Normal 4 3 2 2 2 2 5 3" xfId="5984" xr:uid="{00000000-0005-0000-0000-00002B140000}"/>
    <cellStyle name="Normal 4 3 2 2 2 2 5 3 2" xfId="14434" xr:uid="{22990BC9-1E01-4018-A1D3-5FFE7731311D}"/>
    <cellStyle name="Normal 4 3 2 2 2 2 5 4" xfId="10216" xr:uid="{273B62EA-F049-41DA-BB47-F5FBD11CA7A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8C67F4B2-DD1B-4BCF-9EF1-47A9A661F621}"/>
    <cellStyle name="Normal 4 3 2 2 2 2 6 2 3" xfId="12774" xr:uid="{59E32FB5-DA1C-4F32-8821-E61F2142973F}"/>
    <cellStyle name="Normal 4 3 2 2 2 2 6 3" xfId="6397" xr:uid="{00000000-0005-0000-0000-00002F140000}"/>
    <cellStyle name="Normal 4 3 2 2 2 2 6 3 2" xfId="14847" xr:uid="{3DC3F0E0-6E08-4675-901F-3BF447842C93}"/>
    <cellStyle name="Normal 4 3 2 2 2 2 6 4" xfId="10629" xr:uid="{ECCA64DC-314B-4B84-AF98-855BAEBE815C}"/>
    <cellStyle name="Normal 4 3 2 2 2 2 7" xfId="2527" xr:uid="{00000000-0005-0000-0000-000030140000}"/>
    <cellStyle name="Normal 4 3 2 2 2 2 7 2" xfId="6810" xr:uid="{00000000-0005-0000-0000-000031140000}"/>
    <cellStyle name="Normal 4 3 2 2 2 2 7 2 2" xfId="15260" xr:uid="{4B9F54CF-390A-4D71-889B-B6CFCB3D755C}"/>
    <cellStyle name="Normal 4 3 2 2 2 2 7 3" xfId="11042" xr:uid="{0728E06C-9F4D-4B19-9DA5-EEE213996B89}"/>
    <cellStyle name="Normal 4 3 2 2 2 2 8" xfId="4745" xr:uid="{00000000-0005-0000-0000-000032140000}"/>
    <cellStyle name="Normal 4 3 2 2 2 2 8 2" xfId="13195" xr:uid="{DF02AE6A-6A6D-4DAD-BA4C-1396D52F545D}"/>
    <cellStyle name="Normal 4 3 2 2 2 2 9" xfId="8977" xr:uid="{CD3FF756-E933-4780-B059-D7DE7C7ED2DC}"/>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ACBC843B-5E69-402F-BB01-50D22CD4C628}"/>
    <cellStyle name="Normal 4 3 2 2 2 3 2 2 3" xfId="11537" xr:uid="{A027BBE2-CDD7-44B0-B23C-5E7495934B29}"/>
    <cellStyle name="Normal 4 3 2 2 2 3 2 3" xfId="5160" xr:uid="{00000000-0005-0000-0000-000037140000}"/>
    <cellStyle name="Normal 4 3 2 2 2 3 2 3 2" xfId="13610" xr:uid="{BD0F07E3-E26D-4C05-8233-B80C2811CA21}"/>
    <cellStyle name="Normal 4 3 2 2 2 3 2 4" xfId="9392" xr:uid="{FA838105-EBBB-4BDD-8425-175192DC52E9}"/>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AB80B028-96E4-445E-A4CB-648889BE78CB}"/>
    <cellStyle name="Normal 4 3 2 2 2 3 3 2 3" xfId="11950" xr:uid="{B3911FC0-5837-437E-B80D-2413A4BDEE87}"/>
    <cellStyle name="Normal 4 3 2 2 2 3 3 3" xfId="5573" xr:uid="{00000000-0005-0000-0000-00003B140000}"/>
    <cellStyle name="Normal 4 3 2 2 2 3 3 3 2" xfId="14023" xr:uid="{B189B0AA-04C3-40E3-92D2-D6F3F50DADD9}"/>
    <cellStyle name="Normal 4 3 2 2 2 3 3 4" xfId="9805" xr:uid="{D05FB7B1-9F63-4C42-BAFD-3BE6F7A30245}"/>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190BCF4B-83D1-495A-BF8F-E2A6B706D5C7}"/>
    <cellStyle name="Normal 4 3 2 2 2 3 4 2 3" xfId="12363" xr:uid="{8CC0B22E-D9EC-4F8A-9E98-CB548899B771}"/>
    <cellStyle name="Normal 4 3 2 2 2 3 4 3" xfId="5986" xr:uid="{00000000-0005-0000-0000-00003F140000}"/>
    <cellStyle name="Normal 4 3 2 2 2 3 4 3 2" xfId="14436" xr:uid="{3CC30668-7057-4A40-9E67-A91976F536F8}"/>
    <cellStyle name="Normal 4 3 2 2 2 3 4 4" xfId="10218" xr:uid="{E0F4AAF2-3A59-435A-9D92-728594206D3D}"/>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D550E8A7-7203-4481-8934-411D4D054C4B}"/>
    <cellStyle name="Normal 4 3 2 2 2 3 5 2 3" xfId="12776" xr:uid="{A9AFFD5D-D9C5-4EB6-BB9F-00655F266369}"/>
    <cellStyle name="Normal 4 3 2 2 2 3 5 3" xfId="6399" xr:uid="{00000000-0005-0000-0000-000043140000}"/>
    <cellStyle name="Normal 4 3 2 2 2 3 5 3 2" xfId="14849" xr:uid="{66BC6A37-1D53-443B-B4DE-FE50880F6D26}"/>
    <cellStyle name="Normal 4 3 2 2 2 3 5 4" xfId="10631" xr:uid="{5DBD099F-01A4-4F6E-9F2A-E672243F61CC}"/>
    <cellStyle name="Normal 4 3 2 2 2 3 6" xfId="2529" xr:uid="{00000000-0005-0000-0000-000044140000}"/>
    <cellStyle name="Normal 4 3 2 2 2 3 6 2" xfId="6812" xr:uid="{00000000-0005-0000-0000-000045140000}"/>
    <cellStyle name="Normal 4 3 2 2 2 3 6 2 2" xfId="15262" xr:uid="{94FC9C82-96E1-4A11-8ED4-CF69A8AEC6EE}"/>
    <cellStyle name="Normal 4 3 2 2 2 3 6 3" xfId="11044" xr:uid="{95997EB4-F4DF-4D16-AC9E-A5AF1B843BDB}"/>
    <cellStyle name="Normal 4 3 2 2 2 3 7" xfId="4747" xr:uid="{00000000-0005-0000-0000-000046140000}"/>
    <cellStyle name="Normal 4 3 2 2 2 3 7 2" xfId="13197" xr:uid="{4FCEA607-A60C-40D8-85CA-1A6FA4111D06}"/>
    <cellStyle name="Normal 4 3 2 2 2 3 8" xfId="8979" xr:uid="{028AAC00-418E-41CC-955E-061F922EF0A3}"/>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962D184A-A01C-4786-98D6-7BD4D1D6BC86}"/>
    <cellStyle name="Normal 4 3 2 2 2 4 2 3" xfId="11534" xr:uid="{C3F59C77-7696-4841-8E50-60A4EB9F1832}"/>
    <cellStyle name="Normal 4 3 2 2 2 4 3" xfId="5157" xr:uid="{00000000-0005-0000-0000-00004A140000}"/>
    <cellStyle name="Normal 4 3 2 2 2 4 3 2" xfId="13607" xr:uid="{C28A48A3-3542-4DF7-8D4D-A63BC59A81BC}"/>
    <cellStyle name="Normal 4 3 2 2 2 4 4" xfId="9389" xr:uid="{CF41604C-CB14-4058-9E30-563F6394F68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530E679B-07F4-4BD6-9B6E-313A3B2E8A9E}"/>
    <cellStyle name="Normal 4 3 2 2 2 5 2 3" xfId="11947" xr:uid="{B4878B51-C4B8-49C5-B0A2-4F22AEEA4636}"/>
    <cellStyle name="Normal 4 3 2 2 2 5 3" xfId="5570" xr:uid="{00000000-0005-0000-0000-00004E140000}"/>
    <cellStyle name="Normal 4 3 2 2 2 5 3 2" xfId="14020" xr:uid="{4510CADB-B7DD-480F-A67D-AD6302F77F12}"/>
    <cellStyle name="Normal 4 3 2 2 2 5 4" xfId="9802" xr:uid="{3B618765-3635-4A9E-B91E-738AACEDEB93}"/>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8FD3D1ED-84B0-4902-AFDD-DF4927ECDF89}"/>
    <cellStyle name="Normal 4 3 2 2 2 6 2 3" xfId="12360" xr:uid="{0AD11F00-15D3-4D35-A94E-53FF3FFB6E4A}"/>
    <cellStyle name="Normal 4 3 2 2 2 6 3" xfId="5983" xr:uid="{00000000-0005-0000-0000-000052140000}"/>
    <cellStyle name="Normal 4 3 2 2 2 6 3 2" xfId="14433" xr:uid="{919CA25D-A5CD-4BB9-AFE3-CFCFB09441F6}"/>
    <cellStyle name="Normal 4 3 2 2 2 6 4" xfId="10215" xr:uid="{9F917677-0CFA-4FBA-B6F8-1FE94FA17B07}"/>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63C6BF9A-537A-44AB-A1CE-7D07B3A74FEB}"/>
    <cellStyle name="Normal 4 3 2 2 2 7 2 3" xfId="12773" xr:uid="{80C8821B-9BC0-4458-AB20-77AA32802F49}"/>
    <cellStyle name="Normal 4 3 2 2 2 7 3" xfId="6396" xr:uid="{00000000-0005-0000-0000-000056140000}"/>
    <cellStyle name="Normal 4 3 2 2 2 7 3 2" xfId="14846" xr:uid="{2D9AF935-DA54-4367-A7F0-A50139303B6C}"/>
    <cellStyle name="Normal 4 3 2 2 2 7 4" xfId="10628" xr:uid="{6C84B592-75D3-41B5-BDD9-29E6839761A6}"/>
    <cellStyle name="Normal 4 3 2 2 2 8" xfId="2526" xr:uid="{00000000-0005-0000-0000-000057140000}"/>
    <cellStyle name="Normal 4 3 2 2 2 8 2" xfId="6809" xr:uid="{00000000-0005-0000-0000-000058140000}"/>
    <cellStyle name="Normal 4 3 2 2 2 8 2 2" xfId="15259" xr:uid="{134125D1-F249-4381-BE6D-A8AB98CD7203}"/>
    <cellStyle name="Normal 4 3 2 2 2 8 3" xfId="11041" xr:uid="{B300D693-FB4B-4F5D-A88D-F41CD221CF48}"/>
    <cellStyle name="Normal 4 3 2 2 2 9" xfId="4744" xr:uid="{00000000-0005-0000-0000-000059140000}"/>
    <cellStyle name="Normal 4 3 2 2 2 9 2" xfId="13194" xr:uid="{59ED0B25-7399-4DCD-AC4E-307E65E8D034}"/>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BD5F93F0-2B9B-4E1B-85AB-A6D3E058A6A5}"/>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223FB248-5C98-4ECF-9122-A8C2592DB0C2}"/>
    <cellStyle name="Normal 4 3 3 2 2 2 2 3" xfId="11540" xr:uid="{96F9F332-43F0-489D-9554-D2521678522F}"/>
    <cellStyle name="Normal 4 3 3 2 2 2 3" xfId="5163" xr:uid="{00000000-0005-0000-0000-000063140000}"/>
    <cellStyle name="Normal 4 3 3 2 2 2 3 2" xfId="13613" xr:uid="{E5F601CB-B270-4A58-8517-9C52571EE294}"/>
    <cellStyle name="Normal 4 3 3 2 2 2 4" xfId="9395" xr:uid="{E1A578B0-D544-4783-BE1B-4864FBE7234E}"/>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6E81429C-0F80-4A1A-9A03-69252E29AF35}"/>
    <cellStyle name="Normal 4 3 3 2 2 3 2 3" xfId="11953" xr:uid="{0BC4E436-CF3D-40C0-B52C-1DF03B7A18B5}"/>
    <cellStyle name="Normal 4 3 3 2 2 3 3" xfId="5576" xr:uid="{00000000-0005-0000-0000-000067140000}"/>
    <cellStyle name="Normal 4 3 3 2 2 3 3 2" xfId="14026" xr:uid="{781D42CD-86CE-4339-91B9-DB89E9FAE36B}"/>
    <cellStyle name="Normal 4 3 3 2 2 3 4" xfId="9808" xr:uid="{F4879934-AA1C-4722-9D5E-ADC1DEC26CB4}"/>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2AB313A9-9D3C-4A72-B086-186948694109}"/>
    <cellStyle name="Normal 4 3 3 2 2 4 2 3" xfId="12366" xr:uid="{619C7B81-683D-48D0-BBEC-F297602463FD}"/>
    <cellStyle name="Normal 4 3 3 2 2 4 3" xfId="5989" xr:uid="{00000000-0005-0000-0000-00006B140000}"/>
    <cellStyle name="Normal 4 3 3 2 2 4 3 2" xfId="14439" xr:uid="{C84A5710-21EB-4807-A59B-F7F18399A40E}"/>
    <cellStyle name="Normal 4 3 3 2 2 4 4" xfId="10221" xr:uid="{65B1E0A0-25EB-4106-8E79-BF39E5CD0637}"/>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EB7442F9-154F-43C6-9503-20CACE79AC21}"/>
    <cellStyle name="Normal 4 3 3 2 2 5 2 3" xfId="12779" xr:uid="{B38A8984-8D93-4373-A45D-97DE608A053F}"/>
    <cellStyle name="Normal 4 3 3 2 2 5 3" xfId="6402" xr:uid="{00000000-0005-0000-0000-00006F140000}"/>
    <cellStyle name="Normal 4 3 3 2 2 5 3 2" xfId="14852" xr:uid="{AA798D66-58AA-400A-B74C-14DB32D637DE}"/>
    <cellStyle name="Normal 4 3 3 2 2 5 4" xfId="10634" xr:uid="{8C46FAD0-2C86-426A-92D6-72B381FCA27A}"/>
    <cellStyle name="Normal 4 3 3 2 2 6" xfId="2532" xr:uid="{00000000-0005-0000-0000-000070140000}"/>
    <cellStyle name="Normal 4 3 3 2 2 6 2" xfId="6815" xr:uid="{00000000-0005-0000-0000-000071140000}"/>
    <cellStyle name="Normal 4 3 3 2 2 6 2 2" xfId="15265" xr:uid="{CE06E3E1-A7A5-4655-B33B-21FFB9D61624}"/>
    <cellStyle name="Normal 4 3 3 2 2 6 3" xfId="11047" xr:uid="{1D3D0147-53F3-4D83-AE5B-47CF72188E2C}"/>
    <cellStyle name="Normal 4 3 3 2 2 7" xfId="4750" xr:uid="{00000000-0005-0000-0000-000072140000}"/>
    <cellStyle name="Normal 4 3 3 2 2 7 2" xfId="13200" xr:uid="{AA54F24A-8840-4C36-B466-2CB41A88E7A7}"/>
    <cellStyle name="Normal 4 3 3 2 2 8" xfId="8982" xr:uid="{F378C66E-B96A-4A50-918F-D56491EBD6C7}"/>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D4785CCD-C6CB-4A27-A850-D78423B9F70A}"/>
    <cellStyle name="Normal 4 3 3 2 3 2 3" xfId="11539" xr:uid="{B56E2AC2-170C-48D9-9BB3-9A338F9A4063}"/>
    <cellStyle name="Normal 4 3 3 2 3 3" xfId="5162" xr:uid="{00000000-0005-0000-0000-000076140000}"/>
    <cellStyle name="Normal 4 3 3 2 3 3 2" xfId="13612" xr:uid="{C708FB43-7CAB-4292-A4C4-5881235544BF}"/>
    <cellStyle name="Normal 4 3 3 2 3 4" xfId="9394" xr:uid="{70E34B98-08B8-41D5-8F1F-456CC884E922}"/>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551946D6-1305-4B0C-A5C1-67A0A3C1D9F4}"/>
    <cellStyle name="Normal 4 3 3 2 4 2 3" xfId="11952" xr:uid="{E8E05C6D-24A6-478F-8FF9-7930A65E7925}"/>
    <cellStyle name="Normal 4 3 3 2 4 3" xfId="5575" xr:uid="{00000000-0005-0000-0000-00007A140000}"/>
    <cellStyle name="Normal 4 3 3 2 4 3 2" xfId="14025" xr:uid="{C6D4CF80-C4DE-440C-9A00-2950F7893014}"/>
    <cellStyle name="Normal 4 3 3 2 4 4" xfId="9807" xr:uid="{28EC092A-8D69-4459-9F54-2EF90AFDDAEC}"/>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F43466C9-9960-4040-B17F-AC5FA62F4076}"/>
    <cellStyle name="Normal 4 3 3 2 5 2 3" xfId="12365" xr:uid="{350F3E3A-8045-4B46-BDA1-3A904A171E3F}"/>
    <cellStyle name="Normal 4 3 3 2 5 3" xfId="5988" xr:uid="{00000000-0005-0000-0000-00007E140000}"/>
    <cellStyle name="Normal 4 3 3 2 5 3 2" xfId="14438" xr:uid="{29AAF7AF-C5D2-4575-9968-DAA40843F0C6}"/>
    <cellStyle name="Normal 4 3 3 2 5 4" xfId="10220" xr:uid="{7C9D0A81-EAB0-4754-B25C-593D5DE66515}"/>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16F2464A-3762-4823-B2F6-4DC06AE7AFB2}"/>
    <cellStyle name="Normal 4 3 3 2 6 2 3" xfId="12778" xr:uid="{8D783794-014E-4BE0-A0BF-FA9ABC3F9D00}"/>
    <cellStyle name="Normal 4 3 3 2 6 3" xfId="6401" xr:uid="{00000000-0005-0000-0000-000082140000}"/>
    <cellStyle name="Normal 4 3 3 2 6 3 2" xfId="14851" xr:uid="{7017FE9D-EF92-434D-ACCE-252447FB1C59}"/>
    <cellStyle name="Normal 4 3 3 2 6 4" xfId="10633" xr:uid="{895A73DA-1F92-4919-A83A-ED5C03B9D6C4}"/>
    <cellStyle name="Normal 4 3 3 2 7" xfId="2531" xr:uid="{00000000-0005-0000-0000-000083140000}"/>
    <cellStyle name="Normal 4 3 3 2 7 2" xfId="6814" xr:uid="{00000000-0005-0000-0000-000084140000}"/>
    <cellStyle name="Normal 4 3 3 2 7 2 2" xfId="15264" xr:uid="{759B56F7-0835-4D18-8204-2F28FF5DC56C}"/>
    <cellStyle name="Normal 4 3 3 2 7 3" xfId="11046" xr:uid="{D1B5F263-D92D-471C-8B37-4939F315692F}"/>
    <cellStyle name="Normal 4 3 3 2 8" xfId="4749" xr:uid="{00000000-0005-0000-0000-000085140000}"/>
    <cellStyle name="Normal 4 3 3 2 8 2" xfId="13199" xr:uid="{C25AB78C-2250-4F05-9EC4-BC308614A3CE}"/>
    <cellStyle name="Normal 4 3 3 2 9" xfId="8981" xr:uid="{E840C98D-182C-4334-ADB7-8BEABE7C712C}"/>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760D5097-9173-4E4A-97E8-5218E0875F94}"/>
    <cellStyle name="Normal 4 3 3 3 2 2 3" xfId="11541" xr:uid="{C7F77503-50E5-4E3D-88BD-40264889A41C}"/>
    <cellStyle name="Normal 4 3 3 3 2 3" xfId="5164" xr:uid="{00000000-0005-0000-0000-00008A140000}"/>
    <cellStyle name="Normal 4 3 3 3 2 3 2" xfId="13614" xr:uid="{B6102C1A-9907-41D2-9345-28248E82283E}"/>
    <cellStyle name="Normal 4 3 3 3 2 4" xfId="9396" xr:uid="{1A65F9E7-38E5-44B7-ABEE-4AEDCC5418FD}"/>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D1CCF924-8F0D-47EB-8B65-DD0940E21868}"/>
    <cellStyle name="Normal 4 3 3 3 3 2 3" xfId="11954" xr:uid="{E31DCDE1-4F63-412A-8B41-BFE51159A2A4}"/>
    <cellStyle name="Normal 4 3 3 3 3 3" xfId="5577" xr:uid="{00000000-0005-0000-0000-00008E140000}"/>
    <cellStyle name="Normal 4 3 3 3 3 3 2" xfId="14027" xr:uid="{D34C2C49-6594-42E6-B2C1-FC75FB0629C3}"/>
    <cellStyle name="Normal 4 3 3 3 3 4" xfId="9809" xr:uid="{E14087BA-23C0-49FA-ABC4-D2A5D7C61D4A}"/>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E528951B-ADDD-4985-B3B1-1F996EDCCA31}"/>
    <cellStyle name="Normal 4 3 3 3 4 2 3" xfId="12367" xr:uid="{99CA42BE-CFBC-4CA9-A8A1-7490EDAB42A9}"/>
    <cellStyle name="Normal 4 3 3 3 4 3" xfId="5990" xr:uid="{00000000-0005-0000-0000-000092140000}"/>
    <cellStyle name="Normal 4 3 3 3 4 3 2" xfId="14440" xr:uid="{25CFA8C0-F4A3-41BC-84CC-28F8FB7AE4D6}"/>
    <cellStyle name="Normal 4 3 3 3 4 4" xfId="10222" xr:uid="{224C80FC-1CF3-4BF1-8992-B884B06576FB}"/>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E7E56224-7240-4044-8E50-6A0C84A3C21C}"/>
    <cellStyle name="Normal 4 3 3 3 5 2 3" xfId="12780" xr:uid="{129706BB-3BE4-49EE-83C4-D99F3641E805}"/>
    <cellStyle name="Normal 4 3 3 3 5 3" xfId="6403" xr:uid="{00000000-0005-0000-0000-000096140000}"/>
    <cellStyle name="Normal 4 3 3 3 5 3 2" xfId="14853" xr:uid="{DCF18F7F-180E-440A-80C9-0945B4A434D6}"/>
    <cellStyle name="Normal 4 3 3 3 5 4" xfId="10635" xr:uid="{BB9A66CE-E07D-4025-921D-67A0F18D1B81}"/>
    <cellStyle name="Normal 4 3 3 3 6" xfId="2533" xr:uid="{00000000-0005-0000-0000-000097140000}"/>
    <cellStyle name="Normal 4 3 3 3 6 2" xfId="6816" xr:uid="{00000000-0005-0000-0000-000098140000}"/>
    <cellStyle name="Normal 4 3 3 3 6 2 2" xfId="15266" xr:uid="{414A7A41-ABDD-4EBB-BD83-CE2E40EEE05B}"/>
    <cellStyle name="Normal 4 3 3 3 6 3" xfId="11048" xr:uid="{963863FB-65DE-40DA-8182-CD73DB712868}"/>
    <cellStyle name="Normal 4 3 3 3 7" xfId="4751" xr:uid="{00000000-0005-0000-0000-000099140000}"/>
    <cellStyle name="Normal 4 3 3 3 7 2" xfId="13201" xr:uid="{2FDD2BE7-56D4-40DA-AC0D-D6021FCA1C83}"/>
    <cellStyle name="Normal 4 3 3 3 8" xfId="8983" xr:uid="{16580ADF-2DD6-45BF-ACCA-0AF493831CAF}"/>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B6B460DD-41EF-4216-8625-91C12991B6F9}"/>
    <cellStyle name="Normal 4 3 3 4 2 3" xfId="11538" xr:uid="{6C47D91F-1F7D-4931-950F-12D1C4275AC0}"/>
    <cellStyle name="Normal 4 3 3 4 3" xfId="5161" xr:uid="{00000000-0005-0000-0000-00009D140000}"/>
    <cellStyle name="Normal 4 3 3 4 3 2" xfId="13611" xr:uid="{42D4F023-EF27-4B8E-ABE7-E0CD3EE45F2E}"/>
    <cellStyle name="Normal 4 3 3 4 4" xfId="9393" xr:uid="{182B2B67-E66D-4D3B-9B4C-148E0D3A5BD1}"/>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86CEAAAC-045D-4E86-933C-0D2C007FA9B6}"/>
    <cellStyle name="Normal 4 3 3 5 2 3" xfId="11951" xr:uid="{B004ED3B-CFC8-49B9-AED8-CFCF64011520}"/>
    <cellStyle name="Normal 4 3 3 5 3" xfId="5574" xr:uid="{00000000-0005-0000-0000-0000A1140000}"/>
    <cellStyle name="Normal 4 3 3 5 3 2" xfId="14024" xr:uid="{A39C37F7-6150-4393-BA90-49062976D570}"/>
    <cellStyle name="Normal 4 3 3 5 4" xfId="9806" xr:uid="{94343D1E-B4CA-44E7-A4F5-CC652E098EAE}"/>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407E5AA4-6FC1-4A1A-B4CE-BB6B185015CF}"/>
    <cellStyle name="Normal 4 3 3 6 2 3" xfId="12364" xr:uid="{9F6DC69B-8BF0-4EE5-8623-59656E48AB2B}"/>
    <cellStyle name="Normal 4 3 3 6 3" xfId="5987" xr:uid="{00000000-0005-0000-0000-0000A5140000}"/>
    <cellStyle name="Normal 4 3 3 6 3 2" xfId="14437" xr:uid="{CBAD4D87-E172-47F6-8D04-5F2842A1A5B5}"/>
    <cellStyle name="Normal 4 3 3 6 4" xfId="10219" xr:uid="{7A12E200-A4C1-4E29-A613-2A8205713776}"/>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8634B89B-FF79-4E7C-9504-D39F9DE02BCF}"/>
    <cellStyle name="Normal 4 3 3 7 2 3" xfId="12777" xr:uid="{E8E16620-DEAE-408A-A5BE-9193BDCFBAFC}"/>
    <cellStyle name="Normal 4 3 3 7 3" xfId="6400" xr:uid="{00000000-0005-0000-0000-0000A9140000}"/>
    <cellStyle name="Normal 4 3 3 7 3 2" xfId="14850" xr:uid="{87A2A104-54B2-429E-A768-BA2433CD16BE}"/>
    <cellStyle name="Normal 4 3 3 7 4" xfId="10632" xr:uid="{44295D53-E7B4-4DE2-9CD4-57886F8FB9E2}"/>
    <cellStyle name="Normal 4 3 3 8" xfId="2530" xr:uid="{00000000-0005-0000-0000-0000AA140000}"/>
    <cellStyle name="Normal 4 3 3 8 2" xfId="6813" xr:uid="{00000000-0005-0000-0000-0000AB140000}"/>
    <cellStyle name="Normal 4 3 3 8 2 2" xfId="15263" xr:uid="{730E19ED-7BE3-4EC4-9217-182722C72D6C}"/>
    <cellStyle name="Normal 4 3 3 8 3" xfId="11045" xr:uid="{4C970F29-3F73-46A2-B8FC-358F3B36AAAF}"/>
    <cellStyle name="Normal 4 3 3 9" xfId="4748" xr:uid="{00000000-0005-0000-0000-0000AC140000}"/>
    <cellStyle name="Normal 4 3 3 9 2" xfId="13198" xr:uid="{F4E94384-8B5F-44BC-91DF-768B20596B20}"/>
    <cellStyle name="Normal 4 3 4" xfId="842" xr:uid="{00000000-0005-0000-0000-0000AD140000}"/>
    <cellStyle name="Normal 4 3 4 2" xfId="3079" xr:uid="{00000000-0005-0000-0000-0000AE140000}"/>
    <cellStyle name="Normal 4 3 4 2 2" xfId="7301" xr:uid="{00000000-0005-0000-0000-0000AF140000}"/>
    <cellStyle name="Normal 4 3 4 2 2 2" xfId="15751" xr:uid="{0A5E2A8C-E6B1-4C14-80DF-24F00F09B075}"/>
    <cellStyle name="Normal 4 3 4 2 3" xfId="11533" xr:uid="{C0F9BFBF-B972-47A0-86E3-801281161352}"/>
    <cellStyle name="Normal 4 3 4 3" xfId="5156" xr:uid="{00000000-0005-0000-0000-0000B0140000}"/>
    <cellStyle name="Normal 4 3 4 3 2" xfId="13606" xr:uid="{F57F34FE-AEBD-4A34-89FE-D386651AE9A1}"/>
    <cellStyle name="Normal 4 3 4 4" xfId="9388" xr:uid="{9E94ECF5-2A51-4D48-A740-8C882FAA792E}"/>
    <cellStyle name="Normal 4 3 5" xfId="1262" xr:uid="{00000000-0005-0000-0000-0000B1140000}"/>
    <cellStyle name="Normal 4 3 5 2" xfId="3492" xr:uid="{00000000-0005-0000-0000-0000B2140000}"/>
    <cellStyle name="Normal 4 3 5 2 2" xfId="7714" xr:uid="{00000000-0005-0000-0000-0000B3140000}"/>
    <cellStyle name="Normal 4 3 5 2 2 2" xfId="16164" xr:uid="{46FBA074-5DE7-40DF-9942-936A91F032D0}"/>
    <cellStyle name="Normal 4 3 5 2 3" xfId="11946" xr:uid="{F7CEAD77-4437-4BE7-B83F-117D769BE0FF}"/>
    <cellStyle name="Normal 4 3 5 3" xfId="5569" xr:uid="{00000000-0005-0000-0000-0000B4140000}"/>
    <cellStyle name="Normal 4 3 5 3 2" xfId="14019" xr:uid="{15200D5D-6540-43FB-AA5D-9FE0CD8D5012}"/>
    <cellStyle name="Normal 4 3 5 4" xfId="9801" xr:uid="{671F4769-79C5-4C63-B8E8-C90B9F95808A}"/>
    <cellStyle name="Normal 4 3 6" xfId="1675" xr:uid="{00000000-0005-0000-0000-0000B5140000}"/>
    <cellStyle name="Normal 4 3 6 2" xfId="3905" xr:uid="{00000000-0005-0000-0000-0000B6140000}"/>
    <cellStyle name="Normal 4 3 6 2 2" xfId="8127" xr:uid="{00000000-0005-0000-0000-0000B7140000}"/>
    <cellStyle name="Normal 4 3 6 2 2 2" xfId="16577" xr:uid="{66A8FC56-C061-4F07-920C-DB0A3F653FA7}"/>
    <cellStyle name="Normal 4 3 6 2 3" xfId="12359" xr:uid="{BFB7C3EE-68FD-4BA0-AA91-C211C42071DC}"/>
    <cellStyle name="Normal 4 3 6 3" xfId="5982" xr:uid="{00000000-0005-0000-0000-0000B8140000}"/>
    <cellStyle name="Normal 4 3 6 3 2" xfId="14432" xr:uid="{BAC6FAE1-8F72-41A8-8384-7B1287E07A20}"/>
    <cellStyle name="Normal 4 3 6 4" xfId="10214" xr:uid="{56182038-F779-4C8B-A14F-11E1ADEC128A}"/>
    <cellStyle name="Normal 4 3 7" xfId="2089" xr:uid="{00000000-0005-0000-0000-0000B9140000}"/>
    <cellStyle name="Normal 4 3 7 2" xfId="4318" xr:uid="{00000000-0005-0000-0000-0000BA140000}"/>
    <cellStyle name="Normal 4 3 7 2 2" xfId="8540" xr:uid="{00000000-0005-0000-0000-0000BB140000}"/>
    <cellStyle name="Normal 4 3 7 2 2 2" xfId="16990" xr:uid="{EE9BEA51-760A-4B18-93E9-6FC6E2EBBBF2}"/>
    <cellStyle name="Normal 4 3 7 2 3" xfId="12772" xr:uid="{6BB6AEA8-D75D-455D-A8DC-AA92F3CEF477}"/>
    <cellStyle name="Normal 4 3 7 3" xfId="6395" xr:uid="{00000000-0005-0000-0000-0000BC140000}"/>
    <cellStyle name="Normal 4 3 7 3 2" xfId="14845" xr:uid="{CE57FF8B-252E-4B0C-8724-EB35F99B9E7C}"/>
    <cellStyle name="Normal 4 3 7 4" xfId="10627" xr:uid="{84833025-67B7-4AEF-9581-C1C0EB13BD6B}"/>
    <cellStyle name="Normal 4 3 8" xfId="2525" xr:uid="{00000000-0005-0000-0000-0000BD140000}"/>
    <cellStyle name="Normal 4 3 8 2" xfId="6808" xr:uid="{00000000-0005-0000-0000-0000BE140000}"/>
    <cellStyle name="Normal 4 3 8 2 2" xfId="15258" xr:uid="{A05E1F85-2242-4719-BEE9-20BDFE2FBC5F}"/>
    <cellStyle name="Normal 4 3 8 3" xfId="11040" xr:uid="{F6C00662-E10D-44C2-A558-6B37DDC9A702}"/>
    <cellStyle name="Normal 4 3 9" xfId="4743" xr:uid="{00000000-0005-0000-0000-0000BF140000}"/>
    <cellStyle name="Normal 4 3 9 2" xfId="13193" xr:uid="{5C782093-D035-4FF7-9D49-BB79DFA79235}"/>
    <cellStyle name="Normal 4 4" xfId="378" xr:uid="{00000000-0005-0000-0000-0000C0140000}"/>
    <cellStyle name="Normal 4 4 10" xfId="2534" xr:uid="{00000000-0005-0000-0000-0000C1140000}"/>
    <cellStyle name="Normal 4 4 10 2" xfId="6817" xr:uid="{00000000-0005-0000-0000-0000C2140000}"/>
    <cellStyle name="Normal 4 4 10 2 2" xfId="15267" xr:uid="{88F41650-0E93-47E8-B20B-668A80D819FD}"/>
    <cellStyle name="Normal 4 4 10 3" xfId="11049" xr:uid="{77BFD582-62E4-4975-9537-C277C3AAB65C}"/>
    <cellStyle name="Normal 4 4 11" xfId="4752" xr:uid="{00000000-0005-0000-0000-0000C3140000}"/>
    <cellStyle name="Normal 4 4 11 2" xfId="13202" xr:uid="{222DC607-FC72-4E5E-8A0B-6B2C827979DC}"/>
    <cellStyle name="Normal 4 4 12" xfId="8984" xr:uid="{613D2934-0014-47CC-85F0-3387E927B05F}"/>
    <cellStyle name="Normal 4 4 2" xfId="379" xr:uid="{00000000-0005-0000-0000-0000C4140000}"/>
    <cellStyle name="Normal 4 4 2 10" xfId="4753" xr:uid="{00000000-0005-0000-0000-0000C5140000}"/>
    <cellStyle name="Normal 4 4 2 10 2" xfId="13203" xr:uid="{F095C271-44CC-4AE1-B681-892111F0E410}"/>
    <cellStyle name="Normal 4 4 2 11" xfId="8985" xr:uid="{2E1ED340-BC3C-498F-A822-665C5DB653A0}"/>
    <cellStyle name="Normal 4 4 2 2" xfId="380" xr:uid="{00000000-0005-0000-0000-0000C6140000}"/>
    <cellStyle name="Normal 4 4 2 2 10" xfId="8986" xr:uid="{4FEF10D4-C5FD-497E-B51C-BC7C3962049A}"/>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CB48CB70-91A4-4C22-8FFE-9B79348A3889}"/>
    <cellStyle name="Normal 4 4 2 2 2 2 2 2 3" xfId="11546" xr:uid="{5E921359-4DB1-4F9C-979C-1501F190DB17}"/>
    <cellStyle name="Normal 4 4 2 2 2 2 2 3" xfId="5169" xr:uid="{00000000-0005-0000-0000-0000CC140000}"/>
    <cellStyle name="Normal 4 4 2 2 2 2 2 3 2" xfId="13619" xr:uid="{1AC34993-B296-4FE4-8AD8-D01413FDCCD0}"/>
    <cellStyle name="Normal 4 4 2 2 2 2 2 4" xfId="9401" xr:uid="{6FD6A68F-5BFA-45D4-B431-4341DFD1DF59}"/>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D99B2DE5-C89F-4B71-BAA1-03E65A062EB0}"/>
    <cellStyle name="Normal 4 4 2 2 2 2 3 2 3" xfId="11959" xr:uid="{94F1506E-EE18-4718-9340-61D6027B9FF5}"/>
    <cellStyle name="Normal 4 4 2 2 2 2 3 3" xfId="5582" xr:uid="{00000000-0005-0000-0000-0000D0140000}"/>
    <cellStyle name="Normal 4 4 2 2 2 2 3 3 2" xfId="14032" xr:uid="{3C07BBAB-AD6A-4D1C-AF8C-B86C411BF58F}"/>
    <cellStyle name="Normal 4 4 2 2 2 2 3 4" xfId="9814" xr:uid="{96A3FA80-87C2-4539-89B1-F550DCA98302}"/>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06FA258E-703B-422F-A752-126935C346C1}"/>
    <cellStyle name="Normal 4 4 2 2 2 2 4 2 3" xfId="12372" xr:uid="{5E27F080-0366-45BA-863E-331958B5DD81}"/>
    <cellStyle name="Normal 4 4 2 2 2 2 4 3" xfId="5995" xr:uid="{00000000-0005-0000-0000-0000D4140000}"/>
    <cellStyle name="Normal 4 4 2 2 2 2 4 3 2" xfId="14445" xr:uid="{7CCF88BA-9414-487B-928F-45635EF3DBEF}"/>
    <cellStyle name="Normal 4 4 2 2 2 2 4 4" xfId="10227" xr:uid="{8923E1A2-A242-401A-8402-BD2EF2D4D984}"/>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AB09D463-2D06-4D0D-A30B-DAF7C3F640F6}"/>
    <cellStyle name="Normal 4 4 2 2 2 2 5 2 3" xfId="12785" xr:uid="{712EC283-C5CE-4880-A0D9-AE943EECCE0B}"/>
    <cellStyle name="Normal 4 4 2 2 2 2 5 3" xfId="6408" xr:uid="{00000000-0005-0000-0000-0000D8140000}"/>
    <cellStyle name="Normal 4 4 2 2 2 2 5 3 2" xfId="14858" xr:uid="{928ABE5D-67DC-4867-AE03-A391E71ABFF1}"/>
    <cellStyle name="Normal 4 4 2 2 2 2 5 4" xfId="10640" xr:uid="{D01DFE1B-6E47-4D59-BE3B-7BE9B4EA14A4}"/>
    <cellStyle name="Normal 4 4 2 2 2 2 6" xfId="2538" xr:uid="{00000000-0005-0000-0000-0000D9140000}"/>
    <cellStyle name="Normal 4 4 2 2 2 2 6 2" xfId="6821" xr:uid="{00000000-0005-0000-0000-0000DA140000}"/>
    <cellStyle name="Normal 4 4 2 2 2 2 6 2 2" xfId="15271" xr:uid="{6F8B58E7-5A0E-4EEE-B465-3A5EE92DA56D}"/>
    <cellStyle name="Normal 4 4 2 2 2 2 6 3" xfId="11053" xr:uid="{84E983EF-2749-42E8-8E66-90DD6FC0C2D7}"/>
    <cellStyle name="Normal 4 4 2 2 2 2 7" xfId="4756" xr:uid="{00000000-0005-0000-0000-0000DB140000}"/>
    <cellStyle name="Normal 4 4 2 2 2 2 7 2" xfId="13206" xr:uid="{3D9726C3-6C69-45D4-849F-E0E3137EC84A}"/>
    <cellStyle name="Normal 4 4 2 2 2 2 8" xfId="8988" xr:uid="{70A86659-EAE1-4256-8E53-A62E895AD32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0A16AFA5-3149-46BE-8D0D-ADD52F9009F6}"/>
    <cellStyle name="Normal 4 4 2 2 2 3 2 3" xfId="11545" xr:uid="{08201E25-5417-4A8F-8E46-F7299BA203D8}"/>
    <cellStyle name="Normal 4 4 2 2 2 3 3" xfId="5168" xr:uid="{00000000-0005-0000-0000-0000DF140000}"/>
    <cellStyle name="Normal 4 4 2 2 2 3 3 2" xfId="13618" xr:uid="{9EB6C045-9ADC-4C77-8487-894DFE086F8A}"/>
    <cellStyle name="Normal 4 4 2 2 2 3 4" xfId="9400" xr:uid="{8F9FC306-A01F-41D6-AE38-56110495A10F}"/>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8B4E81F6-A01D-4DD8-88E7-E88F2379062C}"/>
    <cellStyle name="Normal 4 4 2 2 2 4 2 3" xfId="11958" xr:uid="{A7A5B826-B4D6-4C01-A401-618912F3CF6A}"/>
    <cellStyle name="Normal 4 4 2 2 2 4 3" xfId="5581" xr:uid="{00000000-0005-0000-0000-0000E3140000}"/>
    <cellStyle name="Normal 4 4 2 2 2 4 3 2" xfId="14031" xr:uid="{B25DA581-6BDC-48EC-9F56-0FC23CEC9266}"/>
    <cellStyle name="Normal 4 4 2 2 2 4 4" xfId="9813" xr:uid="{40E52570-BA3E-4E46-9B60-07721A5477A5}"/>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EAD62C10-47DE-4848-964D-D3542109A887}"/>
    <cellStyle name="Normal 4 4 2 2 2 5 2 3" xfId="12371" xr:uid="{7F3FD40C-3879-44D8-AB68-4918DBE21829}"/>
    <cellStyle name="Normal 4 4 2 2 2 5 3" xfId="5994" xr:uid="{00000000-0005-0000-0000-0000E7140000}"/>
    <cellStyle name="Normal 4 4 2 2 2 5 3 2" xfId="14444" xr:uid="{2E54D720-3EAB-44AF-AF35-E4B885742652}"/>
    <cellStyle name="Normal 4 4 2 2 2 5 4" xfId="10226" xr:uid="{299C2B8A-568D-4D17-B743-6CA1468A8FE3}"/>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793B2770-8679-4E22-A050-8B879285FF2A}"/>
    <cellStyle name="Normal 4 4 2 2 2 6 2 3" xfId="12784" xr:uid="{AC80E4F4-AA95-4CD8-BC51-CFBC340A41EE}"/>
    <cellStyle name="Normal 4 4 2 2 2 6 3" xfId="6407" xr:uid="{00000000-0005-0000-0000-0000EB140000}"/>
    <cellStyle name="Normal 4 4 2 2 2 6 3 2" xfId="14857" xr:uid="{FB6F7A9F-B22C-4913-9555-6E6D79628927}"/>
    <cellStyle name="Normal 4 4 2 2 2 6 4" xfId="10639" xr:uid="{C3D0FC4E-91D1-4963-90FC-E04A6CA8C55B}"/>
    <cellStyle name="Normal 4 4 2 2 2 7" xfId="2537" xr:uid="{00000000-0005-0000-0000-0000EC140000}"/>
    <cellStyle name="Normal 4 4 2 2 2 7 2" xfId="6820" xr:uid="{00000000-0005-0000-0000-0000ED140000}"/>
    <cellStyle name="Normal 4 4 2 2 2 7 2 2" xfId="15270" xr:uid="{65A4780B-AF2A-4F06-8901-C2FD337BA39F}"/>
    <cellStyle name="Normal 4 4 2 2 2 7 3" xfId="11052" xr:uid="{C5B6E19A-CB0C-4282-8559-8713E8EBF5EE}"/>
    <cellStyle name="Normal 4 4 2 2 2 8" xfId="4755" xr:uid="{00000000-0005-0000-0000-0000EE140000}"/>
    <cellStyle name="Normal 4 4 2 2 2 8 2" xfId="13205" xr:uid="{AE760589-4F23-404F-A3D5-80B3A2A9B82B}"/>
    <cellStyle name="Normal 4 4 2 2 2 9" xfId="8987" xr:uid="{B7C2868E-37DE-423B-B130-C4256D46B857}"/>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A9370711-CD97-457C-827A-14A9CD635347}"/>
    <cellStyle name="Normal 4 4 2 2 3 2 2 3" xfId="11547" xr:uid="{627E1E49-A7C2-481C-86E8-6E5C06912FAF}"/>
    <cellStyle name="Normal 4 4 2 2 3 2 3" xfId="5170" xr:uid="{00000000-0005-0000-0000-0000F3140000}"/>
    <cellStyle name="Normal 4 4 2 2 3 2 3 2" xfId="13620" xr:uid="{819E8D58-8353-44C8-BC9A-361FD5F6EB86}"/>
    <cellStyle name="Normal 4 4 2 2 3 2 4" xfId="9402" xr:uid="{381758A2-E0AF-40F5-93F3-B7E1E584608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CE0D8405-279A-498A-94F8-71F30A0B0322}"/>
    <cellStyle name="Normal 4 4 2 2 3 3 2 3" xfId="11960" xr:uid="{FCF1360C-58EE-4A51-8FCB-29C4534A7E27}"/>
    <cellStyle name="Normal 4 4 2 2 3 3 3" xfId="5583" xr:uid="{00000000-0005-0000-0000-0000F7140000}"/>
    <cellStyle name="Normal 4 4 2 2 3 3 3 2" xfId="14033" xr:uid="{28918042-5770-49DC-9E38-FC8A7AA6394F}"/>
    <cellStyle name="Normal 4 4 2 2 3 3 4" xfId="9815" xr:uid="{B8BF2430-98C7-4F61-9EE8-8EE40A2DD346}"/>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B1CE473E-911D-4CA3-9324-551B90FFEEDC}"/>
    <cellStyle name="Normal 4 4 2 2 3 4 2 3" xfId="12373" xr:uid="{BF247952-FE88-4B48-9EAA-9826F732F454}"/>
    <cellStyle name="Normal 4 4 2 2 3 4 3" xfId="5996" xr:uid="{00000000-0005-0000-0000-0000FB140000}"/>
    <cellStyle name="Normal 4 4 2 2 3 4 3 2" xfId="14446" xr:uid="{61D5ECBC-B366-49CF-88C0-3495B4AC6FCE}"/>
    <cellStyle name="Normal 4 4 2 2 3 4 4" xfId="10228" xr:uid="{CF302ED4-E60B-4A8E-A0C3-C97B9B4C45EE}"/>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9E60AA2E-DEBA-49C1-8578-D47DC36AB344}"/>
    <cellStyle name="Normal 4 4 2 2 3 5 2 3" xfId="12786" xr:uid="{C9B23DD9-3884-4649-B513-8307798C8F0E}"/>
    <cellStyle name="Normal 4 4 2 2 3 5 3" xfId="6409" xr:uid="{00000000-0005-0000-0000-0000FF140000}"/>
    <cellStyle name="Normal 4 4 2 2 3 5 3 2" xfId="14859" xr:uid="{C4123756-846C-4AB9-B539-93555D541555}"/>
    <cellStyle name="Normal 4 4 2 2 3 5 4" xfId="10641" xr:uid="{D1367CE6-4DE8-47A4-9CE1-B4F4C2042BB7}"/>
    <cellStyle name="Normal 4 4 2 2 3 6" xfId="2539" xr:uid="{00000000-0005-0000-0000-000000150000}"/>
    <cellStyle name="Normal 4 4 2 2 3 6 2" xfId="6822" xr:uid="{00000000-0005-0000-0000-000001150000}"/>
    <cellStyle name="Normal 4 4 2 2 3 6 2 2" xfId="15272" xr:uid="{A88757A3-ABFE-4C72-A5F5-69B9EC86BC8A}"/>
    <cellStyle name="Normal 4 4 2 2 3 6 3" xfId="11054" xr:uid="{494780CB-EDA1-4C78-B97F-F5C6BFB17A69}"/>
    <cellStyle name="Normal 4 4 2 2 3 7" xfId="4757" xr:uid="{00000000-0005-0000-0000-000002150000}"/>
    <cellStyle name="Normal 4 4 2 2 3 7 2" xfId="13207" xr:uid="{193DCCEC-2DA8-4FF8-AC77-7858134A43C6}"/>
    <cellStyle name="Normal 4 4 2 2 3 8" xfId="8989" xr:uid="{3C9B33AF-1FD3-4140-B137-55A617A58950}"/>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29A8A182-43E5-481A-B011-652077761D59}"/>
    <cellStyle name="Normal 4 4 2 2 4 2 3" xfId="11544" xr:uid="{9BD0975B-A4DE-4A2D-8594-0DFE1FD1BA66}"/>
    <cellStyle name="Normal 4 4 2 2 4 3" xfId="5167" xr:uid="{00000000-0005-0000-0000-000006150000}"/>
    <cellStyle name="Normal 4 4 2 2 4 3 2" xfId="13617" xr:uid="{CB2008B0-DD6D-48FE-9C94-7EEBE026E811}"/>
    <cellStyle name="Normal 4 4 2 2 4 4" xfId="9399" xr:uid="{96CDE843-768C-4775-BAC8-E480007450BD}"/>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52617971-0361-428D-892F-B081D1271CA2}"/>
    <cellStyle name="Normal 4 4 2 2 5 2 3" xfId="11957" xr:uid="{D824B74E-8708-4EF7-8339-DE1D276CFFA7}"/>
    <cellStyle name="Normal 4 4 2 2 5 3" xfId="5580" xr:uid="{00000000-0005-0000-0000-00000A150000}"/>
    <cellStyle name="Normal 4 4 2 2 5 3 2" xfId="14030" xr:uid="{D3D5F295-7C38-4027-BF35-0E53EB4B3E81}"/>
    <cellStyle name="Normal 4 4 2 2 5 4" xfId="9812" xr:uid="{0A058465-C0E5-477C-8D94-106699939D8B}"/>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A5D67DD1-1D28-4931-8280-B085DF4805FF}"/>
    <cellStyle name="Normal 4 4 2 2 6 2 3" xfId="12370" xr:uid="{C4308149-624D-43F0-A03F-A15BA07067C7}"/>
    <cellStyle name="Normal 4 4 2 2 6 3" xfId="5993" xr:uid="{00000000-0005-0000-0000-00000E150000}"/>
    <cellStyle name="Normal 4 4 2 2 6 3 2" xfId="14443" xr:uid="{11F0FC4F-EF8C-42BE-9AE3-61D7A7AFCD10}"/>
    <cellStyle name="Normal 4 4 2 2 6 4" xfId="10225" xr:uid="{29745FCB-2AF4-491B-B23C-296111AC3DC4}"/>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5F88A64E-C0D5-4E37-9317-7887E9A85FC5}"/>
    <cellStyle name="Normal 4 4 2 2 7 2 3" xfId="12783" xr:uid="{7A4AD434-565A-4B77-A0C3-3C8C30D0BD94}"/>
    <cellStyle name="Normal 4 4 2 2 7 3" xfId="6406" xr:uid="{00000000-0005-0000-0000-000012150000}"/>
    <cellStyle name="Normal 4 4 2 2 7 3 2" xfId="14856" xr:uid="{D863389B-0AA6-4483-94E5-FE5338409952}"/>
    <cellStyle name="Normal 4 4 2 2 7 4" xfId="10638" xr:uid="{E3C55A1A-81CC-4709-8ED2-A09C3CC18989}"/>
    <cellStyle name="Normal 4 4 2 2 8" xfId="2536" xr:uid="{00000000-0005-0000-0000-000013150000}"/>
    <cellStyle name="Normal 4 4 2 2 8 2" xfId="6819" xr:uid="{00000000-0005-0000-0000-000014150000}"/>
    <cellStyle name="Normal 4 4 2 2 8 2 2" xfId="15269" xr:uid="{7E7A385A-D8CD-471C-9EA8-2147F151839F}"/>
    <cellStyle name="Normal 4 4 2 2 8 3" xfId="11051" xr:uid="{796BB2FB-008B-480E-8043-7AEEFB869174}"/>
    <cellStyle name="Normal 4 4 2 2 9" xfId="4754" xr:uid="{00000000-0005-0000-0000-000015150000}"/>
    <cellStyle name="Normal 4 4 2 2 9 2" xfId="13204" xr:uid="{4D3FB886-BE86-48CC-BE0C-94F5E979B98B}"/>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6682BD65-0FE3-4474-8F10-6C506387A3A4}"/>
    <cellStyle name="Normal 4 4 2 3 2 2 2 3" xfId="11549" xr:uid="{A679065F-2975-49BD-BD16-9FD1EC30BA18}"/>
    <cellStyle name="Normal 4 4 2 3 2 2 3" xfId="5172" xr:uid="{00000000-0005-0000-0000-00001B150000}"/>
    <cellStyle name="Normal 4 4 2 3 2 2 3 2" xfId="13622" xr:uid="{B6E6EDEF-8D96-4DBA-8BBA-E0845885DB20}"/>
    <cellStyle name="Normal 4 4 2 3 2 2 4" xfId="9404" xr:uid="{C9B57142-EDB8-4509-9F67-D9D9AB9FC5DD}"/>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9CEAE0CA-7CAD-41F1-AD00-DE9F42EA3B6C}"/>
    <cellStyle name="Normal 4 4 2 3 2 3 2 3" xfId="11962" xr:uid="{5F48B766-E2EB-49B8-A2FB-23E036A78DC2}"/>
    <cellStyle name="Normal 4 4 2 3 2 3 3" xfId="5585" xr:uid="{00000000-0005-0000-0000-00001F150000}"/>
    <cellStyle name="Normal 4 4 2 3 2 3 3 2" xfId="14035" xr:uid="{6FD38DB7-BFF3-4A00-B2F8-0CD4E40864FA}"/>
    <cellStyle name="Normal 4 4 2 3 2 3 4" xfId="9817" xr:uid="{327B9D89-FCC2-4F52-9D64-EF8E25D97A52}"/>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4D49FEBB-E115-4002-8733-360DEAE8B80C}"/>
    <cellStyle name="Normal 4 4 2 3 2 4 2 3" xfId="12375" xr:uid="{7724D551-275F-416D-B153-F5A59E475D13}"/>
    <cellStyle name="Normal 4 4 2 3 2 4 3" xfId="5998" xr:uid="{00000000-0005-0000-0000-000023150000}"/>
    <cellStyle name="Normal 4 4 2 3 2 4 3 2" xfId="14448" xr:uid="{401028C7-3AD2-4969-B204-66BA7E46A899}"/>
    <cellStyle name="Normal 4 4 2 3 2 4 4" xfId="10230" xr:uid="{16D7AA58-B722-4A4E-9522-F476DD605455}"/>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2B587B4E-4BFE-49D9-BE12-E35CE8F3A26C}"/>
    <cellStyle name="Normal 4 4 2 3 2 5 2 3" xfId="12788" xr:uid="{E80B847A-9C47-4977-8E6B-53389CA7C397}"/>
    <cellStyle name="Normal 4 4 2 3 2 5 3" xfId="6411" xr:uid="{00000000-0005-0000-0000-000027150000}"/>
    <cellStyle name="Normal 4 4 2 3 2 5 3 2" xfId="14861" xr:uid="{B4283ACD-5545-4C5D-BEF1-70243205B2DF}"/>
    <cellStyle name="Normal 4 4 2 3 2 5 4" xfId="10643" xr:uid="{4FFA20AA-B510-4ADA-9DC1-7D518F56BD58}"/>
    <cellStyle name="Normal 4 4 2 3 2 6" xfId="2541" xr:uid="{00000000-0005-0000-0000-000028150000}"/>
    <cellStyle name="Normal 4 4 2 3 2 6 2" xfId="6824" xr:uid="{00000000-0005-0000-0000-000029150000}"/>
    <cellStyle name="Normal 4 4 2 3 2 6 2 2" xfId="15274" xr:uid="{8094BE92-3718-45F6-92D0-D091AB14746D}"/>
    <cellStyle name="Normal 4 4 2 3 2 6 3" xfId="11056" xr:uid="{2C631DAC-9C3D-433C-8795-CABFA2C04508}"/>
    <cellStyle name="Normal 4 4 2 3 2 7" xfId="4759" xr:uid="{00000000-0005-0000-0000-00002A150000}"/>
    <cellStyle name="Normal 4 4 2 3 2 7 2" xfId="13209" xr:uid="{9FEB185A-4277-4A6E-9CB8-68B3B5DE25BE}"/>
    <cellStyle name="Normal 4 4 2 3 2 8" xfId="8991" xr:uid="{BA3909BB-570D-4CB2-BADB-B3757B0B3B91}"/>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B32CC637-FFEA-49C7-8677-CD96914D2C61}"/>
    <cellStyle name="Normal 4 4 2 3 3 2 3" xfId="11548" xr:uid="{16752AD7-A346-4FD2-8AC2-EB0819A39770}"/>
    <cellStyle name="Normal 4 4 2 3 3 3" xfId="5171" xr:uid="{00000000-0005-0000-0000-00002E150000}"/>
    <cellStyle name="Normal 4 4 2 3 3 3 2" xfId="13621" xr:uid="{99745A61-78EF-4F60-B522-DDB9BC8FDE8F}"/>
    <cellStyle name="Normal 4 4 2 3 3 4" xfId="9403" xr:uid="{D6F3369B-36EE-4C97-9D71-97637858D512}"/>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D951F617-D9A5-463D-85DE-33BDD0344E05}"/>
    <cellStyle name="Normal 4 4 2 3 4 2 3" xfId="11961" xr:uid="{984D17E6-48E7-4184-A5BF-58EFC8818773}"/>
    <cellStyle name="Normal 4 4 2 3 4 3" xfId="5584" xr:uid="{00000000-0005-0000-0000-000032150000}"/>
    <cellStyle name="Normal 4 4 2 3 4 3 2" xfId="14034" xr:uid="{7A8EE963-86BC-4B11-BED5-9EEB697173FD}"/>
    <cellStyle name="Normal 4 4 2 3 4 4" xfId="9816" xr:uid="{CCEA4A08-CC88-4A94-919C-0215DDA31147}"/>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1982E12E-31B4-4463-A118-3E69E3115E38}"/>
    <cellStyle name="Normal 4 4 2 3 5 2 3" xfId="12374" xr:uid="{0C00EE4F-1710-41AC-80A9-6E91037312E0}"/>
    <cellStyle name="Normal 4 4 2 3 5 3" xfId="5997" xr:uid="{00000000-0005-0000-0000-000036150000}"/>
    <cellStyle name="Normal 4 4 2 3 5 3 2" xfId="14447" xr:uid="{71EF12F0-DAC3-4C8D-A4DD-5B03CAB24C64}"/>
    <cellStyle name="Normal 4 4 2 3 5 4" xfId="10229" xr:uid="{E22742E0-F116-44D6-A6CB-A68C378A4066}"/>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D70A050F-B4C5-439F-B33E-519AE1E65B34}"/>
    <cellStyle name="Normal 4 4 2 3 6 2 3" xfId="12787" xr:uid="{9B866F6F-F6AB-496D-B2C5-6E704D5754AA}"/>
    <cellStyle name="Normal 4 4 2 3 6 3" xfId="6410" xr:uid="{00000000-0005-0000-0000-00003A150000}"/>
    <cellStyle name="Normal 4 4 2 3 6 3 2" xfId="14860" xr:uid="{F160F6E0-3711-47A5-B339-B3F68B4D2099}"/>
    <cellStyle name="Normal 4 4 2 3 6 4" xfId="10642" xr:uid="{606A7B15-4D98-48B1-91FB-6BE2BD5ADF28}"/>
    <cellStyle name="Normal 4 4 2 3 7" xfId="2540" xr:uid="{00000000-0005-0000-0000-00003B150000}"/>
    <cellStyle name="Normal 4 4 2 3 7 2" xfId="6823" xr:uid="{00000000-0005-0000-0000-00003C150000}"/>
    <cellStyle name="Normal 4 4 2 3 7 2 2" xfId="15273" xr:uid="{3A69822D-67A8-479B-BEA7-97D9FFC0D7F7}"/>
    <cellStyle name="Normal 4 4 2 3 7 3" xfId="11055" xr:uid="{418DC45E-4D89-43F8-B71E-57CA835419C3}"/>
    <cellStyle name="Normal 4 4 2 3 8" xfId="4758" xr:uid="{00000000-0005-0000-0000-00003D150000}"/>
    <cellStyle name="Normal 4 4 2 3 8 2" xfId="13208" xr:uid="{8A2D8259-C89A-4C34-B35D-DF1A17F43A5E}"/>
    <cellStyle name="Normal 4 4 2 3 9" xfId="8990" xr:uid="{10355137-4B12-418E-98C3-DEA38317DF5E}"/>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589613CC-6E13-4F92-8E97-6CEB34F179B2}"/>
    <cellStyle name="Normal 4 4 2 4 2 2 3" xfId="11550" xr:uid="{FB15463B-7B05-47EC-9E03-61393EC2458A}"/>
    <cellStyle name="Normal 4 4 2 4 2 3" xfId="5173" xr:uid="{00000000-0005-0000-0000-000042150000}"/>
    <cellStyle name="Normal 4 4 2 4 2 3 2" xfId="13623" xr:uid="{2F6B5016-8618-4272-B155-CCF5FEF77472}"/>
    <cellStyle name="Normal 4 4 2 4 2 4" xfId="9405" xr:uid="{BBB82251-497A-4EEF-A0B5-75D51BBC921E}"/>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F5E2D7FC-40FB-4005-87DF-E2C63A475D47}"/>
    <cellStyle name="Normal 4 4 2 4 3 2 3" xfId="11963" xr:uid="{9AC5F729-3EB0-4887-BF2D-0884DDF92B7B}"/>
    <cellStyle name="Normal 4 4 2 4 3 3" xfId="5586" xr:uid="{00000000-0005-0000-0000-000046150000}"/>
    <cellStyle name="Normal 4 4 2 4 3 3 2" xfId="14036" xr:uid="{33D54086-17F5-4A2A-A16E-163BFB3DD0D6}"/>
    <cellStyle name="Normal 4 4 2 4 3 4" xfId="9818" xr:uid="{7733B3BE-B49C-4B84-82B8-AFBBA2EACFB8}"/>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D3C255F0-D83F-4B7C-9C7B-53C2809185A3}"/>
    <cellStyle name="Normal 4 4 2 4 4 2 3" xfId="12376" xr:uid="{5C7D229A-5A30-429E-9CE2-09072379A6FF}"/>
    <cellStyle name="Normal 4 4 2 4 4 3" xfId="5999" xr:uid="{00000000-0005-0000-0000-00004A150000}"/>
    <cellStyle name="Normal 4 4 2 4 4 3 2" xfId="14449" xr:uid="{BB1FFC7D-4113-425C-9D35-AEC1DCA09327}"/>
    <cellStyle name="Normal 4 4 2 4 4 4" xfId="10231" xr:uid="{24AE1907-9983-4B8B-AD0B-AA425FE34F4D}"/>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859DF532-1FB5-40FA-9E9A-471E21A0C940}"/>
    <cellStyle name="Normal 4 4 2 4 5 2 3" xfId="12789" xr:uid="{F26FFD92-8638-4BBA-9A0B-3CB8A16EFF84}"/>
    <cellStyle name="Normal 4 4 2 4 5 3" xfId="6412" xr:uid="{00000000-0005-0000-0000-00004E150000}"/>
    <cellStyle name="Normal 4 4 2 4 5 3 2" xfId="14862" xr:uid="{B3B62A3E-1F89-40FC-B808-F7B271676CFC}"/>
    <cellStyle name="Normal 4 4 2 4 5 4" xfId="10644" xr:uid="{7C362AC7-8761-4B3D-A364-1612688F5DED}"/>
    <cellStyle name="Normal 4 4 2 4 6" xfId="2542" xr:uid="{00000000-0005-0000-0000-00004F150000}"/>
    <cellStyle name="Normal 4 4 2 4 6 2" xfId="6825" xr:uid="{00000000-0005-0000-0000-000050150000}"/>
    <cellStyle name="Normal 4 4 2 4 6 2 2" xfId="15275" xr:uid="{94F5F58F-DA44-4A09-8F53-7F98493BD6DD}"/>
    <cellStyle name="Normal 4 4 2 4 6 3" xfId="11057" xr:uid="{D6785620-D234-4E42-973D-A284A70E1649}"/>
    <cellStyle name="Normal 4 4 2 4 7" xfId="4760" xr:uid="{00000000-0005-0000-0000-000051150000}"/>
    <cellStyle name="Normal 4 4 2 4 7 2" xfId="13210" xr:uid="{5C66718D-4029-4EC3-9E4A-FA9786D0E995}"/>
    <cellStyle name="Normal 4 4 2 4 8" xfId="8992" xr:uid="{4A299842-C712-49A0-86CF-7858597E2B16}"/>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1F5767EE-B17B-441F-A434-DDA98FEC46FF}"/>
    <cellStyle name="Normal 4 4 2 5 2 3" xfId="11543" xr:uid="{0AD73FCF-1ECD-40E1-BE13-5BBA45D1AA49}"/>
    <cellStyle name="Normal 4 4 2 5 3" xfId="5166" xr:uid="{00000000-0005-0000-0000-000055150000}"/>
    <cellStyle name="Normal 4 4 2 5 3 2" xfId="13616" xr:uid="{F301B914-4FB3-4A99-8C46-3057423D4FFB}"/>
    <cellStyle name="Normal 4 4 2 5 4" xfId="9398" xr:uid="{47C34ECD-2852-4836-BA9C-BA2D741D2FF8}"/>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708E6A63-5A9C-430C-8D5C-CB0BDCAB5922}"/>
    <cellStyle name="Normal 4 4 2 6 2 3" xfId="11956" xr:uid="{3F53CF8D-A796-4A90-85B8-A318696D0827}"/>
    <cellStyle name="Normal 4 4 2 6 3" xfId="5579" xr:uid="{00000000-0005-0000-0000-000059150000}"/>
    <cellStyle name="Normal 4 4 2 6 3 2" xfId="14029" xr:uid="{96D07E30-0232-40F5-88D2-49A3FE132257}"/>
    <cellStyle name="Normal 4 4 2 6 4" xfId="9811" xr:uid="{E52FBF9E-06DD-4CAC-B0D8-98031EFD9E25}"/>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A7CF9C55-767A-45E0-B5B2-5EE80A428151}"/>
    <cellStyle name="Normal 4 4 2 7 2 3" xfId="12369" xr:uid="{EC252AAE-CD60-449A-9628-7388AB82535E}"/>
    <cellStyle name="Normal 4 4 2 7 3" xfId="5992" xr:uid="{00000000-0005-0000-0000-00005D150000}"/>
    <cellStyle name="Normal 4 4 2 7 3 2" xfId="14442" xr:uid="{22F3098D-9829-49B9-B3BF-8C051EE81F66}"/>
    <cellStyle name="Normal 4 4 2 7 4" xfId="10224" xr:uid="{1C6EBF76-4C4D-441F-9372-69E39402AAA3}"/>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E17F20D3-C12C-47F5-85C6-442EAEF92165}"/>
    <cellStyle name="Normal 4 4 2 8 2 3" xfId="12782" xr:uid="{04717AF1-73D9-486D-9667-5216BEA2F444}"/>
    <cellStyle name="Normal 4 4 2 8 3" xfId="6405" xr:uid="{00000000-0005-0000-0000-000061150000}"/>
    <cellStyle name="Normal 4 4 2 8 3 2" xfId="14855" xr:uid="{188069B2-02E2-42BE-B804-DD0EAAEF3D2D}"/>
    <cellStyle name="Normal 4 4 2 8 4" xfId="10637" xr:uid="{7AF42A93-8A41-4C72-8AAA-3034D5B18200}"/>
    <cellStyle name="Normal 4 4 2 9" xfId="2535" xr:uid="{00000000-0005-0000-0000-000062150000}"/>
    <cellStyle name="Normal 4 4 2 9 2" xfId="6818" xr:uid="{00000000-0005-0000-0000-000063150000}"/>
    <cellStyle name="Normal 4 4 2 9 2 2" xfId="15268" xr:uid="{312CB162-66AC-4F40-B87C-A0E0251AFA85}"/>
    <cellStyle name="Normal 4 4 2 9 3" xfId="11050" xr:uid="{8C98D740-7BFA-4085-8DBD-B988FDA250B4}"/>
    <cellStyle name="Normal 4 4 3" xfId="387" xr:uid="{00000000-0005-0000-0000-000064150000}"/>
    <cellStyle name="Normal 4 4 3 10" xfId="8993" xr:uid="{7E3FC912-7553-4E23-865F-4E232080CD5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99974215-6E70-4C6F-82F9-4968824AEF0F}"/>
    <cellStyle name="Normal 4 4 3 2 2 2 2 3" xfId="11553" xr:uid="{C6AC534C-5CF9-479E-BA1F-0DCA98B82E6C}"/>
    <cellStyle name="Normal 4 4 3 2 2 2 3" xfId="5176" xr:uid="{00000000-0005-0000-0000-00006A150000}"/>
    <cellStyle name="Normal 4 4 3 2 2 2 3 2" xfId="13626" xr:uid="{36AD882A-56C6-411A-8635-8FD4ECE8382F}"/>
    <cellStyle name="Normal 4 4 3 2 2 2 4" xfId="9408" xr:uid="{D800FA07-0103-4CD9-AF5E-CE5478AE3027}"/>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18526543-D953-46CC-BDE1-E4369DD15C2A}"/>
    <cellStyle name="Normal 4 4 3 2 2 3 2 3" xfId="11966" xr:uid="{3CEB5D5D-D508-46F0-A110-FA4459B2FB2C}"/>
    <cellStyle name="Normal 4 4 3 2 2 3 3" xfId="5589" xr:uid="{00000000-0005-0000-0000-00006E150000}"/>
    <cellStyle name="Normal 4 4 3 2 2 3 3 2" xfId="14039" xr:uid="{5E6F90BE-3BC0-44AC-ACD3-AF7976CED93A}"/>
    <cellStyle name="Normal 4 4 3 2 2 3 4" xfId="9821" xr:uid="{02278482-4DFA-4822-9D52-2DF75E399B0E}"/>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E9344BC6-F168-45DB-8DF2-0502496ACABF}"/>
    <cellStyle name="Normal 4 4 3 2 2 4 2 3" xfId="12379" xr:uid="{C814F088-2FF6-4992-BEDF-BB95ACEE6ABE}"/>
    <cellStyle name="Normal 4 4 3 2 2 4 3" xfId="6002" xr:uid="{00000000-0005-0000-0000-000072150000}"/>
    <cellStyle name="Normal 4 4 3 2 2 4 3 2" xfId="14452" xr:uid="{0264A6B3-1C07-47F8-9CBA-2C3893347AB9}"/>
    <cellStyle name="Normal 4 4 3 2 2 4 4" xfId="10234" xr:uid="{A414374C-3D7F-4F2B-98A2-69E158662F02}"/>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22F1488F-DBB6-475D-9EFD-D04BC5538C18}"/>
    <cellStyle name="Normal 4 4 3 2 2 5 2 3" xfId="12792" xr:uid="{30A96F6A-45E1-4D8C-8EEC-B0F90B332912}"/>
    <cellStyle name="Normal 4 4 3 2 2 5 3" xfId="6415" xr:uid="{00000000-0005-0000-0000-000076150000}"/>
    <cellStyle name="Normal 4 4 3 2 2 5 3 2" xfId="14865" xr:uid="{FF77E7F2-4EAF-4A01-8E3C-2534493CA1FB}"/>
    <cellStyle name="Normal 4 4 3 2 2 5 4" xfId="10647" xr:uid="{101CF5D4-3EB3-420B-B785-34561C051F17}"/>
    <cellStyle name="Normal 4 4 3 2 2 6" xfId="2545" xr:uid="{00000000-0005-0000-0000-000077150000}"/>
    <cellStyle name="Normal 4 4 3 2 2 6 2" xfId="6828" xr:uid="{00000000-0005-0000-0000-000078150000}"/>
    <cellStyle name="Normal 4 4 3 2 2 6 2 2" xfId="15278" xr:uid="{D2E69FB7-F31D-4051-A288-F8F88098972A}"/>
    <cellStyle name="Normal 4 4 3 2 2 6 3" xfId="11060" xr:uid="{695E6E0E-79D6-40E3-9FC9-BFB683179E8E}"/>
    <cellStyle name="Normal 4 4 3 2 2 7" xfId="4763" xr:uid="{00000000-0005-0000-0000-000079150000}"/>
    <cellStyle name="Normal 4 4 3 2 2 7 2" xfId="13213" xr:uid="{920713C3-B948-4134-85B9-AD4810655690}"/>
    <cellStyle name="Normal 4 4 3 2 2 8" xfId="8995" xr:uid="{3C8C7079-EBB8-4453-AC8A-DE942FC42CC2}"/>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55DCBA07-ECD4-4C5F-9C40-97D9D6F8D7D2}"/>
    <cellStyle name="Normal 4 4 3 2 3 2 3" xfId="11552" xr:uid="{B3AB3489-191B-49FD-97F5-E450169A6948}"/>
    <cellStyle name="Normal 4 4 3 2 3 3" xfId="5175" xr:uid="{00000000-0005-0000-0000-00007D150000}"/>
    <cellStyle name="Normal 4 4 3 2 3 3 2" xfId="13625" xr:uid="{2A26DA5B-3F0D-4186-84DA-CB8E3A07C9E7}"/>
    <cellStyle name="Normal 4 4 3 2 3 4" xfId="9407" xr:uid="{5A4C365F-5DA6-45B7-A24D-810D68C075E3}"/>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A4E56301-6DEB-4AE0-B136-6FAF6CAB34B4}"/>
    <cellStyle name="Normal 4 4 3 2 4 2 3" xfId="11965" xr:uid="{F42B159A-212C-4D80-A7C0-AC523168EB02}"/>
    <cellStyle name="Normal 4 4 3 2 4 3" xfId="5588" xr:uid="{00000000-0005-0000-0000-000081150000}"/>
    <cellStyle name="Normal 4 4 3 2 4 3 2" xfId="14038" xr:uid="{3E5145CE-06A7-48C5-BFF3-E3DF6C6E9E00}"/>
    <cellStyle name="Normal 4 4 3 2 4 4" xfId="9820" xr:uid="{77BAEC45-FF3F-4720-8E55-CF81DEB5F934}"/>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3401876D-694F-4391-9A19-107E982F9DDB}"/>
    <cellStyle name="Normal 4 4 3 2 5 2 3" xfId="12378" xr:uid="{4A495248-4F0F-4DE9-9F4E-49702C500905}"/>
    <cellStyle name="Normal 4 4 3 2 5 3" xfId="6001" xr:uid="{00000000-0005-0000-0000-000085150000}"/>
    <cellStyle name="Normal 4 4 3 2 5 3 2" xfId="14451" xr:uid="{BD0F788D-B02D-486B-85BB-7F3C8553323A}"/>
    <cellStyle name="Normal 4 4 3 2 5 4" xfId="10233" xr:uid="{326FAF82-7715-439D-A402-50D6E65C555B}"/>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C7DB2C08-C332-4E6F-9C6C-DBD2F39B73FC}"/>
    <cellStyle name="Normal 4 4 3 2 6 2 3" xfId="12791" xr:uid="{369557C8-5BA3-4637-8740-2D2637BACA96}"/>
    <cellStyle name="Normal 4 4 3 2 6 3" xfId="6414" xr:uid="{00000000-0005-0000-0000-000089150000}"/>
    <cellStyle name="Normal 4 4 3 2 6 3 2" xfId="14864" xr:uid="{6E9A9AEB-8315-412F-B70B-CDAFB959D17D}"/>
    <cellStyle name="Normal 4 4 3 2 6 4" xfId="10646" xr:uid="{526487C8-2975-4A03-8C34-781B047F9F43}"/>
    <cellStyle name="Normal 4 4 3 2 7" xfId="2544" xr:uid="{00000000-0005-0000-0000-00008A150000}"/>
    <cellStyle name="Normal 4 4 3 2 7 2" xfId="6827" xr:uid="{00000000-0005-0000-0000-00008B150000}"/>
    <cellStyle name="Normal 4 4 3 2 7 2 2" xfId="15277" xr:uid="{605DCAF3-1F58-41C0-838F-27C182E07E05}"/>
    <cellStyle name="Normal 4 4 3 2 7 3" xfId="11059" xr:uid="{74E4F9E3-8D34-4F3A-9E6D-62F0CA4BEC13}"/>
    <cellStyle name="Normal 4 4 3 2 8" xfId="4762" xr:uid="{00000000-0005-0000-0000-00008C150000}"/>
    <cellStyle name="Normal 4 4 3 2 8 2" xfId="13212" xr:uid="{9A35BE31-9D05-4CD2-9586-44050806D604}"/>
    <cellStyle name="Normal 4 4 3 2 9" xfId="8994" xr:uid="{0D685A85-42B9-4704-9BE9-978BB9C68EE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E3DE58BA-E468-4BC1-A06F-9D55299F245B}"/>
    <cellStyle name="Normal 4 4 3 3 2 2 3" xfId="11554" xr:uid="{D6441116-E731-4E2B-841E-2B732FC399A2}"/>
    <cellStyle name="Normal 4 4 3 3 2 3" xfId="5177" xr:uid="{00000000-0005-0000-0000-000091150000}"/>
    <cellStyle name="Normal 4 4 3 3 2 3 2" xfId="13627" xr:uid="{7E32B08D-0AB1-4D98-9C2E-376094173628}"/>
    <cellStyle name="Normal 4 4 3 3 2 4" xfId="9409" xr:uid="{F7B44F20-CB44-4B3A-BB3C-DF61814265CA}"/>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6969D60C-1C79-4C44-8964-C8EB48B2E160}"/>
    <cellStyle name="Normal 4 4 3 3 3 2 3" xfId="11967" xr:uid="{E06FA33D-3EEF-4C09-A72F-8C23E56CD92A}"/>
    <cellStyle name="Normal 4 4 3 3 3 3" xfId="5590" xr:uid="{00000000-0005-0000-0000-000095150000}"/>
    <cellStyle name="Normal 4 4 3 3 3 3 2" xfId="14040" xr:uid="{BD892BE3-BBC0-4594-81A0-5DC767BE04E9}"/>
    <cellStyle name="Normal 4 4 3 3 3 4" xfId="9822" xr:uid="{9AAA26B1-CC55-4619-A4EE-990E17FE352E}"/>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87AD0412-55C2-4BA7-A3DE-C989DB8E0998}"/>
    <cellStyle name="Normal 4 4 3 3 4 2 3" xfId="12380" xr:uid="{61A13538-10A1-47FF-8744-60AB3D45025F}"/>
    <cellStyle name="Normal 4 4 3 3 4 3" xfId="6003" xr:uid="{00000000-0005-0000-0000-000099150000}"/>
    <cellStyle name="Normal 4 4 3 3 4 3 2" xfId="14453" xr:uid="{665A50B7-47EF-4695-BD18-791E07BE8530}"/>
    <cellStyle name="Normal 4 4 3 3 4 4" xfId="10235" xr:uid="{7593D48F-E62F-477A-A98E-0079CE67EDD7}"/>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056C4553-414C-42E1-BF83-C19DB4A9425C}"/>
    <cellStyle name="Normal 4 4 3 3 5 2 3" xfId="12793" xr:uid="{7FD777A8-E904-46C9-BC75-CF47F5934D91}"/>
    <cellStyle name="Normal 4 4 3 3 5 3" xfId="6416" xr:uid="{00000000-0005-0000-0000-00009D150000}"/>
    <cellStyle name="Normal 4 4 3 3 5 3 2" xfId="14866" xr:uid="{6BC51F51-F07E-4A63-8B52-C00242ABD718}"/>
    <cellStyle name="Normal 4 4 3 3 5 4" xfId="10648" xr:uid="{588D658A-EA09-4CC9-91F0-970B59061251}"/>
    <cellStyle name="Normal 4 4 3 3 6" xfId="2546" xr:uid="{00000000-0005-0000-0000-00009E150000}"/>
    <cellStyle name="Normal 4 4 3 3 6 2" xfId="6829" xr:uid="{00000000-0005-0000-0000-00009F150000}"/>
    <cellStyle name="Normal 4 4 3 3 6 2 2" xfId="15279" xr:uid="{60B799AA-6180-4F18-AF45-E4233FA155E7}"/>
    <cellStyle name="Normal 4 4 3 3 6 3" xfId="11061" xr:uid="{05C73410-7F14-484D-BFB4-BD0EA5412C06}"/>
    <cellStyle name="Normal 4 4 3 3 7" xfId="4764" xr:uid="{00000000-0005-0000-0000-0000A0150000}"/>
    <cellStyle name="Normal 4 4 3 3 7 2" xfId="13214" xr:uid="{F2726294-1365-4827-A362-410B8744F6C5}"/>
    <cellStyle name="Normal 4 4 3 3 8" xfId="8996" xr:uid="{2008A1A2-268E-4452-B18C-1CC8427FEC16}"/>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6DDCDCFB-ADBE-47B7-B524-FE660C7006B1}"/>
    <cellStyle name="Normal 4 4 3 4 2 3" xfId="11551" xr:uid="{688A52B5-EC8D-4487-828F-CC84CA3BEEEA}"/>
    <cellStyle name="Normal 4 4 3 4 3" xfId="5174" xr:uid="{00000000-0005-0000-0000-0000A4150000}"/>
    <cellStyle name="Normal 4 4 3 4 3 2" xfId="13624" xr:uid="{99667F24-458F-4913-BBA7-0F9AFDF99624}"/>
    <cellStyle name="Normal 4 4 3 4 4" xfId="9406" xr:uid="{1801D8B7-8775-48AE-9EE0-78A21CF0ED56}"/>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6BBD1A6E-EC6A-4C00-83E2-59454AA428E6}"/>
    <cellStyle name="Normal 4 4 3 5 2 3" xfId="11964" xr:uid="{E310A366-1AA9-4F9A-B856-D0A98163BA67}"/>
    <cellStyle name="Normal 4 4 3 5 3" xfId="5587" xr:uid="{00000000-0005-0000-0000-0000A8150000}"/>
    <cellStyle name="Normal 4 4 3 5 3 2" xfId="14037" xr:uid="{52024F37-E411-4E88-B712-FC58E51BA4D5}"/>
    <cellStyle name="Normal 4 4 3 5 4" xfId="9819" xr:uid="{1FE0724C-074A-444F-BA5F-57BF3709EF8B}"/>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E1B2E5B4-6D0B-469A-AFA7-5323422D4F74}"/>
    <cellStyle name="Normal 4 4 3 6 2 3" xfId="12377" xr:uid="{CB3D3BC6-C54A-4690-820D-4F095A724C3E}"/>
    <cellStyle name="Normal 4 4 3 6 3" xfId="6000" xr:uid="{00000000-0005-0000-0000-0000AC150000}"/>
    <cellStyle name="Normal 4 4 3 6 3 2" xfId="14450" xr:uid="{F18B6F7B-25B4-4EDC-A0F6-95B32714D270}"/>
    <cellStyle name="Normal 4 4 3 6 4" xfId="10232" xr:uid="{0AD3B127-1CC8-4363-85CA-CE3E48A16ED2}"/>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68EB5CC8-36A7-4FEF-89AB-271B043317D8}"/>
    <cellStyle name="Normal 4 4 3 7 2 3" xfId="12790" xr:uid="{5102F731-FFCB-4E11-B154-732E60486132}"/>
    <cellStyle name="Normal 4 4 3 7 3" xfId="6413" xr:uid="{00000000-0005-0000-0000-0000B0150000}"/>
    <cellStyle name="Normal 4 4 3 7 3 2" xfId="14863" xr:uid="{7222137E-E777-48B0-ABBD-A825A5956816}"/>
    <cellStyle name="Normal 4 4 3 7 4" xfId="10645" xr:uid="{A85CDF4E-C58A-47E5-B647-18E03B677860}"/>
    <cellStyle name="Normal 4 4 3 8" xfId="2543" xr:uid="{00000000-0005-0000-0000-0000B1150000}"/>
    <cellStyle name="Normal 4 4 3 8 2" xfId="6826" xr:uid="{00000000-0005-0000-0000-0000B2150000}"/>
    <cellStyle name="Normal 4 4 3 8 2 2" xfId="15276" xr:uid="{7EC416D8-CE05-4431-9730-7EB6DAD9C67E}"/>
    <cellStyle name="Normal 4 4 3 8 3" xfId="11058" xr:uid="{5E637167-9059-49D5-AA4E-D668A1F06CA1}"/>
    <cellStyle name="Normal 4 4 3 9" xfId="4761" xr:uid="{00000000-0005-0000-0000-0000B3150000}"/>
    <cellStyle name="Normal 4 4 3 9 2" xfId="13211" xr:uid="{4B85D20D-C611-47D8-85CA-687AB3CEF99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BAE51BDB-6A53-455A-B3DB-86B94DAB9719}"/>
    <cellStyle name="Normal 4 4 4 2 2 2 3" xfId="11556" xr:uid="{88E2CC81-4E8C-47E3-B788-A25C21204F32}"/>
    <cellStyle name="Normal 4 4 4 2 2 3" xfId="5179" xr:uid="{00000000-0005-0000-0000-0000B9150000}"/>
    <cellStyle name="Normal 4 4 4 2 2 3 2" xfId="13629" xr:uid="{C6D21C30-5D0A-42CF-8695-DFA23B7A569E}"/>
    <cellStyle name="Normal 4 4 4 2 2 4" xfId="9411" xr:uid="{CA393267-7E8C-4C97-8F5D-92EEBA7338B9}"/>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E21AD35E-2E77-44BD-8058-F5A14BB482F6}"/>
    <cellStyle name="Normal 4 4 4 2 3 2 3" xfId="11969" xr:uid="{8DB1912D-CFEA-48E5-9270-A7474FE136F1}"/>
    <cellStyle name="Normal 4 4 4 2 3 3" xfId="5592" xr:uid="{00000000-0005-0000-0000-0000BD150000}"/>
    <cellStyle name="Normal 4 4 4 2 3 3 2" xfId="14042" xr:uid="{D4CFF2B6-93B8-4E56-BECF-7A303A5EE810}"/>
    <cellStyle name="Normal 4 4 4 2 3 4" xfId="9824" xr:uid="{47D751AE-54DE-4ED1-8E5F-FACB650ED125}"/>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CF1500CA-7A93-41C6-A29A-33BD760669B5}"/>
    <cellStyle name="Normal 4 4 4 2 4 2 3" xfId="12382" xr:uid="{C86A7EE5-E748-456C-B5A3-996EA578B9C8}"/>
    <cellStyle name="Normal 4 4 4 2 4 3" xfId="6005" xr:uid="{00000000-0005-0000-0000-0000C1150000}"/>
    <cellStyle name="Normal 4 4 4 2 4 3 2" xfId="14455" xr:uid="{8FE63E06-A461-4C89-9714-60D3D0B5D689}"/>
    <cellStyle name="Normal 4 4 4 2 4 4" xfId="10237" xr:uid="{B3653F96-1F3B-474A-A664-8178D8FE34C0}"/>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3844F909-D2E6-424F-BB6F-ED218F956E8D}"/>
    <cellStyle name="Normal 4 4 4 2 5 2 3" xfId="12795" xr:uid="{C2023118-3948-424C-9773-598EE9BE4541}"/>
    <cellStyle name="Normal 4 4 4 2 5 3" xfId="6418" xr:uid="{00000000-0005-0000-0000-0000C5150000}"/>
    <cellStyle name="Normal 4 4 4 2 5 3 2" xfId="14868" xr:uid="{37A513A6-8F18-4192-A39E-4A09C96C9666}"/>
    <cellStyle name="Normal 4 4 4 2 5 4" xfId="10650" xr:uid="{4474638F-D36B-47DD-9285-4B84AF70A824}"/>
    <cellStyle name="Normal 4 4 4 2 6" xfId="2548" xr:uid="{00000000-0005-0000-0000-0000C6150000}"/>
    <cellStyle name="Normal 4 4 4 2 6 2" xfId="6831" xr:uid="{00000000-0005-0000-0000-0000C7150000}"/>
    <cellStyle name="Normal 4 4 4 2 6 2 2" xfId="15281" xr:uid="{492AC323-132C-4DEA-9F19-F76D0718E421}"/>
    <cellStyle name="Normal 4 4 4 2 6 3" xfId="11063" xr:uid="{FF4C1B0F-368B-443B-9CE2-DCAAE2F26257}"/>
    <cellStyle name="Normal 4 4 4 2 7" xfId="4766" xr:uid="{00000000-0005-0000-0000-0000C8150000}"/>
    <cellStyle name="Normal 4 4 4 2 7 2" xfId="13216" xr:uid="{4FE02980-A620-4501-BAFC-E0564927B4AB}"/>
    <cellStyle name="Normal 4 4 4 2 8" xfId="8998" xr:uid="{B2A6EBAF-91B2-406B-9A3E-5F2757CB0E15}"/>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A56E4D5C-C71C-4A7A-B006-71D8B239F640}"/>
    <cellStyle name="Normal 4 4 4 3 2 3" xfId="11555" xr:uid="{5A34FC43-67D4-4711-80BE-15671CA81A8D}"/>
    <cellStyle name="Normal 4 4 4 3 3" xfId="5178" xr:uid="{00000000-0005-0000-0000-0000CC150000}"/>
    <cellStyle name="Normal 4 4 4 3 3 2" xfId="13628" xr:uid="{B21D6D1F-DFDD-4756-B89E-754AF141E909}"/>
    <cellStyle name="Normal 4 4 4 3 4" xfId="9410" xr:uid="{FEC1C9F0-A24A-4B9D-9965-3EC169EFF377}"/>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BA9E2E5C-93FF-43D7-A25B-B0FF94E986D5}"/>
    <cellStyle name="Normal 4 4 4 4 2 3" xfId="11968" xr:uid="{B2EAF59D-6C57-4AA9-9312-A996283AC0EA}"/>
    <cellStyle name="Normal 4 4 4 4 3" xfId="5591" xr:uid="{00000000-0005-0000-0000-0000D0150000}"/>
    <cellStyle name="Normal 4 4 4 4 3 2" xfId="14041" xr:uid="{EDF0AF69-F61A-46B6-9993-44C8099B911D}"/>
    <cellStyle name="Normal 4 4 4 4 4" xfId="9823" xr:uid="{132B5FED-C600-4B35-B3EC-397E41FE5DA7}"/>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CCF9D995-B03B-4C63-958E-B18DC7BF09B3}"/>
    <cellStyle name="Normal 4 4 4 5 2 3" xfId="12381" xr:uid="{F6EE6530-4E3B-4BB7-9E4D-D12C31B24B34}"/>
    <cellStyle name="Normal 4 4 4 5 3" xfId="6004" xr:uid="{00000000-0005-0000-0000-0000D4150000}"/>
    <cellStyle name="Normal 4 4 4 5 3 2" xfId="14454" xr:uid="{0574932F-3668-4A3A-AE95-74B90035C007}"/>
    <cellStyle name="Normal 4 4 4 5 4" xfId="10236" xr:uid="{1BD23468-704D-4C39-A34B-1CE1846B272E}"/>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BAF3B09A-84DB-4E3A-A45F-F4CE0EA3FC5E}"/>
    <cellStyle name="Normal 4 4 4 6 2 3" xfId="12794" xr:uid="{2D90B836-3746-4A2B-8EEC-B9182F088E2E}"/>
    <cellStyle name="Normal 4 4 4 6 3" xfId="6417" xr:uid="{00000000-0005-0000-0000-0000D8150000}"/>
    <cellStyle name="Normal 4 4 4 6 3 2" xfId="14867" xr:uid="{B209DE0F-14BF-4027-B71E-E836E98E6280}"/>
    <cellStyle name="Normal 4 4 4 6 4" xfId="10649" xr:uid="{36AEDF46-CC29-4CF6-95B0-A83C79DD1AB2}"/>
    <cellStyle name="Normal 4 4 4 7" xfId="2547" xr:uid="{00000000-0005-0000-0000-0000D9150000}"/>
    <cellStyle name="Normal 4 4 4 7 2" xfId="6830" xr:uid="{00000000-0005-0000-0000-0000DA150000}"/>
    <cellStyle name="Normal 4 4 4 7 2 2" xfId="15280" xr:uid="{724B8ED6-F0AC-43F9-9BB1-4A4722587AD7}"/>
    <cellStyle name="Normal 4 4 4 7 3" xfId="11062" xr:uid="{ACD8B160-CB4E-49C2-ABDE-3CE842478B1C}"/>
    <cellStyle name="Normal 4 4 4 8" xfId="4765" xr:uid="{00000000-0005-0000-0000-0000DB150000}"/>
    <cellStyle name="Normal 4 4 4 8 2" xfId="13215" xr:uid="{EBA8596A-B01B-4702-BA01-0C7F94B419C9}"/>
    <cellStyle name="Normal 4 4 4 9" xfId="8997" xr:uid="{F9C21D25-AA21-4DDD-9A7D-23CD8347142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ED98385C-E74C-4CCD-ABBF-73D965B3B1E1}"/>
    <cellStyle name="Normal 4 4 5 2 2 3" xfId="11557" xr:uid="{84A3FF10-1B9D-48F3-B224-BB6DD3B65367}"/>
    <cellStyle name="Normal 4 4 5 2 3" xfId="5180" xr:uid="{00000000-0005-0000-0000-0000E0150000}"/>
    <cellStyle name="Normal 4 4 5 2 3 2" xfId="13630" xr:uid="{C03310DB-F845-49DF-880B-AC28CFD6CC99}"/>
    <cellStyle name="Normal 4 4 5 2 4" xfId="9412" xr:uid="{FFA7BE5F-C449-46DD-83DA-09F2ADFE0D04}"/>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97653747-D03B-4FF9-8592-F1F8960E53C0}"/>
    <cellStyle name="Normal 4 4 5 3 2 3" xfId="11970" xr:uid="{38BBC03F-10FA-4033-A48E-E4A7891C3FE6}"/>
    <cellStyle name="Normal 4 4 5 3 3" xfId="5593" xr:uid="{00000000-0005-0000-0000-0000E4150000}"/>
    <cellStyle name="Normal 4 4 5 3 3 2" xfId="14043" xr:uid="{D46B45FE-6385-4EB1-8B1E-3184F2F56BC7}"/>
    <cellStyle name="Normal 4 4 5 3 4" xfId="9825" xr:uid="{6B0D227A-BFD8-4149-BD22-58AADDEF2DA2}"/>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29C9CFF6-0484-4F0B-A3AF-60B77E933F52}"/>
    <cellStyle name="Normal 4 4 5 4 2 3" xfId="12383" xr:uid="{654AB296-DCE6-4040-AA9C-E42795C8F801}"/>
    <cellStyle name="Normal 4 4 5 4 3" xfId="6006" xr:uid="{00000000-0005-0000-0000-0000E8150000}"/>
    <cellStyle name="Normal 4 4 5 4 3 2" xfId="14456" xr:uid="{E4867192-4DBF-4905-AF8E-08DE77F0886A}"/>
    <cellStyle name="Normal 4 4 5 4 4" xfId="10238" xr:uid="{3A2E9F69-BB25-4D4D-870B-1A6A088311E3}"/>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6B54C483-BAED-4229-9062-ED32ABE58228}"/>
    <cellStyle name="Normal 4 4 5 5 2 3" xfId="12796" xr:uid="{4BC74EC5-09DB-42F4-8635-94CA7339F8B3}"/>
    <cellStyle name="Normal 4 4 5 5 3" xfId="6419" xr:uid="{00000000-0005-0000-0000-0000EC150000}"/>
    <cellStyle name="Normal 4 4 5 5 3 2" xfId="14869" xr:uid="{A2806B72-99C0-49CD-92F3-7D01D0DA5D02}"/>
    <cellStyle name="Normal 4 4 5 5 4" xfId="10651" xr:uid="{878B6B65-02F8-41EF-8D63-7EBB10EFE372}"/>
    <cellStyle name="Normal 4 4 5 6" xfId="2549" xr:uid="{00000000-0005-0000-0000-0000ED150000}"/>
    <cellStyle name="Normal 4 4 5 6 2" xfId="6832" xr:uid="{00000000-0005-0000-0000-0000EE150000}"/>
    <cellStyle name="Normal 4 4 5 6 2 2" xfId="15282" xr:uid="{DCD29DE7-9666-4B6B-86AA-86489139EC9D}"/>
    <cellStyle name="Normal 4 4 5 6 3" xfId="11064" xr:uid="{EBB32A3F-0397-45D2-93E9-A6D541F20187}"/>
    <cellStyle name="Normal 4 4 5 7" xfId="4767" xr:uid="{00000000-0005-0000-0000-0000EF150000}"/>
    <cellStyle name="Normal 4 4 5 7 2" xfId="13217" xr:uid="{16269358-BBD4-4CD6-927A-25451A96740F}"/>
    <cellStyle name="Normal 4 4 5 8" xfId="8999" xr:uid="{1BDEF5FC-FFB9-44F3-B894-321C49A4EFCC}"/>
    <cellStyle name="Normal 4 4 6" xfId="853" xr:uid="{00000000-0005-0000-0000-0000F0150000}"/>
    <cellStyle name="Normal 4 4 6 2" xfId="3088" xr:uid="{00000000-0005-0000-0000-0000F1150000}"/>
    <cellStyle name="Normal 4 4 6 2 2" xfId="7310" xr:uid="{00000000-0005-0000-0000-0000F2150000}"/>
    <cellStyle name="Normal 4 4 6 2 2 2" xfId="15760" xr:uid="{9F67951B-9455-4897-9A6F-953409C5871E}"/>
    <cellStyle name="Normal 4 4 6 2 3" xfId="11542" xr:uid="{4B58722E-0C3A-4732-892F-580ADEDE9CF7}"/>
    <cellStyle name="Normal 4 4 6 3" xfId="5165" xr:uid="{00000000-0005-0000-0000-0000F3150000}"/>
    <cellStyle name="Normal 4 4 6 3 2" xfId="13615" xr:uid="{3797DE59-1180-4B21-90C7-A4E0593E8892}"/>
    <cellStyle name="Normal 4 4 6 4" xfId="9397" xr:uid="{7298E060-4C68-4416-96A0-B967E376EBAA}"/>
    <cellStyle name="Normal 4 4 7" xfId="1271" xr:uid="{00000000-0005-0000-0000-0000F4150000}"/>
    <cellStyle name="Normal 4 4 7 2" xfId="3501" xr:uid="{00000000-0005-0000-0000-0000F5150000}"/>
    <cellStyle name="Normal 4 4 7 2 2" xfId="7723" xr:uid="{00000000-0005-0000-0000-0000F6150000}"/>
    <cellStyle name="Normal 4 4 7 2 2 2" xfId="16173" xr:uid="{EDA602A5-7C9E-4719-A3A4-F7C14AAF275D}"/>
    <cellStyle name="Normal 4 4 7 2 3" xfId="11955" xr:uid="{0B84D379-BCBF-4A64-BCD0-BD0F01221AD3}"/>
    <cellStyle name="Normal 4 4 7 3" xfId="5578" xr:uid="{00000000-0005-0000-0000-0000F7150000}"/>
    <cellStyle name="Normal 4 4 7 3 2" xfId="14028" xr:uid="{7E7608B5-BF9F-4F4A-B0A9-87528307A6E6}"/>
    <cellStyle name="Normal 4 4 7 4" xfId="9810" xr:uid="{153FE9D6-8817-4C2B-AEF4-34D81166E085}"/>
    <cellStyle name="Normal 4 4 8" xfId="1684" xr:uid="{00000000-0005-0000-0000-0000F8150000}"/>
    <cellStyle name="Normal 4 4 8 2" xfId="3914" xr:uid="{00000000-0005-0000-0000-0000F9150000}"/>
    <cellStyle name="Normal 4 4 8 2 2" xfId="8136" xr:uid="{00000000-0005-0000-0000-0000FA150000}"/>
    <cellStyle name="Normal 4 4 8 2 2 2" xfId="16586" xr:uid="{A0185D2C-F3BC-49B1-A22D-EAB401CAA4A5}"/>
    <cellStyle name="Normal 4 4 8 2 3" xfId="12368" xr:uid="{918D582B-BCD5-4238-9F86-C1F30E721CCE}"/>
    <cellStyle name="Normal 4 4 8 3" xfId="5991" xr:uid="{00000000-0005-0000-0000-0000FB150000}"/>
    <cellStyle name="Normal 4 4 8 3 2" xfId="14441" xr:uid="{702B3DD9-4497-4666-A1E2-5FA903E4D7A2}"/>
    <cellStyle name="Normal 4 4 8 4" xfId="10223" xr:uid="{C2AC3DD2-9D83-4D86-A2F5-ACBCD2ED22C6}"/>
    <cellStyle name="Normal 4 4 9" xfId="2098" xr:uid="{00000000-0005-0000-0000-0000FC150000}"/>
    <cellStyle name="Normal 4 4 9 2" xfId="4327" xr:uid="{00000000-0005-0000-0000-0000FD150000}"/>
    <cellStyle name="Normal 4 4 9 2 2" xfId="8549" xr:uid="{00000000-0005-0000-0000-0000FE150000}"/>
    <cellStyle name="Normal 4 4 9 2 2 2" xfId="16999" xr:uid="{57BDA9C0-5776-489C-B221-8079FE8B5935}"/>
    <cellStyle name="Normal 4 4 9 2 3" xfId="12781" xr:uid="{D3E58513-350B-47BE-B952-B9D7E2A0867D}"/>
    <cellStyle name="Normal 4 4 9 3" xfId="6404" xr:uid="{00000000-0005-0000-0000-0000FF150000}"/>
    <cellStyle name="Normal 4 4 9 3 2" xfId="14854" xr:uid="{0657D3E1-A700-4FE6-96FD-0DBA4A78012A}"/>
    <cellStyle name="Normal 4 4 9 4" xfId="10636" xr:uid="{6E77AF1E-FD38-4C41-8F76-D40E1B182A25}"/>
    <cellStyle name="Normal 4 5" xfId="394" xr:uid="{00000000-0005-0000-0000-000000160000}"/>
    <cellStyle name="Normal 4 6" xfId="395" xr:uid="{00000000-0005-0000-0000-000001160000}"/>
    <cellStyle name="Normal 4 6 10" xfId="4768" xr:uid="{00000000-0005-0000-0000-000002160000}"/>
    <cellStyle name="Normal 4 6 10 2" xfId="13218" xr:uid="{01625B8B-89C1-4713-9C03-933E888B3695}"/>
    <cellStyle name="Normal 4 6 11" xfId="9000" xr:uid="{9F34646D-7522-4E4A-89BD-DD57BD377BDA}"/>
    <cellStyle name="Normal 4 6 2" xfId="396" xr:uid="{00000000-0005-0000-0000-000003160000}"/>
    <cellStyle name="Normal 4 6 2 10" xfId="9001" xr:uid="{586E1C84-692B-4674-8651-51A7A9098984}"/>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579708BF-6C5D-4616-BD15-D60DACDFACB9}"/>
    <cellStyle name="Normal 4 6 2 2 2 2 2 3" xfId="11561" xr:uid="{AB5C256D-F6AC-4F87-8E6E-848AC05093F2}"/>
    <cellStyle name="Normal 4 6 2 2 2 2 3" xfId="5184" xr:uid="{00000000-0005-0000-0000-000009160000}"/>
    <cellStyle name="Normal 4 6 2 2 2 2 3 2" xfId="13634" xr:uid="{B425DB0F-2537-4DDE-8ABB-4A1A4D381826}"/>
    <cellStyle name="Normal 4 6 2 2 2 2 4" xfId="9416" xr:uid="{4BBC33F1-57AF-452D-BA9B-18AB979A03E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ED24B730-3727-4ECE-9B1E-6D148A85087A}"/>
    <cellStyle name="Normal 4 6 2 2 2 3 2 3" xfId="11974" xr:uid="{BDC1CAF1-196B-4C8E-AEDD-B196FB2E1FAC}"/>
    <cellStyle name="Normal 4 6 2 2 2 3 3" xfId="5597" xr:uid="{00000000-0005-0000-0000-00000D160000}"/>
    <cellStyle name="Normal 4 6 2 2 2 3 3 2" xfId="14047" xr:uid="{FD8364B9-5A39-4F7C-89D0-E8A3BE9477A1}"/>
    <cellStyle name="Normal 4 6 2 2 2 3 4" xfId="9829" xr:uid="{8ED8BB95-F47B-4997-9EF4-28C86EF6EB4E}"/>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88B46848-247E-4588-A0F6-454B60769BA5}"/>
    <cellStyle name="Normal 4 6 2 2 2 4 2 3" xfId="12387" xr:uid="{35E08CF0-4891-4B16-903F-CB05CCE8C509}"/>
    <cellStyle name="Normal 4 6 2 2 2 4 3" xfId="6010" xr:uid="{00000000-0005-0000-0000-000011160000}"/>
    <cellStyle name="Normal 4 6 2 2 2 4 3 2" xfId="14460" xr:uid="{A358A784-60E5-4CF4-9DCB-8B644305BF29}"/>
    <cellStyle name="Normal 4 6 2 2 2 4 4" xfId="10242" xr:uid="{AAD096F8-59E8-468F-BC03-6444AEB9F9A5}"/>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E8B41411-C232-401E-8E2D-268BB4886C25}"/>
    <cellStyle name="Normal 4 6 2 2 2 5 2 3" xfId="12800" xr:uid="{5DEF8192-CF21-4ADC-BCD6-7FF3C6FD5E5E}"/>
    <cellStyle name="Normal 4 6 2 2 2 5 3" xfId="6423" xr:uid="{00000000-0005-0000-0000-000015160000}"/>
    <cellStyle name="Normal 4 6 2 2 2 5 3 2" xfId="14873" xr:uid="{6036501C-A84C-460F-A34F-D4F46F8080F2}"/>
    <cellStyle name="Normal 4 6 2 2 2 5 4" xfId="10655" xr:uid="{DCCC6476-1C5B-4768-A8E2-0C4F13BB63D9}"/>
    <cellStyle name="Normal 4 6 2 2 2 6" xfId="2553" xr:uid="{00000000-0005-0000-0000-000016160000}"/>
    <cellStyle name="Normal 4 6 2 2 2 6 2" xfId="6836" xr:uid="{00000000-0005-0000-0000-000017160000}"/>
    <cellStyle name="Normal 4 6 2 2 2 6 2 2" xfId="15286" xr:uid="{BFC2607C-8BCF-4E3B-8143-829494707727}"/>
    <cellStyle name="Normal 4 6 2 2 2 6 3" xfId="11068" xr:uid="{1208C763-F2A8-4A01-99D6-6B189E1EA5D3}"/>
    <cellStyle name="Normal 4 6 2 2 2 7" xfId="4771" xr:uid="{00000000-0005-0000-0000-000018160000}"/>
    <cellStyle name="Normal 4 6 2 2 2 7 2" xfId="13221" xr:uid="{407A9539-B601-45D3-8DC0-9815ED83DC52}"/>
    <cellStyle name="Normal 4 6 2 2 2 8" xfId="9003" xr:uid="{86F1E825-2C03-4E28-A6C1-3D5CA5D1933B}"/>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ED46EFCF-52B4-4D45-9767-DE45147394B2}"/>
    <cellStyle name="Normal 4 6 2 2 3 2 3" xfId="11560" xr:uid="{ECAAD4F9-804B-457D-9AF6-D0EADD2B1A23}"/>
    <cellStyle name="Normal 4 6 2 2 3 3" xfId="5183" xr:uid="{00000000-0005-0000-0000-00001C160000}"/>
    <cellStyle name="Normal 4 6 2 2 3 3 2" xfId="13633" xr:uid="{AA740E87-223F-4EF4-8CF1-9F4A89469828}"/>
    <cellStyle name="Normal 4 6 2 2 3 4" xfId="9415" xr:uid="{B4FBB215-34A1-4AA8-950E-6656DAE13224}"/>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C8DE5F10-E2FF-43CE-A525-29665C3FB437}"/>
    <cellStyle name="Normal 4 6 2 2 4 2 3" xfId="11973" xr:uid="{5998E843-0235-4CA9-996C-49BC7D19BF34}"/>
    <cellStyle name="Normal 4 6 2 2 4 3" xfId="5596" xr:uid="{00000000-0005-0000-0000-000020160000}"/>
    <cellStyle name="Normal 4 6 2 2 4 3 2" xfId="14046" xr:uid="{8E6D3050-38B3-44CA-98BD-F3E76D7986F3}"/>
    <cellStyle name="Normal 4 6 2 2 4 4" xfId="9828" xr:uid="{A1E69C19-3147-4CA1-A6E0-A0A29CE85175}"/>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FD8002DE-3CD0-4C54-80E4-711FD47842BD}"/>
    <cellStyle name="Normal 4 6 2 2 5 2 3" xfId="12386" xr:uid="{90C2869F-65A0-4E26-8BA0-1D8CC73D5850}"/>
    <cellStyle name="Normal 4 6 2 2 5 3" xfId="6009" xr:uid="{00000000-0005-0000-0000-000024160000}"/>
    <cellStyle name="Normal 4 6 2 2 5 3 2" xfId="14459" xr:uid="{3C9B50F7-A762-49CD-91E5-3C1F172AA861}"/>
    <cellStyle name="Normal 4 6 2 2 5 4" xfId="10241" xr:uid="{119FC0AA-7B79-4F70-8435-06253FC14E31}"/>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BE7B41A9-63A4-4508-85D7-B6CAA5E1478A}"/>
    <cellStyle name="Normal 4 6 2 2 6 2 3" xfId="12799" xr:uid="{918CCD93-0EEF-4A9E-8B0D-35B62721B272}"/>
    <cellStyle name="Normal 4 6 2 2 6 3" xfId="6422" xr:uid="{00000000-0005-0000-0000-000028160000}"/>
    <cellStyle name="Normal 4 6 2 2 6 3 2" xfId="14872" xr:uid="{5B87F459-7D68-47FF-B5F3-D6ACD52FD3BF}"/>
    <cellStyle name="Normal 4 6 2 2 6 4" xfId="10654" xr:uid="{5ECCEC00-49D7-4137-8F27-DAEAFA122F7E}"/>
    <cellStyle name="Normal 4 6 2 2 7" xfId="2552" xr:uid="{00000000-0005-0000-0000-000029160000}"/>
    <cellStyle name="Normal 4 6 2 2 7 2" xfId="6835" xr:uid="{00000000-0005-0000-0000-00002A160000}"/>
    <cellStyle name="Normal 4 6 2 2 7 2 2" xfId="15285" xr:uid="{F0592353-1755-4156-8361-465B517F0EC1}"/>
    <cellStyle name="Normal 4 6 2 2 7 3" xfId="11067" xr:uid="{A0291F40-4B58-41BA-A07C-CDC4C2954E11}"/>
    <cellStyle name="Normal 4 6 2 2 8" xfId="4770" xr:uid="{00000000-0005-0000-0000-00002B160000}"/>
    <cellStyle name="Normal 4 6 2 2 8 2" xfId="13220" xr:uid="{575FF491-DFBA-4C5F-8FEE-55A0E0210C47}"/>
    <cellStyle name="Normal 4 6 2 2 9" xfId="9002" xr:uid="{07C04E35-032C-4263-95F9-67900236A558}"/>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0E1BEBD7-2D16-4D66-B513-8E01081969AC}"/>
    <cellStyle name="Normal 4 6 2 3 2 2 3" xfId="11562" xr:uid="{159ACEA6-575F-4640-AB71-E536F4437163}"/>
    <cellStyle name="Normal 4 6 2 3 2 3" xfId="5185" xr:uid="{00000000-0005-0000-0000-000030160000}"/>
    <cellStyle name="Normal 4 6 2 3 2 3 2" xfId="13635" xr:uid="{65B63775-694B-42CF-9A78-700E991668C7}"/>
    <cellStyle name="Normal 4 6 2 3 2 4" xfId="9417" xr:uid="{906FECEA-7049-4555-AE49-D08A9351DB19}"/>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9BDC2343-4276-4B4F-8B16-B4E0C797F531}"/>
    <cellStyle name="Normal 4 6 2 3 3 2 3" xfId="11975" xr:uid="{133FCB62-732D-4C40-8322-C0028C9BFA1A}"/>
    <cellStyle name="Normal 4 6 2 3 3 3" xfId="5598" xr:uid="{00000000-0005-0000-0000-000034160000}"/>
    <cellStyle name="Normal 4 6 2 3 3 3 2" xfId="14048" xr:uid="{DB1EC604-00BF-4E0D-93C7-FC8A2FA58FAD}"/>
    <cellStyle name="Normal 4 6 2 3 3 4" xfId="9830" xr:uid="{4CDD5C3A-258B-47FF-98B8-DB7DC6FC10CF}"/>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2202A83A-E3C7-4CB0-8AEA-D55890B47AFD}"/>
    <cellStyle name="Normal 4 6 2 3 4 2 3" xfId="12388" xr:uid="{85037C8E-7292-470E-AF6A-871FDFE29502}"/>
    <cellStyle name="Normal 4 6 2 3 4 3" xfId="6011" xr:uid="{00000000-0005-0000-0000-000038160000}"/>
    <cellStyle name="Normal 4 6 2 3 4 3 2" xfId="14461" xr:uid="{4C1DBEB6-5B42-46D3-85F4-55D72D125AF6}"/>
    <cellStyle name="Normal 4 6 2 3 4 4" xfId="10243" xr:uid="{7F71EE89-B2A4-4FCB-88C0-0F8533E470D5}"/>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9C847E24-5487-41B6-8C18-8B0A993335FA}"/>
    <cellStyle name="Normal 4 6 2 3 5 2 3" xfId="12801" xr:uid="{52CC73A8-B106-4898-898E-C8B34BA23EF0}"/>
    <cellStyle name="Normal 4 6 2 3 5 3" xfId="6424" xr:uid="{00000000-0005-0000-0000-00003C160000}"/>
    <cellStyle name="Normal 4 6 2 3 5 3 2" xfId="14874" xr:uid="{9CFD332F-4378-4101-B4E2-827F308885C3}"/>
    <cellStyle name="Normal 4 6 2 3 5 4" xfId="10656" xr:uid="{6DDC0F85-65E0-4EAC-8F9F-0C0233B9D9E0}"/>
    <cellStyle name="Normal 4 6 2 3 6" xfId="2554" xr:uid="{00000000-0005-0000-0000-00003D160000}"/>
    <cellStyle name="Normal 4 6 2 3 6 2" xfId="6837" xr:uid="{00000000-0005-0000-0000-00003E160000}"/>
    <cellStyle name="Normal 4 6 2 3 6 2 2" xfId="15287" xr:uid="{EA49048C-5821-4DBB-BD78-ED7811A6BD4D}"/>
    <cellStyle name="Normal 4 6 2 3 6 3" xfId="11069" xr:uid="{1DDA2D93-F1C5-4537-AF2B-B3DF1FB8AC70}"/>
    <cellStyle name="Normal 4 6 2 3 7" xfId="4772" xr:uid="{00000000-0005-0000-0000-00003F160000}"/>
    <cellStyle name="Normal 4 6 2 3 7 2" xfId="13222" xr:uid="{30229CB9-12DC-4027-A4ED-3871917A64C2}"/>
    <cellStyle name="Normal 4 6 2 3 8" xfId="9004" xr:uid="{325E8809-100B-482D-91C7-ADBE2528B171}"/>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85096E61-DC44-4D58-BB06-9864EDC8D48A}"/>
    <cellStyle name="Normal 4 6 2 4 2 3" xfId="11559" xr:uid="{830E5D0B-A529-4FE4-B4AD-5362BAA1F933}"/>
    <cellStyle name="Normal 4 6 2 4 3" xfId="5182" xr:uid="{00000000-0005-0000-0000-000043160000}"/>
    <cellStyle name="Normal 4 6 2 4 3 2" xfId="13632" xr:uid="{EB105A1C-0784-4169-A890-FC7EB148CF8B}"/>
    <cellStyle name="Normal 4 6 2 4 4" xfId="9414" xr:uid="{D37F286D-34EF-432F-92BD-F548BE6073D7}"/>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99206CC0-3FA8-4764-A096-F416481B3724}"/>
    <cellStyle name="Normal 4 6 2 5 2 3" xfId="11972" xr:uid="{4F3ED762-D60F-4553-99F6-48085763345C}"/>
    <cellStyle name="Normal 4 6 2 5 3" xfId="5595" xr:uid="{00000000-0005-0000-0000-000047160000}"/>
    <cellStyle name="Normal 4 6 2 5 3 2" xfId="14045" xr:uid="{70E08AC9-F527-4F3C-8C0C-DCBDEA288014}"/>
    <cellStyle name="Normal 4 6 2 5 4" xfId="9827" xr:uid="{14FF7DE1-EB69-4D3D-A4DB-B69D1F977484}"/>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3C2D46FD-5B0E-4210-B801-597A5074EC32}"/>
    <cellStyle name="Normal 4 6 2 6 2 3" xfId="12385" xr:uid="{38E6DC33-911A-4B1E-96F0-7A91BB99A2C6}"/>
    <cellStyle name="Normal 4 6 2 6 3" xfId="6008" xr:uid="{00000000-0005-0000-0000-00004B160000}"/>
    <cellStyle name="Normal 4 6 2 6 3 2" xfId="14458" xr:uid="{50935F6A-99D1-4E25-9792-78B978CF9DED}"/>
    <cellStyle name="Normal 4 6 2 6 4" xfId="10240" xr:uid="{31487106-FD29-44EB-B348-428CD0BAF958}"/>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4BB04875-1ED4-4955-940B-58F5941842E6}"/>
    <cellStyle name="Normal 4 6 2 7 2 3" xfId="12798" xr:uid="{BEBFF54B-3B23-427B-91C9-52B68DC33012}"/>
    <cellStyle name="Normal 4 6 2 7 3" xfId="6421" xr:uid="{00000000-0005-0000-0000-00004F160000}"/>
    <cellStyle name="Normal 4 6 2 7 3 2" xfId="14871" xr:uid="{D8FD3E30-92CB-4326-889A-F0ECA950334F}"/>
    <cellStyle name="Normal 4 6 2 7 4" xfId="10653" xr:uid="{C60BC2E3-EC0F-42DD-8E34-D0CBBD552E63}"/>
    <cellStyle name="Normal 4 6 2 8" xfId="2551" xr:uid="{00000000-0005-0000-0000-000050160000}"/>
    <cellStyle name="Normal 4 6 2 8 2" xfId="6834" xr:uid="{00000000-0005-0000-0000-000051160000}"/>
    <cellStyle name="Normal 4 6 2 8 2 2" xfId="15284" xr:uid="{2364A078-8330-4BEA-BCB7-0F9B0896C5D7}"/>
    <cellStyle name="Normal 4 6 2 8 3" xfId="11066" xr:uid="{83F97195-2800-41F5-9B89-C22331E4B65F}"/>
    <cellStyle name="Normal 4 6 2 9" xfId="4769" xr:uid="{00000000-0005-0000-0000-000052160000}"/>
    <cellStyle name="Normal 4 6 2 9 2" xfId="13219" xr:uid="{BE0CCF89-3E4F-4AC2-952D-AE5BB8366065}"/>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715A5D3D-9413-4931-8011-DB271750959C}"/>
    <cellStyle name="Normal 4 6 3 2 2 2 3" xfId="11564" xr:uid="{458FF2D3-05C2-4F00-B975-88E6FE00AC7A}"/>
    <cellStyle name="Normal 4 6 3 2 2 3" xfId="5187" xr:uid="{00000000-0005-0000-0000-000058160000}"/>
    <cellStyle name="Normal 4 6 3 2 2 3 2" xfId="13637" xr:uid="{B1ECB8B9-9C61-46A0-9AD5-12D7B362A48E}"/>
    <cellStyle name="Normal 4 6 3 2 2 4" xfId="9419" xr:uid="{C5F341C6-8940-435A-A84E-417D282577E3}"/>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A91925C8-FFFF-44FD-A959-F1953EABA8E9}"/>
    <cellStyle name="Normal 4 6 3 2 3 2 3" xfId="11977" xr:uid="{0DAA944D-1242-428E-839A-8C669AA75F78}"/>
    <cellStyle name="Normal 4 6 3 2 3 3" xfId="5600" xr:uid="{00000000-0005-0000-0000-00005C160000}"/>
    <cellStyle name="Normal 4 6 3 2 3 3 2" xfId="14050" xr:uid="{F9F88B5E-65AD-4723-ABEA-88B0A925D1DD}"/>
    <cellStyle name="Normal 4 6 3 2 3 4" xfId="9832" xr:uid="{834BE0C6-9CFD-4CA9-B787-53CDF5B20FEE}"/>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E016CD73-4E02-429F-A946-1A8DE8B3A889}"/>
    <cellStyle name="Normal 4 6 3 2 4 2 3" xfId="12390" xr:uid="{3A1CD295-A776-4A86-AF2D-DCF63FE656D6}"/>
    <cellStyle name="Normal 4 6 3 2 4 3" xfId="6013" xr:uid="{00000000-0005-0000-0000-000060160000}"/>
    <cellStyle name="Normal 4 6 3 2 4 3 2" xfId="14463" xr:uid="{29F0B105-61FF-40D3-8EC5-F63EBEF56046}"/>
    <cellStyle name="Normal 4 6 3 2 4 4" xfId="10245" xr:uid="{3DAEFEE9-E718-4323-B6B8-AFCF7E5ACDFB}"/>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9CDC5E98-7417-4B52-9970-723E854F8C02}"/>
    <cellStyle name="Normal 4 6 3 2 5 2 3" xfId="12803" xr:uid="{8C53FC59-291D-445D-8170-D15E24AFCAD4}"/>
    <cellStyle name="Normal 4 6 3 2 5 3" xfId="6426" xr:uid="{00000000-0005-0000-0000-000064160000}"/>
    <cellStyle name="Normal 4 6 3 2 5 3 2" xfId="14876" xr:uid="{8B7B87A7-DC5E-4C29-B161-A2CEE359D384}"/>
    <cellStyle name="Normal 4 6 3 2 5 4" xfId="10658" xr:uid="{8B6057A3-0C4E-431F-ABE6-0415B3B6601A}"/>
    <cellStyle name="Normal 4 6 3 2 6" xfId="2556" xr:uid="{00000000-0005-0000-0000-000065160000}"/>
    <cellStyle name="Normal 4 6 3 2 6 2" xfId="6839" xr:uid="{00000000-0005-0000-0000-000066160000}"/>
    <cellStyle name="Normal 4 6 3 2 6 2 2" xfId="15289" xr:uid="{A1952A86-3534-4245-B3D4-5AE2C921980A}"/>
    <cellStyle name="Normal 4 6 3 2 6 3" xfId="11071" xr:uid="{87FA4125-F6B4-4A36-A2EF-9CD467AE5909}"/>
    <cellStyle name="Normal 4 6 3 2 7" xfId="4774" xr:uid="{00000000-0005-0000-0000-000067160000}"/>
    <cellStyle name="Normal 4 6 3 2 7 2" xfId="13224" xr:uid="{31D36570-C48D-4227-BC82-205F331D4B4C}"/>
    <cellStyle name="Normal 4 6 3 2 8" xfId="9006" xr:uid="{D817F6D9-5DF7-4061-BF5B-FD9BB99814AA}"/>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1FC08248-F48E-4574-85B3-38B3438A516E}"/>
    <cellStyle name="Normal 4 6 3 3 2 3" xfId="11563" xr:uid="{4ACAFE9B-FD20-4CEB-ABD0-488C3607B6D4}"/>
    <cellStyle name="Normal 4 6 3 3 3" xfId="5186" xr:uid="{00000000-0005-0000-0000-00006B160000}"/>
    <cellStyle name="Normal 4 6 3 3 3 2" xfId="13636" xr:uid="{D9DD1A29-FE08-4312-8DEF-FD1C071C4F49}"/>
    <cellStyle name="Normal 4 6 3 3 4" xfId="9418" xr:uid="{AA86AB1B-59D1-47C0-8024-3AF0E3C916C1}"/>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C45D8F12-93CC-404B-93F0-6820A1A2E1B9}"/>
    <cellStyle name="Normal 4 6 3 4 2 3" xfId="11976" xr:uid="{CAC6543F-0C91-4CB3-B82C-F2558065E28D}"/>
    <cellStyle name="Normal 4 6 3 4 3" xfId="5599" xr:uid="{00000000-0005-0000-0000-00006F160000}"/>
    <cellStyle name="Normal 4 6 3 4 3 2" xfId="14049" xr:uid="{EC075E8F-2EDF-4899-A8E9-3F431E82490E}"/>
    <cellStyle name="Normal 4 6 3 4 4" xfId="9831" xr:uid="{4FBA2CE3-32CD-4699-8351-81C717FAD11C}"/>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EAF45CDC-3651-4C9F-9264-0C598632058B}"/>
    <cellStyle name="Normal 4 6 3 5 2 3" xfId="12389" xr:uid="{31FFC79E-54AE-43DF-AC98-0C8B2013F5C2}"/>
    <cellStyle name="Normal 4 6 3 5 3" xfId="6012" xr:uid="{00000000-0005-0000-0000-000073160000}"/>
    <cellStyle name="Normal 4 6 3 5 3 2" xfId="14462" xr:uid="{CF8DCB9E-D017-403D-A72E-91CC8FB232B0}"/>
    <cellStyle name="Normal 4 6 3 5 4" xfId="10244" xr:uid="{6281894D-59B5-4DE9-8001-D2E725E47640}"/>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1D2A8282-EB51-497B-8E83-A83AD1BC8AB9}"/>
    <cellStyle name="Normal 4 6 3 6 2 3" xfId="12802" xr:uid="{4D1A9786-1557-4C57-969E-806360E28729}"/>
    <cellStyle name="Normal 4 6 3 6 3" xfId="6425" xr:uid="{00000000-0005-0000-0000-000077160000}"/>
    <cellStyle name="Normal 4 6 3 6 3 2" xfId="14875" xr:uid="{5E1F5804-26AA-4D61-A14B-E7E53A49E7AD}"/>
    <cellStyle name="Normal 4 6 3 6 4" xfId="10657" xr:uid="{0B7CF13E-616E-439D-9B74-0BC075D52C17}"/>
    <cellStyle name="Normal 4 6 3 7" xfId="2555" xr:uid="{00000000-0005-0000-0000-000078160000}"/>
    <cellStyle name="Normal 4 6 3 7 2" xfId="6838" xr:uid="{00000000-0005-0000-0000-000079160000}"/>
    <cellStyle name="Normal 4 6 3 7 2 2" xfId="15288" xr:uid="{A271BEA5-16F7-4B0B-AF41-81F454BA39A1}"/>
    <cellStyle name="Normal 4 6 3 7 3" xfId="11070" xr:uid="{A8EA3670-70CE-4978-94CA-24CFE1F498AC}"/>
    <cellStyle name="Normal 4 6 3 8" xfId="4773" xr:uid="{00000000-0005-0000-0000-00007A160000}"/>
    <cellStyle name="Normal 4 6 3 8 2" xfId="13223" xr:uid="{7D457211-0999-4210-86E1-4A5F2B0A5259}"/>
    <cellStyle name="Normal 4 6 3 9" xfId="9005" xr:uid="{EB741270-E6BF-49EA-8670-4357169FD4FD}"/>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BD99C572-7CC5-4D39-AEE0-EECC46564F2D}"/>
    <cellStyle name="Normal 4 6 4 2 2 3" xfId="11565" xr:uid="{01BBD16D-D1EF-4344-8740-C9EF7D9BC84B}"/>
    <cellStyle name="Normal 4 6 4 2 3" xfId="5188" xr:uid="{00000000-0005-0000-0000-00007F160000}"/>
    <cellStyle name="Normal 4 6 4 2 3 2" xfId="13638" xr:uid="{7237D510-48C6-4D58-AC46-4DA0CE433430}"/>
    <cellStyle name="Normal 4 6 4 2 4" xfId="9420" xr:uid="{ECBC698C-9F2C-42D3-9F99-18A7DDC79862}"/>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0BA3851B-FC99-4F0F-849F-36D1CD252CE7}"/>
    <cellStyle name="Normal 4 6 4 3 2 3" xfId="11978" xr:uid="{044318D4-A917-4F0C-A458-CA112CB91C61}"/>
    <cellStyle name="Normal 4 6 4 3 3" xfId="5601" xr:uid="{00000000-0005-0000-0000-000083160000}"/>
    <cellStyle name="Normal 4 6 4 3 3 2" xfId="14051" xr:uid="{4476BBA3-532F-4FE9-98CC-848C02633C56}"/>
    <cellStyle name="Normal 4 6 4 3 4" xfId="9833" xr:uid="{492F1D8F-0FA5-4F98-8774-00D4B0866D9D}"/>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52B993F8-2BBB-471B-8FC9-E70DCCFC72F1}"/>
    <cellStyle name="Normal 4 6 4 4 2 3" xfId="12391" xr:uid="{8045E2CF-37BE-4BFC-ACC1-EDF5A210E417}"/>
    <cellStyle name="Normal 4 6 4 4 3" xfId="6014" xr:uid="{00000000-0005-0000-0000-000087160000}"/>
    <cellStyle name="Normal 4 6 4 4 3 2" xfId="14464" xr:uid="{1AC0B7ED-A862-4162-9EBE-6A639E0EF9AC}"/>
    <cellStyle name="Normal 4 6 4 4 4" xfId="10246" xr:uid="{69FB5536-79A0-4160-BC85-A9871167F5A8}"/>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1F938693-5EAD-4B32-93DD-99B2C3AD91EA}"/>
    <cellStyle name="Normal 4 6 4 5 2 3" xfId="12804" xr:uid="{CBA77E20-1D7F-48E2-83FE-3A714D35EC78}"/>
    <cellStyle name="Normal 4 6 4 5 3" xfId="6427" xr:uid="{00000000-0005-0000-0000-00008B160000}"/>
    <cellStyle name="Normal 4 6 4 5 3 2" xfId="14877" xr:uid="{A0B00E81-F294-4F4C-ACEF-116B7B9242C2}"/>
    <cellStyle name="Normal 4 6 4 5 4" xfId="10659" xr:uid="{76054CCC-479E-473B-AE04-C2C7D50C091F}"/>
    <cellStyle name="Normal 4 6 4 6" xfId="2557" xr:uid="{00000000-0005-0000-0000-00008C160000}"/>
    <cellStyle name="Normal 4 6 4 6 2" xfId="6840" xr:uid="{00000000-0005-0000-0000-00008D160000}"/>
    <cellStyle name="Normal 4 6 4 6 2 2" xfId="15290" xr:uid="{4B6401F9-D967-4EA1-929F-1B70F81055AF}"/>
    <cellStyle name="Normal 4 6 4 6 3" xfId="11072" xr:uid="{6512B94F-3671-44B4-9FCD-D45F641A3764}"/>
    <cellStyle name="Normal 4 6 4 7" xfId="4775" xr:uid="{00000000-0005-0000-0000-00008E160000}"/>
    <cellStyle name="Normal 4 6 4 7 2" xfId="13225" xr:uid="{C3A6C4AF-DBF0-4C22-A006-3D24BAF8DD97}"/>
    <cellStyle name="Normal 4 6 4 8" xfId="9007" xr:uid="{3852CCB2-5B9B-4E59-BC62-74C24833BB03}"/>
    <cellStyle name="Normal 4 6 5" xfId="869" xr:uid="{00000000-0005-0000-0000-00008F160000}"/>
    <cellStyle name="Normal 4 6 5 2" xfId="3104" xr:uid="{00000000-0005-0000-0000-000090160000}"/>
    <cellStyle name="Normal 4 6 5 2 2" xfId="7326" xr:uid="{00000000-0005-0000-0000-000091160000}"/>
    <cellStyle name="Normal 4 6 5 2 2 2" xfId="15776" xr:uid="{13210014-01F5-4B63-B4F2-3AC30E2CE7B4}"/>
    <cellStyle name="Normal 4 6 5 2 3" xfId="11558" xr:uid="{F17920BD-7477-4C16-8988-832D1EBD190C}"/>
    <cellStyle name="Normal 4 6 5 3" xfId="5181" xr:uid="{00000000-0005-0000-0000-000092160000}"/>
    <cellStyle name="Normal 4 6 5 3 2" xfId="13631" xr:uid="{0007F9E2-A801-48C3-A6A3-9206DD3F4BB1}"/>
    <cellStyle name="Normal 4 6 5 4" xfId="9413" xr:uid="{71879A4B-1C82-427F-9A46-F19477A3C9A2}"/>
    <cellStyle name="Normal 4 6 6" xfId="1287" xr:uid="{00000000-0005-0000-0000-000093160000}"/>
    <cellStyle name="Normal 4 6 6 2" xfId="3517" xr:uid="{00000000-0005-0000-0000-000094160000}"/>
    <cellStyle name="Normal 4 6 6 2 2" xfId="7739" xr:uid="{00000000-0005-0000-0000-000095160000}"/>
    <cellStyle name="Normal 4 6 6 2 2 2" xfId="16189" xr:uid="{8738492A-D0A7-4235-A039-51E775444EEB}"/>
    <cellStyle name="Normal 4 6 6 2 3" xfId="11971" xr:uid="{6D60FA5B-400C-4AAE-81CA-265E1AD1B578}"/>
    <cellStyle name="Normal 4 6 6 3" xfId="5594" xr:uid="{00000000-0005-0000-0000-000096160000}"/>
    <cellStyle name="Normal 4 6 6 3 2" xfId="14044" xr:uid="{EC75C362-FCCE-4C00-8DDD-A6F075B83B61}"/>
    <cellStyle name="Normal 4 6 6 4" xfId="9826" xr:uid="{887117A3-48C3-4567-B979-A12060EF9102}"/>
    <cellStyle name="Normal 4 6 7" xfId="1700" xr:uid="{00000000-0005-0000-0000-000097160000}"/>
    <cellStyle name="Normal 4 6 7 2" xfId="3930" xr:uid="{00000000-0005-0000-0000-000098160000}"/>
    <cellStyle name="Normal 4 6 7 2 2" xfId="8152" xr:uid="{00000000-0005-0000-0000-000099160000}"/>
    <cellStyle name="Normal 4 6 7 2 2 2" xfId="16602" xr:uid="{A5A104AD-B5A8-4DA0-94F5-4469DB96E5A9}"/>
    <cellStyle name="Normal 4 6 7 2 3" xfId="12384" xr:uid="{07A85A2C-30FB-4F3E-BE94-C175591D1719}"/>
    <cellStyle name="Normal 4 6 7 3" xfId="6007" xr:uid="{00000000-0005-0000-0000-00009A160000}"/>
    <cellStyle name="Normal 4 6 7 3 2" xfId="14457" xr:uid="{BF906E76-97F9-491C-8542-B9DD54814CC7}"/>
    <cellStyle name="Normal 4 6 7 4" xfId="10239" xr:uid="{AD732EB1-1B49-4DF2-BEA6-4D18342251F2}"/>
    <cellStyle name="Normal 4 6 8" xfId="2114" xr:uid="{00000000-0005-0000-0000-00009B160000}"/>
    <cellStyle name="Normal 4 6 8 2" xfId="4343" xr:uid="{00000000-0005-0000-0000-00009C160000}"/>
    <cellStyle name="Normal 4 6 8 2 2" xfId="8565" xr:uid="{00000000-0005-0000-0000-00009D160000}"/>
    <cellStyle name="Normal 4 6 8 2 2 2" xfId="17015" xr:uid="{FF42EAB7-EB46-449E-B9F3-05033825A1FB}"/>
    <cellStyle name="Normal 4 6 8 2 3" xfId="12797" xr:uid="{05BD7BBB-B1E1-4865-9B3E-F9A5217C4478}"/>
    <cellStyle name="Normal 4 6 8 3" xfId="6420" xr:uid="{00000000-0005-0000-0000-00009E160000}"/>
    <cellStyle name="Normal 4 6 8 3 2" xfId="14870" xr:uid="{D7A14382-515B-4476-90BF-FBF7A2616553}"/>
    <cellStyle name="Normal 4 6 8 4" xfId="10652" xr:uid="{5445CFA6-8329-4622-B6D2-F7E29B9932AF}"/>
    <cellStyle name="Normal 4 6 9" xfId="2550" xr:uid="{00000000-0005-0000-0000-00009F160000}"/>
    <cellStyle name="Normal 4 6 9 2" xfId="6833" xr:uid="{00000000-0005-0000-0000-0000A0160000}"/>
    <cellStyle name="Normal 4 6 9 2 2" xfId="15283" xr:uid="{77CAAB3F-91BE-4691-A46B-C3C89D3B13A3}"/>
    <cellStyle name="Normal 4 6 9 3" xfId="11065" xr:uid="{B9D7620D-CE3A-4D7F-BB0C-EE470ABAF55F}"/>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45795B6F-9DD8-4749-9A79-2FD5354BBCB7}"/>
    <cellStyle name="Normal 4 7 2 2 2 3" xfId="11567" xr:uid="{9387AC15-4402-471A-BE00-C72822830E25}"/>
    <cellStyle name="Normal 4 7 2 2 3" xfId="5190" xr:uid="{00000000-0005-0000-0000-0000A6160000}"/>
    <cellStyle name="Normal 4 7 2 2 3 2" xfId="13640" xr:uid="{5AE76E3C-A20D-4390-BB67-4CCD4D269179}"/>
    <cellStyle name="Normal 4 7 2 2 4" xfId="9422" xr:uid="{96BD94E2-4D55-4DF6-95BF-EC6262214246}"/>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5FBD652A-8387-4EBC-B301-C63E40B91180}"/>
    <cellStyle name="Normal 4 7 2 3 2 3" xfId="11980" xr:uid="{39486728-95EB-45DB-A0E7-E7BB91CA9925}"/>
    <cellStyle name="Normal 4 7 2 3 3" xfId="5603" xr:uid="{00000000-0005-0000-0000-0000AA160000}"/>
    <cellStyle name="Normal 4 7 2 3 3 2" xfId="14053" xr:uid="{F41FBC3E-3960-4124-B9EF-158BD1DB3EAC}"/>
    <cellStyle name="Normal 4 7 2 3 4" xfId="9835" xr:uid="{B321EF8F-1F64-4E52-BDB8-4ABE066877D5}"/>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65E2BF92-2E18-41CD-AED5-84DFBC7CB88A}"/>
    <cellStyle name="Normal 4 7 2 4 2 3" xfId="12393" xr:uid="{D8E0174D-5B9C-4ABE-8B22-A154674236C6}"/>
    <cellStyle name="Normal 4 7 2 4 3" xfId="6016" xr:uid="{00000000-0005-0000-0000-0000AE160000}"/>
    <cellStyle name="Normal 4 7 2 4 3 2" xfId="14466" xr:uid="{29BC582F-A5A6-4DA1-9785-D0BC2C3EAE3A}"/>
    <cellStyle name="Normal 4 7 2 4 4" xfId="10248" xr:uid="{43C23B1C-8360-44D0-A8FF-A462DEE9E3AB}"/>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836B416C-51F1-429F-9B2E-1B65A00C3877}"/>
    <cellStyle name="Normal 4 7 2 5 2 3" xfId="12806" xr:uid="{214C1826-ED8C-49A1-AE5B-611E294358BA}"/>
    <cellStyle name="Normal 4 7 2 5 3" xfId="6429" xr:uid="{00000000-0005-0000-0000-0000B2160000}"/>
    <cellStyle name="Normal 4 7 2 5 3 2" xfId="14879" xr:uid="{599C9327-8491-4517-8175-220F1C5663DB}"/>
    <cellStyle name="Normal 4 7 2 5 4" xfId="10661" xr:uid="{C8811F87-A10D-4E7E-8FB2-C09155C7BA47}"/>
    <cellStyle name="Normal 4 7 2 6" xfId="2559" xr:uid="{00000000-0005-0000-0000-0000B3160000}"/>
    <cellStyle name="Normal 4 7 2 6 2" xfId="6842" xr:uid="{00000000-0005-0000-0000-0000B4160000}"/>
    <cellStyle name="Normal 4 7 2 6 2 2" xfId="15292" xr:uid="{8DE9DD3D-A30B-439B-A310-69D683DB3407}"/>
    <cellStyle name="Normal 4 7 2 6 3" xfId="11074" xr:uid="{9210B5CF-466D-48F6-A831-4D3BCD050C6E}"/>
    <cellStyle name="Normal 4 7 2 7" xfId="4777" xr:uid="{00000000-0005-0000-0000-0000B5160000}"/>
    <cellStyle name="Normal 4 7 2 7 2" xfId="13227" xr:uid="{9EEFE038-A347-4857-B171-39C839DCDCBC}"/>
    <cellStyle name="Normal 4 7 2 8" xfId="9009" xr:uid="{AFD24410-77F4-4C3E-A297-135E31B8548C}"/>
    <cellStyle name="Normal 4 7 3" xfId="877" xr:uid="{00000000-0005-0000-0000-0000B6160000}"/>
    <cellStyle name="Normal 4 7 3 2" xfId="3112" xr:uid="{00000000-0005-0000-0000-0000B7160000}"/>
    <cellStyle name="Normal 4 7 3 2 2" xfId="7334" xr:uid="{00000000-0005-0000-0000-0000B8160000}"/>
    <cellStyle name="Normal 4 7 3 2 2 2" xfId="15784" xr:uid="{9F478194-D620-44BE-B54D-55B74E38A141}"/>
    <cellStyle name="Normal 4 7 3 2 3" xfId="11566" xr:uid="{3CB87BC7-A90A-476C-9ED5-03C5997320B2}"/>
    <cellStyle name="Normal 4 7 3 3" xfId="5189" xr:uid="{00000000-0005-0000-0000-0000B9160000}"/>
    <cellStyle name="Normal 4 7 3 3 2" xfId="13639" xr:uid="{8AB0A1AA-07D2-40A2-9074-A0B8DBA2EE63}"/>
    <cellStyle name="Normal 4 7 3 4" xfId="9421" xr:uid="{E4F679C6-214C-4BE6-ACA1-148B15B30A1E}"/>
    <cellStyle name="Normal 4 7 4" xfId="1295" xr:uid="{00000000-0005-0000-0000-0000BA160000}"/>
    <cellStyle name="Normal 4 7 4 2" xfId="3525" xr:uid="{00000000-0005-0000-0000-0000BB160000}"/>
    <cellStyle name="Normal 4 7 4 2 2" xfId="7747" xr:uid="{00000000-0005-0000-0000-0000BC160000}"/>
    <cellStyle name="Normal 4 7 4 2 2 2" xfId="16197" xr:uid="{CFA478A6-85DB-48C7-9AAD-6DC37B7C71B6}"/>
    <cellStyle name="Normal 4 7 4 2 3" xfId="11979" xr:uid="{920175CE-80C7-41AC-8558-18086434F0EA}"/>
    <cellStyle name="Normal 4 7 4 3" xfId="5602" xr:uid="{00000000-0005-0000-0000-0000BD160000}"/>
    <cellStyle name="Normal 4 7 4 3 2" xfId="14052" xr:uid="{5E41D225-8B46-467D-94D9-17DA821E81E5}"/>
    <cellStyle name="Normal 4 7 4 4" xfId="9834" xr:uid="{E801F23B-432C-4C8A-AD4E-DD644129ED21}"/>
    <cellStyle name="Normal 4 7 5" xfId="1708" xr:uid="{00000000-0005-0000-0000-0000BE160000}"/>
    <cellStyle name="Normal 4 7 5 2" xfId="3938" xr:uid="{00000000-0005-0000-0000-0000BF160000}"/>
    <cellStyle name="Normal 4 7 5 2 2" xfId="8160" xr:uid="{00000000-0005-0000-0000-0000C0160000}"/>
    <cellStyle name="Normal 4 7 5 2 2 2" xfId="16610" xr:uid="{2374D104-541D-424C-BAE7-EDB25EF9CB05}"/>
    <cellStyle name="Normal 4 7 5 2 3" xfId="12392" xr:uid="{BF8DE64A-3ACF-49C1-8144-1D63ACD98310}"/>
    <cellStyle name="Normal 4 7 5 3" xfId="6015" xr:uid="{00000000-0005-0000-0000-0000C1160000}"/>
    <cellStyle name="Normal 4 7 5 3 2" xfId="14465" xr:uid="{70AF1F65-21CB-460A-BE71-995D7D6146C3}"/>
    <cellStyle name="Normal 4 7 5 4" xfId="10247" xr:uid="{716D334E-B39F-4659-A5F9-AD0BB12452EC}"/>
    <cellStyle name="Normal 4 7 6" xfId="2122" xr:uid="{00000000-0005-0000-0000-0000C2160000}"/>
    <cellStyle name="Normal 4 7 6 2" xfId="4351" xr:uid="{00000000-0005-0000-0000-0000C3160000}"/>
    <cellStyle name="Normal 4 7 6 2 2" xfId="8573" xr:uid="{00000000-0005-0000-0000-0000C4160000}"/>
    <cellStyle name="Normal 4 7 6 2 2 2" xfId="17023" xr:uid="{8CACBB56-26E8-4DE4-8E49-CE3344BFC369}"/>
    <cellStyle name="Normal 4 7 6 2 3" xfId="12805" xr:uid="{06CF374B-C8A6-4AA0-B885-C7E0F77BCD9C}"/>
    <cellStyle name="Normal 4 7 6 3" xfId="6428" xr:uid="{00000000-0005-0000-0000-0000C5160000}"/>
    <cellStyle name="Normal 4 7 6 3 2" xfId="14878" xr:uid="{3E9D4340-595E-49F5-AE4A-226385757959}"/>
    <cellStyle name="Normal 4 7 6 4" xfId="10660" xr:uid="{6BC052C5-9DD7-4177-B53C-59601E306B0B}"/>
    <cellStyle name="Normal 4 7 7" xfId="2558" xr:uid="{00000000-0005-0000-0000-0000C6160000}"/>
    <cellStyle name="Normal 4 7 7 2" xfId="6841" xr:uid="{00000000-0005-0000-0000-0000C7160000}"/>
    <cellStyle name="Normal 4 7 7 2 2" xfId="15291" xr:uid="{562666D9-7AAA-4C6B-8978-F7F2300F00E2}"/>
    <cellStyle name="Normal 4 7 7 3" xfId="11073" xr:uid="{46D2D4FE-6556-45B8-9B21-BC316AD5A348}"/>
    <cellStyle name="Normal 4 7 8" xfId="4776" xr:uid="{00000000-0005-0000-0000-0000C8160000}"/>
    <cellStyle name="Normal 4 7 8 2" xfId="13226" xr:uid="{96B5CD32-65D1-4392-938F-5DA25AAC3149}"/>
    <cellStyle name="Normal 4 7 9" xfId="9008" xr:uid="{0A90CB3D-C764-4109-956E-8594372B9F7F}"/>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97C2CDA0-8888-4B5C-B698-499F29C83EFA}"/>
    <cellStyle name="Normal 4 8 2 2 3" xfId="11568" xr:uid="{8F7AED38-80B0-4864-BA0C-1D109497DFB8}"/>
    <cellStyle name="Normal 4 8 2 3" xfId="5191" xr:uid="{00000000-0005-0000-0000-0000CD160000}"/>
    <cellStyle name="Normal 4 8 2 3 2" xfId="13641" xr:uid="{C2D1F18B-A57B-4056-8627-790B0816A120}"/>
    <cellStyle name="Normal 4 8 2 4" xfId="9423" xr:uid="{05B13027-0D17-48AA-8173-29087E4CEB7F}"/>
    <cellStyle name="Normal 4 8 3" xfId="1297" xr:uid="{00000000-0005-0000-0000-0000CE160000}"/>
    <cellStyle name="Normal 4 8 3 2" xfId="3527" xr:uid="{00000000-0005-0000-0000-0000CF160000}"/>
    <cellStyle name="Normal 4 8 3 2 2" xfId="7749" xr:uid="{00000000-0005-0000-0000-0000D0160000}"/>
    <cellStyle name="Normal 4 8 3 2 2 2" xfId="16199" xr:uid="{DC1FC6AF-4CE6-4843-B26F-5BD5CFF44E6F}"/>
    <cellStyle name="Normal 4 8 3 2 3" xfId="11981" xr:uid="{8F0CF79D-135C-42D3-90BC-A07FCAA9DA56}"/>
    <cellStyle name="Normal 4 8 3 3" xfId="5604" xr:uid="{00000000-0005-0000-0000-0000D1160000}"/>
    <cellStyle name="Normal 4 8 3 3 2" xfId="14054" xr:uid="{8CCA019D-DBE7-4D3D-9C58-61D3D7E4934B}"/>
    <cellStyle name="Normal 4 8 3 4" xfId="9836" xr:uid="{0757D54F-FAF3-46AC-B802-4A2AFE64A78C}"/>
    <cellStyle name="Normal 4 8 4" xfId="1710" xr:uid="{00000000-0005-0000-0000-0000D2160000}"/>
    <cellStyle name="Normal 4 8 4 2" xfId="3940" xr:uid="{00000000-0005-0000-0000-0000D3160000}"/>
    <cellStyle name="Normal 4 8 4 2 2" xfId="8162" xr:uid="{00000000-0005-0000-0000-0000D4160000}"/>
    <cellStyle name="Normal 4 8 4 2 2 2" xfId="16612" xr:uid="{F6FF6A8D-ACF9-4479-8E71-58BC52F7A156}"/>
    <cellStyle name="Normal 4 8 4 2 3" xfId="12394" xr:uid="{D48BE3C3-C7BD-4949-9613-1FE1E6082FF4}"/>
    <cellStyle name="Normal 4 8 4 3" xfId="6017" xr:uid="{00000000-0005-0000-0000-0000D5160000}"/>
    <cellStyle name="Normal 4 8 4 3 2" xfId="14467" xr:uid="{7CFCBB75-E292-4C26-9BB5-6EB86FF78E40}"/>
    <cellStyle name="Normal 4 8 4 4" xfId="10249" xr:uid="{81D85040-A104-438B-A4C6-B41967A91F09}"/>
    <cellStyle name="Normal 4 8 5" xfId="2124" xr:uid="{00000000-0005-0000-0000-0000D6160000}"/>
    <cellStyle name="Normal 4 8 5 2" xfId="4353" xr:uid="{00000000-0005-0000-0000-0000D7160000}"/>
    <cellStyle name="Normal 4 8 5 2 2" xfId="8575" xr:uid="{00000000-0005-0000-0000-0000D8160000}"/>
    <cellStyle name="Normal 4 8 5 2 2 2" xfId="17025" xr:uid="{0764FD59-7749-47E9-85C3-D81120A0C5D5}"/>
    <cellStyle name="Normal 4 8 5 2 3" xfId="12807" xr:uid="{EE9B4E1B-81A6-4D08-A961-3E411AD70291}"/>
    <cellStyle name="Normal 4 8 5 3" xfId="6430" xr:uid="{00000000-0005-0000-0000-0000D9160000}"/>
    <cellStyle name="Normal 4 8 5 3 2" xfId="14880" xr:uid="{0F363631-1EC8-49B9-86DF-AA29C96E9C6C}"/>
    <cellStyle name="Normal 4 8 5 4" xfId="10662" xr:uid="{556A674C-F114-470E-AC1C-BEEE108A3896}"/>
    <cellStyle name="Normal 4 8 6" xfId="2560" xr:uid="{00000000-0005-0000-0000-0000DA160000}"/>
    <cellStyle name="Normal 4 8 6 2" xfId="6843" xr:uid="{00000000-0005-0000-0000-0000DB160000}"/>
    <cellStyle name="Normal 4 8 6 2 2" xfId="15293" xr:uid="{FABD61B7-5F40-459C-9A90-499272E5CA10}"/>
    <cellStyle name="Normal 4 8 6 3" xfId="11075" xr:uid="{64E51D4E-C87E-45B5-853F-510137415716}"/>
    <cellStyle name="Normal 4 8 7" xfId="4778" xr:uid="{00000000-0005-0000-0000-0000DC160000}"/>
    <cellStyle name="Normal 4 8 7 2" xfId="13228" xr:uid="{D55FE39F-33AF-4B65-8DAD-4442D227FC9D}"/>
    <cellStyle name="Normal 4 8 8" xfId="9010" xr:uid="{FC0E93E6-C25A-44D6-B757-E8C2F8C120D2}"/>
    <cellStyle name="Normal 4 9" xfId="4715" xr:uid="{00000000-0005-0000-0000-0000DD160000}"/>
    <cellStyle name="Normal 4 9 2" xfId="13165" xr:uid="{7EE8D55B-8AD8-46CD-8D68-F4B6C2C98729}"/>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C9BEF5CA-B390-4B1E-8F34-5F6B202B9E55}"/>
    <cellStyle name="Normal 5 10 2 3" xfId="12395" xr:uid="{F4F0E1AB-C917-4934-94EA-1F3BA50E3B4E}"/>
    <cellStyle name="Normal 5 10 3" xfId="6018" xr:uid="{00000000-0005-0000-0000-0000E2160000}"/>
    <cellStyle name="Normal 5 10 3 2" xfId="14468" xr:uid="{2EEB8EDE-9257-4368-B335-E177EB37F64D}"/>
    <cellStyle name="Normal 5 10 4" xfId="10250" xr:uid="{2EA8EC68-A46A-4FA3-A2F7-32FB466EA7A5}"/>
    <cellStyle name="Normal 5 11" xfId="2125" xr:uid="{00000000-0005-0000-0000-0000E3160000}"/>
    <cellStyle name="Normal 5 11 2" xfId="4354" xr:uid="{00000000-0005-0000-0000-0000E4160000}"/>
    <cellStyle name="Normal 5 11 2 2" xfId="8576" xr:uid="{00000000-0005-0000-0000-0000E5160000}"/>
    <cellStyle name="Normal 5 11 2 2 2" xfId="17026" xr:uid="{595FB402-A7EB-45AA-9494-8C0D2505DF2A}"/>
    <cellStyle name="Normal 5 11 2 3" xfId="12808" xr:uid="{6F91A411-0AF3-41BF-AF5D-90C43170CF7C}"/>
    <cellStyle name="Normal 5 11 3" xfId="6431" xr:uid="{00000000-0005-0000-0000-0000E6160000}"/>
    <cellStyle name="Normal 5 11 3 2" xfId="14881" xr:uid="{FFB9D3FB-145B-47CE-9B78-C0B40A20ECA4}"/>
    <cellStyle name="Normal 5 11 4" xfId="10663" xr:uid="{0AE7A49C-3134-40F8-8AE5-A5CECE3BD0D7}"/>
    <cellStyle name="Normal 5 12" xfId="2561" xr:uid="{00000000-0005-0000-0000-0000E7160000}"/>
    <cellStyle name="Normal 5 12 2" xfId="6844" xr:uid="{00000000-0005-0000-0000-0000E8160000}"/>
    <cellStyle name="Normal 5 12 2 2" xfId="15294" xr:uid="{2B63557D-B871-4F2A-9283-7C17EC317DC4}"/>
    <cellStyle name="Normal 5 12 3" xfId="11076" xr:uid="{69070428-07DA-40CF-952D-071F8EDFBA16}"/>
    <cellStyle name="Normal 5 13" xfId="4779" xr:uid="{00000000-0005-0000-0000-0000E9160000}"/>
    <cellStyle name="Normal 5 13 2" xfId="13229" xr:uid="{FC082F5D-11A1-42EB-AD72-98FEB98DBB1F}"/>
    <cellStyle name="Normal 5 14" xfId="9011" xr:uid="{BB35B104-5AF4-4938-BD31-1EDA333D5E9B}"/>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659F380A-A5EE-4676-BA91-99AAD5F42EA2}"/>
    <cellStyle name="Normal 5 2 10 2 3" xfId="12809" xr:uid="{042498BA-301D-43D3-9774-BCD35C838001}"/>
    <cellStyle name="Normal 5 2 10 3" xfId="6432" xr:uid="{00000000-0005-0000-0000-0000EE160000}"/>
    <cellStyle name="Normal 5 2 10 3 2" xfId="14882" xr:uid="{14FC18C3-686F-4B78-8DDC-69D733ED3B05}"/>
    <cellStyle name="Normal 5 2 10 4" xfId="10664" xr:uid="{9974D1C6-A414-426F-8489-9351E15F5501}"/>
    <cellStyle name="Normal 5 2 11" xfId="2562" xr:uid="{00000000-0005-0000-0000-0000EF160000}"/>
    <cellStyle name="Normal 5 2 11 2" xfId="6845" xr:uid="{00000000-0005-0000-0000-0000F0160000}"/>
    <cellStyle name="Normal 5 2 11 2 2" xfId="15295" xr:uid="{811EC77A-7753-44DB-B4E6-9AFFAB1767FE}"/>
    <cellStyle name="Normal 5 2 11 3" xfId="11077" xr:uid="{CA5EDF29-04C2-42FB-BAC3-16552974DB8D}"/>
    <cellStyle name="Normal 5 2 12" xfId="4780" xr:uid="{00000000-0005-0000-0000-0000F1160000}"/>
    <cellStyle name="Normal 5 2 12 2" xfId="13230" xr:uid="{2D982B9D-5F62-40A4-90A0-C0FFDB966662}"/>
    <cellStyle name="Normal 5 2 13" xfId="9012" xr:uid="{970F85B7-B92A-4053-9191-FEEDB7BD2ED6}"/>
    <cellStyle name="Normal 5 2 2" xfId="408" xr:uid="{00000000-0005-0000-0000-0000F2160000}"/>
    <cellStyle name="Normal 5 2 2 10" xfId="2563" xr:uid="{00000000-0005-0000-0000-0000F3160000}"/>
    <cellStyle name="Normal 5 2 2 10 2" xfId="6846" xr:uid="{00000000-0005-0000-0000-0000F4160000}"/>
    <cellStyle name="Normal 5 2 2 10 2 2" xfId="15296" xr:uid="{6B691E16-6588-44CA-AB2D-16B6D33926F8}"/>
    <cellStyle name="Normal 5 2 2 10 3" xfId="11078" xr:uid="{EAD2A8BE-A9D0-4DF4-B7BF-D797941F57F5}"/>
    <cellStyle name="Normal 5 2 2 11" xfId="4781" xr:uid="{00000000-0005-0000-0000-0000F5160000}"/>
    <cellStyle name="Normal 5 2 2 11 2" xfId="13231" xr:uid="{E491D863-DA00-4321-B9B1-7893B32D8945}"/>
    <cellStyle name="Normal 5 2 2 12" xfId="9013" xr:uid="{CAD84A7C-2AA6-48D6-BE27-4658960BF55C}"/>
    <cellStyle name="Normal 5 2 2 2" xfId="409" xr:uid="{00000000-0005-0000-0000-0000F6160000}"/>
    <cellStyle name="Normal 5 2 2 2 10" xfId="4782" xr:uid="{00000000-0005-0000-0000-0000F7160000}"/>
    <cellStyle name="Normal 5 2 2 2 10 2" xfId="13232" xr:uid="{3C4BA4FF-A06C-43DE-AB1F-39312F821061}"/>
    <cellStyle name="Normal 5 2 2 2 11" xfId="9014" xr:uid="{74C864FE-E4FD-4337-8E16-8620A0327D60}"/>
    <cellStyle name="Normal 5 2 2 2 2" xfId="410" xr:uid="{00000000-0005-0000-0000-0000F8160000}"/>
    <cellStyle name="Normal 5 2 2 2 2 10" xfId="9015" xr:uid="{1A996BAC-ECE5-4AF6-8F45-7DEEC1020039}"/>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F6CFE6C2-D405-4612-9CCE-7A70AD60F1E4}"/>
    <cellStyle name="Normal 5 2 2 2 2 2 2 2 2 3" xfId="11575" xr:uid="{619DD3A8-3CD4-42C0-A352-69AC2435F8D8}"/>
    <cellStyle name="Normal 5 2 2 2 2 2 2 2 3" xfId="5198" xr:uid="{00000000-0005-0000-0000-0000FE160000}"/>
    <cellStyle name="Normal 5 2 2 2 2 2 2 2 3 2" xfId="13648" xr:uid="{9986CA4E-C7E5-4B3B-8936-25CBB53DF892}"/>
    <cellStyle name="Normal 5 2 2 2 2 2 2 2 4" xfId="9430" xr:uid="{217E5DBC-3422-4BCD-B340-F3EF0D987875}"/>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0A6612DC-D011-4BFA-B78D-B17CEDCF63BF}"/>
    <cellStyle name="Normal 5 2 2 2 2 2 2 3 2 3" xfId="11988" xr:uid="{09333B2F-1AEF-424D-A0C2-B28197325675}"/>
    <cellStyle name="Normal 5 2 2 2 2 2 2 3 3" xfId="5611" xr:uid="{00000000-0005-0000-0000-000002170000}"/>
    <cellStyle name="Normal 5 2 2 2 2 2 2 3 3 2" xfId="14061" xr:uid="{522A290D-8AC6-476A-BDC7-AF980FDFFE7C}"/>
    <cellStyle name="Normal 5 2 2 2 2 2 2 3 4" xfId="9843" xr:uid="{3A8088D8-5D8A-43F1-AD37-8443F4710283}"/>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11B60289-DF7F-4EB8-9231-84FC0E21C5E2}"/>
    <cellStyle name="Normal 5 2 2 2 2 2 2 4 2 3" xfId="12401" xr:uid="{9C08ECE9-C392-4C40-8823-375B469EF78F}"/>
    <cellStyle name="Normal 5 2 2 2 2 2 2 4 3" xfId="6024" xr:uid="{00000000-0005-0000-0000-000006170000}"/>
    <cellStyle name="Normal 5 2 2 2 2 2 2 4 3 2" xfId="14474" xr:uid="{71D44B46-08F9-4B67-8AB3-7EEDB1359168}"/>
    <cellStyle name="Normal 5 2 2 2 2 2 2 4 4" xfId="10256" xr:uid="{D493691F-EC00-4310-8F33-B48B0AB87E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5162D14D-99C7-4A0D-BD0A-5AEA0E3C0150}"/>
    <cellStyle name="Normal 5 2 2 2 2 2 2 5 2 3" xfId="12814" xr:uid="{5EBC066D-715B-4AA8-B0DB-954A34782AB8}"/>
    <cellStyle name="Normal 5 2 2 2 2 2 2 5 3" xfId="6437" xr:uid="{00000000-0005-0000-0000-00000A170000}"/>
    <cellStyle name="Normal 5 2 2 2 2 2 2 5 3 2" xfId="14887" xr:uid="{CB0C44CF-BEC0-4B09-853D-7F9FCC69A4D2}"/>
    <cellStyle name="Normal 5 2 2 2 2 2 2 5 4" xfId="10669" xr:uid="{088E8B41-6FDB-467E-890D-2F7358041664}"/>
    <cellStyle name="Normal 5 2 2 2 2 2 2 6" xfId="2567" xr:uid="{00000000-0005-0000-0000-00000B170000}"/>
    <cellStyle name="Normal 5 2 2 2 2 2 2 6 2" xfId="6850" xr:uid="{00000000-0005-0000-0000-00000C170000}"/>
    <cellStyle name="Normal 5 2 2 2 2 2 2 6 2 2" xfId="15300" xr:uid="{ADF50B91-7253-47BD-891F-D691E798C796}"/>
    <cellStyle name="Normal 5 2 2 2 2 2 2 6 3" xfId="11082" xr:uid="{2176715C-978F-4507-B795-EFD0D29590B9}"/>
    <cellStyle name="Normal 5 2 2 2 2 2 2 7" xfId="4785" xr:uid="{00000000-0005-0000-0000-00000D170000}"/>
    <cellStyle name="Normal 5 2 2 2 2 2 2 7 2" xfId="13235" xr:uid="{8DC56F0A-E8E7-4ADD-BE1D-CC86097A1812}"/>
    <cellStyle name="Normal 5 2 2 2 2 2 2 8" xfId="9017" xr:uid="{2E77D91A-BC55-4AA1-958D-B2730350CE78}"/>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5CA9DC8A-2C96-48A8-A13B-8DAAEFCBDCD7}"/>
    <cellStyle name="Normal 5 2 2 2 2 2 3 2 3" xfId="11574" xr:uid="{C71FD776-A66C-411F-88A9-A2A7D082034D}"/>
    <cellStyle name="Normal 5 2 2 2 2 2 3 3" xfId="5197" xr:uid="{00000000-0005-0000-0000-000011170000}"/>
    <cellStyle name="Normal 5 2 2 2 2 2 3 3 2" xfId="13647" xr:uid="{8076F62B-C6EC-4A31-8B21-9F0FAA967291}"/>
    <cellStyle name="Normal 5 2 2 2 2 2 3 4" xfId="9429" xr:uid="{90170CC2-7971-441E-B917-C34D68456259}"/>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51621452-26EE-4AF2-8ECB-B6962AC9AC92}"/>
    <cellStyle name="Normal 5 2 2 2 2 2 4 2 3" xfId="11987" xr:uid="{C4B77C0D-F023-4D7B-BEB7-49A9BCAC7F4B}"/>
    <cellStyle name="Normal 5 2 2 2 2 2 4 3" xfId="5610" xr:uid="{00000000-0005-0000-0000-000015170000}"/>
    <cellStyle name="Normal 5 2 2 2 2 2 4 3 2" xfId="14060" xr:uid="{3965D3E3-D276-42B1-91DD-5A9696DED81D}"/>
    <cellStyle name="Normal 5 2 2 2 2 2 4 4" xfId="9842" xr:uid="{3F92AB06-8A0B-46B4-8EA7-7CCA53A9499A}"/>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209D6251-F459-484A-9DBE-74F23A7F20B8}"/>
    <cellStyle name="Normal 5 2 2 2 2 2 5 2 3" xfId="12400" xr:uid="{7E4A4B78-2EC3-4C43-BF5B-75CBFECB0D77}"/>
    <cellStyle name="Normal 5 2 2 2 2 2 5 3" xfId="6023" xr:uid="{00000000-0005-0000-0000-000019170000}"/>
    <cellStyle name="Normal 5 2 2 2 2 2 5 3 2" xfId="14473" xr:uid="{36B366E3-4D01-4B4C-820E-CE6D818592DB}"/>
    <cellStyle name="Normal 5 2 2 2 2 2 5 4" xfId="10255" xr:uid="{89880FC6-EAB6-49C0-888D-9FB5DFD9F1FE}"/>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C2DDBCCB-87C8-488A-8D72-DF2A8235AF86}"/>
    <cellStyle name="Normal 5 2 2 2 2 2 6 2 3" xfId="12813" xr:uid="{5AAB62DF-27CA-478E-951A-91EBAA00EC31}"/>
    <cellStyle name="Normal 5 2 2 2 2 2 6 3" xfId="6436" xr:uid="{00000000-0005-0000-0000-00001D170000}"/>
    <cellStyle name="Normal 5 2 2 2 2 2 6 3 2" xfId="14886" xr:uid="{3914B0C0-09AD-4913-866F-15075BABE028}"/>
    <cellStyle name="Normal 5 2 2 2 2 2 6 4" xfId="10668" xr:uid="{A170CB16-F77D-469E-9679-0947FD2F28F8}"/>
    <cellStyle name="Normal 5 2 2 2 2 2 7" xfId="2566" xr:uid="{00000000-0005-0000-0000-00001E170000}"/>
    <cellStyle name="Normal 5 2 2 2 2 2 7 2" xfId="6849" xr:uid="{00000000-0005-0000-0000-00001F170000}"/>
    <cellStyle name="Normal 5 2 2 2 2 2 7 2 2" xfId="15299" xr:uid="{D26AEADE-1E08-4D99-B6EF-3F231954753B}"/>
    <cellStyle name="Normal 5 2 2 2 2 2 7 3" xfId="11081" xr:uid="{540E9581-9BA8-484F-B5F4-DC56749C3E58}"/>
    <cellStyle name="Normal 5 2 2 2 2 2 8" xfId="4784" xr:uid="{00000000-0005-0000-0000-000020170000}"/>
    <cellStyle name="Normal 5 2 2 2 2 2 8 2" xfId="13234" xr:uid="{4E5B7BB0-3B54-4298-9513-230FFF673828}"/>
    <cellStyle name="Normal 5 2 2 2 2 2 9" xfId="9016" xr:uid="{C1271E97-7208-41C8-AC10-7493F8A59C74}"/>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3592AD10-578A-4D0F-B0E6-3F2FBD403D34}"/>
    <cellStyle name="Normal 5 2 2 2 2 3 2 2 3" xfId="11576" xr:uid="{FD7E79AF-1E81-4F40-87F7-47C6D925A559}"/>
    <cellStyle name="Normal 5 2 2 2 2 3 2 3" xfId="5199" xr:uid="{00000000-0005-0000-0000-000025170000}"/>
    <cellStyle name="Normal 5 2 2 2 2 3 2 3 2" xfId="13649" xr:uid="{28103AFE-4A20-4916-AEDA-A24A4F362A0E}"/>
    <cellStyle name="Normal 5 2 2 2 2 3 2 4" xfId="9431" xr:uid="{4A07A6E3-A1A0-4A7E-8822-D1A6C7F21A0C}"/>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315F4D6D-59DB-4CBD-80D2-3532E1F194C8}"/>
    <cellStyle name="Normal 5 2 2 2 2 3 3 2 3" xfId="11989" xr:uid="{8E872556-1B4E-4BDF-926A-64907018B0E5}"/>
    <cellStyle name="Normal 5 2 2 2 2 3 3 3" xfId="5612" xr:uid="{00000000-0005-0000-0000-000029170000}"/>
    <cellStyle name="Normal 5 2 2 2 2 3 3 3 2" xfId="14062" xr:uid="{0C3AC159-1C82-4215-9A7F-FFFDDEA33ECE}"/>
    <cellStyle name="Normal 5 2 2 2 2 3 3 4" xfId="9844" xr:uid="{E9E82D2C-94F5-4AE4-9535-5E36743A407D}"/>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A2E034B1-F418-4794-9BC0-268D01E06919}"/>
    <cellStyle name="Normal 5 2 2 2 2 3 4 2 3" xfId="12402" xr:uid="{D52FA6A9-AD4C-4FD8-9B14-131B1A4057EA}"/>
    <cellStyle name="Normal 5 2 2 2 2 3 4 3" xfId="6025" xr:uid="{00000000-0005-0000-0000-00002D170000}"/>
    <cellStyle name="Normal 5 2 2 2 2 3 4 3 2" xfId="14475" xr:uid="{BF9510B2-1916-4831-9B58-E46FD157ECB5}"/>
    <cellStyle name="Normal 5 2 2 2 2 3 4 4" xfId="10257" xr:uid="{98152FB1-3ED4-44CD-91C7-293D875674E7}"/>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40CD997A-299A-4ADE-9352-C61873C5D61D}"/>
    <cellStyle name="Normal 5 2 2 2 2 3 5 2 3" xfId="12815" xr:uid="{E9D1CE61-8C18-426F-9DE4-C4F975328FB2}"/>
    <cellStyle name="Normal 5 2 2 2 2 3 5 3" xfId="6438" xr:uid="{00000000-0005-0000-0000-000031170000}"/>
    <cellStyle name="Normal 5 2 2 2 2 3 5 3 2" xfId="14888" xr:uid="{B430CC9B-46EE-4546-A04A-69D089F59692}"/>
    <cellStyle name="Normal 5 2 2 2 2 3 5 4" xfId="10670" xr:uid="{7EAE9B0B-0B73-499E-BB22-09D99FA70237}"/>
    <cellStyle name="Normal 5 2 2 2 2 3 6" xfId="2568" xr:uid="{00000000-0005-0000-0000-000032170000}"/>
    <cellStyle name="Normal 5 2 2 2 2 3 6 2" xfId="6851" xr:uid="{00000000-0005-0000-0000-000033170000}"/>
    <cellStyle name="Normal 5 2 2 2 2 3 6 2 2" xfId="15301" xr:uid="{82FF5F31-5C7F-475C-B5C5-F2B493A57F57}"/>
    <cellStyle name="Normal 5 2 2 2 2 3 6 3" xfId="11083" xr:uid="{50DDB6EE-5F6A-4787-B718-31A815F09528}"/>
    <cellStyle name="Normal 5 2 2 2 2 3 7" xfId="4786" xr:uid="{00000000-0005-0000-0000-000034170000}"/>
    <cellStyle name="Normal 5 2 2 2 2 3 7 2" xfId="13236" xr:uid="{AC773E63-C8C2-4453-B665-6542384657F4}"/>
    <cellStyle name="Normal 5 2 2 2 2 3 8" xfId="9018" xr:uid="{E07CC3E4-2F7F-4F13-8B80-A83FA4F6B2F8}"/>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B652FB87-6A15-4235-9B0F-0411459A8EE8}"/>
    <cellStyle name="Normal 5 2 2 2 2 4 2 3" xfId="11573" xr:uid="{BE8D5FC8-9219-40AB-B2FF-9DBE70933024}"/>
    <cellStyle name="Normal 5 2 2 2 2 4 3" xfId="5196" xr:uid="{00000000-0005-0000-0000-000038170000}"/>
    <cellStyle name="Normal 5 2 2 2 2 4 3 2" xfId="13646" xr:uid="{C97C0DF8-C607-4884-BED9-819ADB7F2095}"/>
    <cellStyle name="Normal 5 2 2 2 2 4 4" xfId="9428" xr:uid="{FED3DED8-63B5-4347-89CC-C4ADFEE769E9}"/>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F69155B1-65E3-4659-AA39-F6E583E695A9}"/>
    <cellStyle name="Normal 5 2 2 2 2 5 2 3" xfId="11986" xr:uid="{68C51925-F1CF-4040-B577-14FBA3771ED7}"/>
    <cellStyle name="Normal 5 2 2 2 2 5 3" xfId="5609" xr:uid="{00000000-0005-0000-0000-00003C170000}"/>
    <cellStyle name="Normal 5 2 2 2 2 5 3 2" xfId="14059" xr:uid="{5D2155AF-8F5E-4F37-AA72-BD57CB420580}"/>
    <cellStyle name="Normal 5 2 2 2 2 5 4" xfId="9841" xr:uid="{E894D24F-F7E7-49AB-8A04-CC158AFA624F}"/>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B8C6EDD8-9818-4799-9976-D09B8E5D2341}"/>
    <cellStyle name="Normal 5 2 2 2 2 6 2 3" xfId="12399" xr:uid="{5D478736-F4CC-4D61-9A1C-CDA28746605A}"/>
    <cellStyle name="Normal 5 2 2 2 2 6 3" xfId="6022" xr:uid="{00000000-0005-0000-0000-000040170000}"/>
    <cellStyle name="Normal 5 2 2 2 2 6 3 2" xfId="14472" xr:uid="{243A5B13-C6B2-41C6-9633-D7A7DD8F5A2E}"/>
    <cellStyle name="Normal 5 2 2 2 2 6 4" xfId="10254" xr:uid="{254841FF-1B9F-49C2-8DDD-E6270B2DF756}"/>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5C8A464E-2D1B-402A-96C6-02B3DC58AF9F}"/>
    <cellStyle name="Normal 5 2 2 2 2 7 2 3" xfId="12812" xr:uid="{2CCB2F5A-36B1-4EC1-8D25-BD72998EEA02}"/>
    <cellStyle name="Normal 5 2 2 2 2 7 3" xfId="6435" xr:uid="{00000000-0005-0000-0000-000044170000}"/>
    <cellStyle name="Normal 5 2 2 2 2 7 3 2" xfId="14885" xr:uid="{18BBDF34-E0AF-48C3-ABDD-FA1591A37FD6}"/>
    <cellStyle name="Normal 5 2 2 2 2 7 4" xfId="10667" xr:uid="{07296579-662B-4C18-8D47-2FA97F515312}"/>
    <cellStyle name="Normal 5 2 2 2 2 8" xfId="2565" xr:uid="{00000000-0005-0000-0000-000045170000}"/>
    <cellStyle name="Normal 5 2 2 2 2 8 2" xfId="6848" xr:uid="{00000000-0005-0000-0000-000046170000}"/>
    <cellStyle name="Normal 5 2 2 2 2 8 2 2" xfId="15298" xr:uid="{6DF641D5-F2B9-4B3A-9BBE-8AB6F242588E}"/>
    <cellStyle name="Normal 5 2 2 2 2 8 3" xfId="11080" xr:uid="{CC4EC13E-4533-4654-B24A-EF0CC3DF0CD2}"/>
    <cellStyle name="Normal 5 2 2 2 2 9" xfId="4783" xr:uid="{00000000-0005-0000-0000-000047170000}"/>
    <cellStyle name="Normal 5 2 2 2 2 9 2" xfId="13233" xr:uid="{FEFC12BA-27C8-4135-ACA1-3641D1A13445}"/>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0E501BC1-9E3A-486C-941C-6C2D05753257}"/>
    <cellStyle name="Normal 5 2 2 2 3 2 2 2 3" xfId="11578" xr:uid="{4DCAB50A-9464-4CC3-AF9C-0C892EAF12D8}"/>
    <cellStyle name="Normal 5 2 2 2 3 2 2 3" xfId="5201" xr:uid="{00000000-0005-0000-0000-00004D170000}"/>
    <cellStyle name="Normal 5 2 2 2 3 2 2 3 2" xfId="13651" xr:uid="{1AE38DFF-15E7-47E0-BBB2-267E0E2A4D0B}"/>
    <cellStyle name="Normal 5 2 2 2 3 2 2 4" xfId="9433" xr:uid="{FC4CFC6A-9D7E-4047-BB01-01ACBF0865C5}"/>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4C83E318-F111-4CF2-987E-57C9048DC053}"/>
    <cellStyle name="Normal 5 2 2 2 3 2 3 2 3" xfId="11991" xr:uid="{00D4DAF4-9B33-4EFC-92AE-C1A07886086E}"/>
    <cellStyle name="Normal 5 2 2 2 3 2 3 3" xfId="5614" xr:uid="{00000000-0005-0000-0000-000051170000}"/>
    <cellStyle name="Normal 5 2 2 2 3 2 3 3 2" xfId="14064" xr:uid="{ED5F32A6-2D9F-4AC7-B149-96387D38272F}"/>
    <cellStyle name="Normal 5 2 2 2 3 2 3 4" xfId="9846" xr:uid="{20A72F12-D7CE-4207-8E2D-2D4C34AA1527}"/>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A7625777-3435-48C6-AAE4-A482F17D2240}"/>
    <cellStyle name="Normal 5 2 2 2 3 2 4 2 3" xfId="12404" xr:uid="{67D19F82-CEFF-4DA1-86CA-55E6366CA3D6}"/>
    <cellStyle name="Normal 5 2 2 2 3 2 4 3" xfId="6027" xr:uid="{00000000-0005-0000-0000-000055170000}"/>
    <cellStyle name="Normal 5 2 2 2 3 2 4 3 2" xfId="14477" xr:uid="{F20C1AC2-A4E6-4D74-8550-B9B322251687}"/>
    <cellStyle name="Normal 5 2 2 2 3 2 4 4" xfId="10259" xr:uid="{965CAB3E-AD02-4D39-8367-4D4A31D27275}"/>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8395E871-A3AD-445E-AF44-FA9A6C8AA9EB}"/>
    <cellStyle name="Normal 5 2 2 2 3 2 5 2 3" xfId="12817" xr:uid="{6A35D55E-5297-4A15-BFA6-0C445A30746A}"/>
    <cellStyle name="Normal 5 2 2 2 3 2 5 3" xfId="6440" xr:uid="{00000000-0005-0000-0000-000059170000}"/>
    <cellStyle name="Normal 5 2 2 2 3 2 5 3 2" xfId="14890" xr:uid="{A8F732D0-8EFA-4435-A338-B9AF39CFE2E4}"/>
    <cellStyle name="Normal 5 2 2 2 3 2 5 4" xfId="10672" xr:uid="{C1D3D7DE-BE19-4D9E-B609-B42E295F13D7}"/>
    <cellStyle name="Normal 5 2 2 2 3 2 6" xfId="2570" xr:uid="{00000000-0005-0000-0000-00005A170000}"/>
    <cellStyle name="Normal 5 2 2 2 3 2 6 2" xfId="6853" xr:uid="{00000000-0005-0000-0000-00005B170000}"/>
    <cellStyle name="Normal 5 2 2 2 3 2 6 2 2" xfId="15303" xr:uid="{F18BB86B-4A27-44EC-A277-C4A510476A8D}"/>
    <cellStyle name="Normal 5 2 2 2 3 2 6 3" xfId="11085" xr:uid="{C0708FC9-7DFC-47CF-A306-E000ACC4F1BB}"/>
    <cellStyle name="Normal 5 2 2 2 3 2 7" xfId="4788" xr:uid="{00000000-0005-0000-0000-00005C170000}"/>
    <cellStyle name="Normal 5 2 2 2 3 2 7 2" xfId="13238" xr:uid="{91BBC6A0-EEAC-4A29-90C9-FBD5FF44F98A}"/>
    <cellStyle name="Normal 5 2 2 2 3 2 8" xfId="9020" xr:uid="{9BE629F1-4223-410A-85F6-22059B21A0AE}"/>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3A5BF6C2-D70A-4E2C-9142-012B0A133B63}"/>
    <cellStyle name="Normal 5 2 2 2 3 3 2 3" xfId="11577" xr:uid="{8C419177-60E5-4A94-90C9-09E398C0C911}"/>
    <cellStyle name="Normal 5 2 2 2 3 3 3" xfId="5200" xr:uid="{00000000-0005-0000-0000-000060170000}"/>
    <cellStyle name="Normal 5 2 2 2 3 3 3 2" xfId="13650" xr:uid="{4131BA67-7312-438D-959C-D59AC7CD0DDD}"/>
    <cellStyle name="Normal 5 2 2 2 3 3 4" xfId="9432" xr:uid="{784C9800-80BF-4B7B-B181-6AEB2382C4AE}"/>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74933B56-55B9-4E98-97A9-6C44800B0C34}"/>
    <cellStyle name="Normal 5 2 2 2 3 4 2 3" xfId="11990" xr:uid="{E4E819C3-F041-4298-9348-A1123BB72D9F}"/>
    <cellStyle name="Normal 5 2 2 2 3 4 3" xfId="5613" xr:uid="{00000000-0005-0000-0000-000064170000}"/>
    <cellStyle name="Normal 5 2 2 2 3 4 3 2" xfId="14063" xr:uid="{A6884EED-C658-4D45-A671-D57455A97B75}"/>
    <cellStyle name="Normal 5 2 2 2 3 4 4" xfId="9845" xr:uid="{BD6E670A-C9F1-4D25-A566-35B5990A789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F2146B19-109C-4AE3-8B0C-6E2BCB9B2DF8}"/>
    <cellStyle name="Normal 5 2 2 2 3 5 2 3" xfId="12403" xr:uid="{162B5FBB-5AC8-4B4D-A216-66A3BC81213E}"/>
    <cellStyle name="Normal 5 2 2 2 3 5 3" xfId="6026" xr:uid="{00000000-0005-0000-0000-000068170000}"/>
    <cellStyle name="Normal 5 2 2 2 3 5 3 2" xfId="14476" xr:uid="{14DAC778-A573-413F-9226-02F4F1168656}"/>
    <cellStyle name="Normal 5 2 2 2 3 5 4" xfId="10258" xr:uid="{AD480809-0F5B-4FEF-BFD5-BACC097B8391}"/>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E865BF31-5C30-401C-BCF3-E28AF82ACB2D}"/>
    <cellStyle name="Normal 5 2 2 2 3 6 2 3" xfId="12816" xr:uid="{38453E87-E872-42BB-AD7C-7FA6814B6D5F}"/>
    <cellStyle name="Normal 5 2 2 2 3 6 3" xfId="6439" xr:uid="{00000000-0005-0000-0000-00006C170000}"/>
    <cellStyle name="Normal 5 2 2 2 3 6 3 2" xfId="14889" xr:uid="{E9F6EDE5-11D7-459F-9F82-8CD96A2063BE}"/>
    <cellStyle name="Normal 5 2 2 2 3 6 4" xfId="10671" xr:uid="{ECA919E2-6058-4D13-AC53-F7728A13B2D0}"/>
    <cellStyle name="Normal 5 2 2 2 3 7" xfId="2569" xr:uid="{00000000-0005-0000-0000-00006D170000}"/>
    <cellStyle name="Normal 5 2 2 2 3 7 2" xfId="6852" xr:uid="{00000000-0005-0000-0000-00006E170000}"/>
    <cellStyle name="Normal 5 2 2 2 3 7 2 2" xfId="15302" xr:uid="{65C75732-A0A4-4C0E-9F3A-2891DCC57514}"/>
    <cellStyle name="Normal 5 2 2 2 3 7 3" xfId="11084" xr:uid="{FCC410F5-E993-474E-A5A3-AAE98931C20E}"/>
    <cellStyle name="Normal 5 2 2 2 3 8" xfId="4787" xr:uid="{00000000-0005-0000-0000-00006F170000}"/>
    <cellStyle name="Normal 5 2 2 2 3 8 2" xfId="13237" xr:uid="{0C6ADA0D-A26B-420D-8C7B-987046ADCF99}"/>
    <cellStyle name="Normal 5 2 2 2 3 9" xfId="9019" xr:uid="{A6DF7A3D-6513-4020-A3D6-3D118C35420E}"/>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9D68D2F7-BFB6-4A33-AF4A-FFC5213A3ECB}"/>
    <cellStyle name="Normal 5 2 2 2 4 2 2 3" xfId="11579" xr:uid="{3E82EC5D-551E-4C9E-B8BE-C3206F517E63}"/>
    <cellStyle name="Normal 5 2 2 2 4 2 3" xfId="5202" xr:uid="{00000000-0005-0000-0000-000074170000}"/>
    <cellStyle name="Normal 5 2 2 2 4 2 3 2" xfId="13652" xr:uid="{0BC295F2-6C14-4B18-B1AF-E86DA514E152}"/>
    <cellStyle name="Normal 5 2 2 2 4 2 4" xfId="9434" xr:uid="{C5BA82EA-4174-4F2C-A80D-A62413DF77AB}"/>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BBA967FB-E011-4644-8842-8A5B611EC7BE}"/>
    <cellStyle name="Normal 5 2 2 2 4 3 2 3" xfId="11992" xr:uid="{52464A2D-B86D-4D87-9FA7-EF7F88E600AD}"/>
    <cellStyle name="Normal 5 2 2 2 4 3 3" xfId="5615" xr:uid="{00000000-0005-0000-0000-000078170000}"/>
    <cellStyle name="Normal 5 2 2 2 4 3 3 2" xfId="14065" xr:uid="{4EE49EF4-2D57-43BA-90AC-3AC5EA52DD71}"/>
    <cellStyle name="Normal 5 2 2 2 4 3 4" xfId="9847" xr:uid="{06637B48-8A0E-496D-8816-EDBC7CEA24F8}"/>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294F90EB-F524-4E5F-8FD2-8063333A17A2}"/>
    <cellStyle name="Normal 5 2 2 2 4 4 2 3" xfId="12405" xr:uid="{E2AD9F75-E42F-495D-B36B-D5B862B76EDA}"/>
    <cellStyle name="Normal 5 2 2 2 4 4 3" xfId="6028" xr:uid="{00000000-0005-0000-0000-00007C170000}"/>
    <cellStyle name="Normal 5 2 2 2 4 4 3 2" xfId="14478" xr:uid="{0BB0AB02-23C5-462D-891D-DE4822157A96}"/>
    <cellStyle name="Normal 5 2 2 2 4 4 4" xfId="10260" xr:uid="{E268D537-226E-4106-812F-B2D2DC6225F5}"/>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AA8BFD02-6645-4EEE-B412-50B8FB15E594}"/>
    <cellStyle name="Normal 5 2 2 2 4 5 2 3" xfId="12818" xr:uid="{08C38BF1-9ED6-407A-AAD0-2BD6CE2DE0A0}"/>
    <cellStyle name="Normal 5 2 2 2 4 5 3" xfId="6441" xr:uid="{00000000-0005-0000-0000-000080170000}"/>
    <cellStyle name="Normal 5 2 2 2 4 5 3 2" xfId="14891" xr:uid="{840EEA40-2F50-4E3C-BC96-BBE8FCC54005}"/>
    <cellStyle name="Normal 5 2 2 2 4 5 4" xfId="10673" xr:uid="{78C6CEA2-1EAE-47DD-A415-E15A186C5B15}"/>
    <cellStyle name="Normal 5 2 2 2 4 6" xfId="2571" xr:uid="{00000000-0005-0000-0000-000081170000}"/>
    <cellStyle name="Normal 5 2 2 2 4 6 2" xfId="6854" xr:uid="{00000000-0005-0000-0000-000082170000}"/>
    <cellStyle name="Normal 5 2 2 2 4 6 2 2" xfId="15304" xr:uid="{7994BE41-A968-46C2-B7B8-E59EFDB82C8B}"/>
    <cellStyle name="Normal 5 2 2 2 4 6 3" xfId="11086" xr:uid="{B76E3504-7D1A-4441-9ABA-B712D503DB33}"/>
    <cellStyle name="Normal 5 2 2 2 4 7" xfId="4789" xr:uid="{00000000-0005-0000-0000-000083170000}"/>
    <cellStyle name="Normal 5 2 2 2 4 7 2" xfId="13239" xr:uid="{11C0B1AC-2422-4A40-A3B8-D0CE2A9530D2}"/>
    <cellStyle name="Normal 5 2 2 2 4 8" xfId="9021" xr:uid="{C65289CF-BD73-4A86-873C-8EF7698F25D5}"/>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935419E0-D430-431F-A4AA-464AEEE8B920}"/>
    <cellStyle name="Normal 5 2 2 2 5 2 3" xfId="11572" xr:uid="{12C9FF14-3C78-48CE-9512-FD890D3C2C4E}"/>
    <cellStyle name="Normal 5 2 2 2 5 3" xfId="5195" xr:uid="{00000000-0005-0000-0000-000087170000}"/>
    <cellStyle name="Normal 5 2 2 2 5 3 2" xfId="13645" xr:uid="{1CFF0F96-396D-4587-A19C-1743D32C8A01}"/>
    <cellStyle name="Normal 5 2 2 2 5 4" xfId="9427" xr:uid="{03D5A44D-4623-405F-A1C5-2B9EB84F9831}"/>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B590C9A8-4C85-4A89-A589-FC7B5CE0CAB3}"/>
    <cellStyle name="Normal 5 2 2 2 6 2 3" xfId="11985" xr:uid="{42FB4034-A5D3-458B-9133-06F52C73F3CA}"/>
    <cellStyle name="Normal 5 2 2 2 6 3" xfId="5608" xr:uid="{00000000-0005-0000-0000-00008B170000}"/>
    <cellStyle name="Normal 5 2 2 2 6 3 2" xfId="14058" xr:uid="{CB0226EC-CAB5-43BB-8876-74480535293E}"/>
    <cellStyle name="Normal 5 2 2 2 6 4" xfId="9840" xr:uid="{3E4A3BA9-6E45-4CE3-A8FC-B7150536ED15}"/>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24499ECF-A6C1-491F-8F2C-530579566E05}"/>
    <cellStyle name="Normal 5 2 2 2 7 2 3" xfId="12398" xr:uid="{29C76099-B800-47FD-BBC0-362C12720682}"/>
    <cellStyle name="Normal 5 2 2 2 7 3" xfId="6021" xr:uid="{00000000-0005-0000-0000-00008F170000}"/>
    <cellStyle name="Normal 5 2 2 2 7 3 2" xfId="14471" xr:uid="{3509D8D6-062D-40A3-AA59-14724694BCCB}"/>
    <cellStyle name="Normal 5 2 2 2 7 4" xfId="10253" xr:uid="{B45F4B94-AFB1-4277-84D3-18BBC626B7B5}"/>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AB66A37B-263D-474D-9457-8E4AED11BEB9}"/>
    <cellStyle name="Normal 5 2 2 2 8 2 3" xfId="12811" xr:uid="{9CC3CDA7-E6FE-4094-B661-2CACB47F8BE1}"/>
    <cellStyle name="Normal 5 2 2 2 8 3" xfId="6434" xr:uid="{00000000-0005-0000-0000-000093170000}"/>
    <cellStyle name="Normal 5 2 2 2 8 3 2" xfId="14884" xr:uid="{9E64CD7E-AA54-4BC3-8E12-15D3F19B1E75}"/>
    <cellStyle name="Normal 5 2 2 2 8 4" xfId="10666" xr:uid="{753D2FAA-722F-4EB0-8074-7E0DC90B2A1F}"/>
    <cellStyle name="Normal 5 2 2 2 9" xfId="2564" xr:uid="{00000000-0005-0000-0000-000094170000}"/>
    <cellStyle name="Normal 5 2 2 2 9 2" xfId="6847" xr:uid="{00000000-0005-0000-0000-000095170000}"/>
    <cellStyle name="Normal 5 2 2 2 9 2 2" xfId="15297" xr:uid="{8B1EE372-C993-4FBC-89E4-DC2C9C71DE2B}"/>
    <cellStyle name="Normal 5 2 2 2 9 3" xfId="11079" xr:uid="{80FA97D9-FF4A-48BD-87CD-6A7EE51F0968}"/>
    <cellStyle name="Normal 5 2 2 3" xfId="417" xr:uid="{00000000-0005-0000-0000-000096170000}"/>
    <cellStyle name="Normal 5 2 2 3 10" xfId="9022" xr:uid="{48680418-F368-4C91-8BA9-45DDF739E08D}"/>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43DC2733-CC68-4AF6-8BD1-3E3E8C13FC14}"/>
    <cellStyle name="Normal 5 2 2 3 2 2 2 2 3" xfId="11582" xr:uid="{DC4E955D-A03F-4B9F-81CE-33BD9C09D54A}"/>
    <cellStyle name="Normal 5 2 2 3 2 2 2 3" xfId="5205" xr:uid="{00000000-0005-0000-0000-00009C170000}"/>
    <cellStyle name="Normal 5 2 2 3 2 2 2 3 2" xfId="13655" xr:uid="{11E7ABFF-97F0-4BFC-92AC-E9B6C07809DA}"/>
    <cellStyle name="Normal 5 2 2 3 2 2 2 4" xfId="9437" xr:uid="{3E1A50EA-24D8-4842-8C4C-40BADCA5AA7A}"/>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7BBC9FEC-7493-4B1F-98A2-FE3170C67C47}"/>
    <cellStyle name="Normal 5 2 2 3 2 2 3 2 3" xfId="11995" xr:uid="{AF757732-FFFF-4E03-9D64-DA21318DB878}"/>
    <cellStyle name="Normal 5 2 2 3 2 2 3 3" xfId="5618" xr:uid="{00000000-0005-0000-0000-0000A0170000}"/>
    <cellStyle name="Normal 5 2 2 3 2 2 3 3 2" xfId="14068" xr:uid="{42932845-F996-432A-8165-D1757AC4CF11}"/>
    <cellStyle name="Normal 5 2 2 3 2 2 3 4" xfId="9850" xr:uid="{17CBA586-DE97-4B7B-9784-E397F40E21C4}"/>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7F297115-CE58-4B0E-86A6-EE2FF530F4DB}"/>
    <cellStyle name="Normal 5 2 2 3 2 2 4 2 3" xfId="12408" xr:uid="{8AE3B739-1A31-4F87-87E8-8FD89840E331}"/>
    <cellStyle name="Normal 5 2 2 3 2 2 4 3" xfId="6031" xr:uid="{00000000-0005-0000-0000-0000A4170000}"/>
    <cellStyle name="Normal 5 2 2 3 2 2 4 3 2" xfId="14481" xr:uid="{19F9FB6E-8D9A-488C-B7C3-08DCF6F512D2}"/>
    <cellStyle name="Normal 5 2 2 3 2 2 4 4" xfId="10263" xr:uid="{9F198306-0644-4AE6-92B8-C29E10401BAC}"/>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BB7199BE-3BE9-4471-959C-0747419B6AD7}"/>
    <cellStyle name="Normal 5 2 2 3 2 2 5 2 3" xfId="12821" xr:uid="{D4B7A4D3-00CE-444C-8A8C-C19DDA8A0DB7}"/>
    <cellStyle name="Normal 5 2 2 3 2 2 5 3" xfId="6444" xr:uid="{00000000-0005-0000-0000-0000A8170000}"/>
    <cellStyle name="Normal 5 2 2 3 2 2 5 3 2" xfId="14894" xr:uid="{F0D5DC4F-8DF5-40AB-8BBE-81C2F084D2D8}"/>
    <cellStyle name="Normal 5 2 2 3 2 2 5 4" xfId="10676" xr:uid="{65C6E03D-8FC0-49E3-8D79-F21EEC58675F}"/>
    <cellStyle name="Normal 5 2 2 3 2 2 6" xfId="2574" xr:uid="{00000000-0005-0000-0000-0000A9170000}"/>
    <cellStyle name="Normal 5 2 2 3 2 2 6 2" xfId="6857" xr:uid="{00000000-0005-0000-0000-0000AA170000}"/>
    <cellStyle name="Normal 5 2 2 3 2 2 6 2 2" xfId="15307" xr:uid="{93538A92-299E-43A4-A9D3-16F45217AC84}"/>
    <cellStyle name="Normal 5 2 2 3 2 2 6 3" xfId="11089" xr:uid="{28067EFC-EF1D-4327-A494-273DC2DAEC86}"/>
    <cellStyle name="Normal 5 2 2 3 2 2 7" xfId="4792" xr:uid="{00000000-0005-0000-0000-0000AB170000}"/>
    <cellStyle name="Normal 5 2 2 3 2 2 7 2" xfId="13242" xr:uid="{C9C80C2A-37D7-401D-91FF-FA44DD4A0EBC}"/>
    <cellStyle name="Normal 5 2 2 3 2 2 8" xfId="9024" xr:uid="{89A66255-A7C3-4F8E-A105-13CD34B0ADA4}"/>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CE14C4CA-5E7F-4735-9215-5148F0EC4BED}"/>
    <cellStyle name="Normal 5 2 2 3 2 3 2 3" xfId="11581" xr:uid="{38734C49-FAD1-4BE5-AECF-C9462D112596}"/>
    <cellStyle name="Normal 5 2 2 3 2 3 3" xfId="5204" xr:uid="{00000000-0005-0000-0000-0000AF170000}"/>
    <cellStyle name="Normal 5 2 2 3 2 3 3 2" xfId="13654" xr:uid="{D0465169-EFAE-448E-ADED-DB9BDAE720DF}"/>
    <cellStyle name="Normal 5 2 2 3 2 3 4" xfId="9436" xr:uid="{46DA2334-7F3B-4708-927E-1B6403BF556C}"/>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AF5C6C38-7019-4967-A3EB-FB086897BDA1}"/>
    <cellStyle name="Normal 5 2 2 3 2 4 2 3" xfId="11994" xr:uid="{B3303E77-A263-4A0F-A61D-5EFBA1FBD0CD}"/>
    <cellStyle name="Normal 5 2 2 3 2 4 3" xfId="5617" xr:uid="{00000000-0005-0000-0000-0000B3170000}"/>
    <cellStyle name="Normal 5 2 2 3 2 4 3 2" xfId="14067" xr:uid="{F935F7E3-6DC8-461C-9287-2C86765E863A}"/>
    <cellStyle name="Normal 5 2 2 3 2 4 4" xfId="9849" xr:uid="{FDEFCDF2-CDA7-4808-9A54-0B4B87A5193F}"/>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3EA6CE86-FA11-4C27-971E-59428AF7A4DD}"/>
    <cellStyle name="Normal 5 2 2 3 2 5 2 3" xfId="12407" xr:uid="{08DF1CB7-DE6E-43AB-BCE3-2B1628F10EDF}"/>
    <cellStyle name="Normal 5 2 2 3 2 5 3" xfId="6030" xr:uid="{00000000-0005-0000-0000-0000B7170000}"/>
    <cellStyle name="Normal 5 2 2 3 2 5 3 2" xfId="14480" xr:uid="{34DCC3F2-77A3-4205-B6E3-057B8B63A78D}"/>
    <cellStyle name="Normal 5 2 2 3 2 5 4" xfId="10262" xr:uid="{42B1CB00-8713-4D5A-B616-936DFECFA0BE}"/>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8B4179AE-D6A3-49B5-8518-66E2D769E9CC}"/>
    <cellStyle name="Normal 5 2 2 3 2 6 2 3" xfId="12820" xr:uid="{13F16B0E-69A2-4821-A8BE-615FB8D84BB0}"/>
    <cellStyle name="Normal 5 2 2 3 2 6 3" xfId="6443" xr:uid="{00000000-0005-0000-0000-0000BB170000}"/>
    <cellStyle name="Normal 5 2 2 3 2 6 3 2" xfId="14893" xr:uid="{98261974-ECCB-4146-A16D-6FD1FE097E41}"/>
    <cellStyle name="Normal 5 2 2 3 2 6 4" xfId="10675" xr:uid="{F0D4C8BF-7DC4-4E8C-BC44-6AF4D4677BCA}"/>
    <cellStyle name="Normal 5 2 2 3 2 7" xfId="2573" xr:uid="{00000000-0005-0000-0000-0000BC170000}"/>
    <cellStyle name="Normal 5 2 2 3 2 7 2" xfId="6856" xr:uid="{00000000-0005-0000-0000-0000BD170000}"/>
    <cellStyle name="Normal 5 2 2 3 2 7 2 2" xfId="15306" xr:uid="{23E76110-2C5B-4CA7-A2F3-14B22F2B4F2D}"/>
    <cellStyle name="Normal 5 2 2 3 2 7 3" xfId="11088" xr:uid="{EBD278D4-6D09-41E7-BC75-0F7F9CB47E97}"/>
    <cellStyle name="Normal 5 2 2 3 2 8" xfId="4791" xr:uid="{00000000-0005-0000-0000-0000BE170000}"/>
    <cellStyle name="Normal 5 2 2 3 2 8 2" xfId="13241" xr:uid="{ADCE1040-151F-4FFF-AC32-79DEDA9DB0FD}"/>
    <cellStyle name="Normal 5 2 2 3 2 9" xfId="9023" xr:uid="{19710BD9-89A3-43F0-8FD9-4C2901A09AFC}"/>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E37E4301-7EA4-47DD-8D94-073D2FD9F7CB}"/>
    <cellStyle name="Normal 5 2 2 3 3 2 2 3" xfId="11583" xr:uid="{FFE2640E-AF08-4CD1-9E70-96D40EF4BE5D}"/>
    <cellStyle name="Normal 5 2 2 3 3 2 3" xfId="5206" xr:uid="{00000000-0005-0000-0000-0000C3170000}"/>
    <cellStyle name="Normal 5 2 2 3 3 2 3 2" xfId="13656" xr:uid="{17E66605-46D8-4E32-BD3F-C8FF447A3904}"/>
    <cellStyle name="Normal 5 2 2 3 3 2 4" xfId="9438" xr:uid="{43D25815-3A64-40FB-BB27-B4F10611FF1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5AA3EDC0-25AD-4828-84BF-694E62599477}"/>
    <cellStyle name="Normal 5 2 2 3 3 3 2 3" xfId="11996" xr:uid="{9867CACD-7076-4B00-9B02-F507D9F9E962}"/>
    <cellStyle name="Normal 5 2 2 3 3 3 3" xfId="5619" xr:uid="{00000000-0005-0000-0000-0000C7170000}"/>
    <cellStyle name="Normal 5 2 2 3 3 3 3 2" xfId="14069" xr:uid="{1F5189DC-35D9-4AE7-A733-72B18B183FB2}"/>
    <cellStyle name="Normal 5 2 2 3 3 3 4" xfId="9851" xr:uid="{418280C1-CE2B-4900-8C34-1E34F046AD52}"/>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F6E35829-E42E-43AB-B1AB-73B3F79E909F}"/>
    <cellStyle name="Normal 5 2 2 3 3 4 2 3" xfId="12409" xr:uid="{EF3C8D07-3612-4ACB-98CC-8FAA2D0227F1}"/>
    <cellStyle name="Normal 5 2 2 3 3 4 3" xfId="6032" xr:uid="{00000000-0005-0000-0000-0000CB170000}"/>
    <cellStyle name="Normal 5 2 2 3 3 4 3 2" xfId="14482" xr:uid="{FDC6E33E-6D03-4AA2-B6A5-B0ECB203E615}"/>
    <cellStyle name="Normal 5 2 2 3 3 4 4" xfId="10264" xr:uid="{B3B3198A-42F7-416F-9729-2CDCD072647C}"/>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DBEC7CEF-0AAD-4EEC-920B-ED97242E929A}"/>
    <cellStyle name="Normal 5 2 2 3 3 5 2 3" xfId="12822" xr:uid="{2D45B571-A56C-4BFD-9A35-B65B743BBA59}"/>
    <cellStyle name="Normal 5 2 2 3 3 5 3" xfId="6445" xr:uid="{00000000-0005-0000-0000-0000CF170000}"/>
    <cellStyle name="Normal 5 2 2 3 3 5 3 2" xfId="14895" xr:uid="{BAD7FCE4-9567-428D-A69B-D8DAFC84AAEF}"/>
    <cellStyle name="Normal 5 2 2 3 3 5 4" xfId="10677" xr:uid="{61758A04-E592-43C1-BEBF-EA5D046D9ECC}"/>
    <cellStyle name="Normal 5 2 2 3 3 6" xfId="2575" xr:uid="{00000000-0005-0000-0000-0000D0170000}"/>
    <cellStyle name="Normal 5 2 2 3 3 6 2" xfId="6858" xr:uid="{00000000-0005-0000-0000-0000D1170000}"/>
    <cellStyle name="Normal 5 2 2 3 3 6 2 2" xfId="15308" xr:uid="{30AF2B99-E0C6-494F-953D-8D6EF0962E52}"/>
    <cellStyle name="Normal 5 2 2 3 3 6 3" xfId="11090" xr:uid="{2752E068-C5AD-42B4-A989-232766809E77}"/>
    <cellStyle name="Normal 5 2 2 3 3 7" xfId="4793" xr:uid="{00000000-0005-0000-0000-0000D2170000}"/>
    <cellStyle name="Normal 5 2 2 3 3 7 2" xfId="13243" xr:uid="{CFB4B545-21F3-4161-A91B-86DB7282E151}"/>
    <cellStyle name="Normal 5 2 2 3 3 8" xfId="9025" xr:uid="{C9F97992-90E7-4F1D-A20F-864E2D642999}"/>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8B09F7A9-5717-42C4-9D26-308A478D799E}"/>
    <cellStyle name="Normal 5 2 2 3 4 2 3" xfId="11580" xr:uid="{010C8DF2-0D24-4047-B5CA-C89E6E16DAF2}"/>
    <cellStyle name="Normal 5 2 2 3 4 3" xfId="5203" xr:uid="{00000000-0005-0000-0000-0000D6170000}"/>
    <cellStyle name="Normal 5 2 2 3 4 3 2" xfId="13653" xr:uid="{DE0A47CD-14D1-4B38-9DD1-C064C5C78B98}"/>
    <cellStyle name="Normal 5 2 2 3 4 4" xfId="9435" xr:uid="{CB18B50A-85BA-4DFB-B066-B7165F02CD0D}"/>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3B9998E0-0E50-4D20-AA61-02F8C7AA2669}"/>
    <cellStyle name="Normal 5 2 2 3 5 2 3" xfId="11993" xr:uid="{5ED34FFC-2AA8-4561-B90A-0321BFD0E779}"/>
    <cellStyle name="Normal 5 2 2 3 5 3" xfId="5616" xr:uid="{00000000-0005-0000-0000-0000DA170000}"/>
    <cellStyle name="Normal 5 2 2 3 5 3 2" xfId="14066" xr:uid="{1AAFB995-8A61-46CD-B53B-0D9F2EA002A6}"/>
    <cellStyle name="Normal 5 2 2 3 5 4" xfId="9848" xr:uid="{2C79DF92-7361-400D-B9DA-C470B8199B83}"/>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40A4B924-C34F-4A88-A04C-A3339363B71E}"/>
    <cellStyle name="Normal 5 2 2 3 6 2 3" xfId="12406" xr:uid="{D5F2898E-5812-42E7-B1F5-A520C37867DC}"/>
    <cellStyle name="Normal 5 2 2 3 6 3" xfId="6029" xr:uid="{00000000-0005-0000-0000-0000DE170000}"/>
    <cellStyle name="Normal 5 2 2 3 6 3 2" xfId="14479" xr:uid="{FB4ECC07-1657-4F43-A23F-7DA3C0FE30A2}"/>
    <cellStyle name="Normal 5 2 2 3 6 4" xfId="10261" xr:uid="{2A27B48E-917C-4959-8310-17E6CDF73E37}"/>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33F4212F-6EE7-4563-A687-48604016952A}"/>
    <cellStyle name="Normal 5 2 2 3 7 2 3" xfId="12819" xr:uid="{098F80B6-0D68-484A-9CEE-0E049EFF2E5E}"/>
    <cellStyle name="Normal 5 2 2 3 7 3" xfId="6442" xr:uid="{00000000-0005-0000-0000-0000E2170000}"/>
    <cellStyle name="Normal 5 2 2 3 7 3 2" xfId="14892" xr:uid="{8DD37EFB-3504-4FD1-BDBE-9C8DFF15AAC7}"/>
    <cellStyle name="Normal 5 2 2 3 7 4" xfId="10674" xr:uid="{7F519BEC-1573-4FDA-991F-55AD4CE8CE02}"/>
    <cellStyle name="Normal 5 2 2 3 8" xfId="2572" xr:uid="{00000000-0005-0000-0000-0000E3170000}"/>
    <cellStyle name="Normal 5 2 2 3 8 2" xfId="6855" xr:uid="{00000000-0005-0000-0000-0000E4170000}"/>
    <cellStyle name="Normal 5 2 2 3 8 2 2" xfId="15305" xr:uid="{9060796C-EA13-419B-A206-D5668176DB20}"/>
    <cellStyle name="Normal 5 2 2 3 8 3" xfId="11087" xr:uid="{1D5CF6C4-DE10-42CB-9FDE-4C2D7C7092FD}"/>
    <cellStyle name="Normal 5 2 2 3 9" xfId="4790" xr:uid="{00000000-0005-0000-0000-0000E5170000}"/>
    <cellStyle name="Normal 5 2 2 3 9 2" xfId="13240" xr:uid="{F95EC48A-69BF-4CE9-AB20-9F277549C4C7}"/>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A8B97010-F293-45D3-AAF4-D8F3C69F3E92}"/>
    <cellStyle name="Normal 5 2 2 4 2 2 2 3" xfId="11585" xr:uid="{782F8FC6-CB8C-47B6-8243-021788A4B8F2}"/>
    <cellStyle name="Normal 5 2 2 4 2 2 3" xfId="5208" xr:uid="{00000000-0005-0000-0000-0000EB170000}"/>
    <cellStyle name="Normal 5 2 2 4 2 2 3 2" xfId="13658" xr:uid="{2A798DA4-A865-4D06-BF50-B1A9910468BD}"/>
    <cellStyle name="Normal 5 2 2 4 2 2 4" xfId="9440" xr:uid="{C78337FF-1B98-4FE7-95B8-DDD4E486585D}"/>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08F50BC0-0746-45DF-A544-851292EA2FDE}"/>
    <cellStyle name="Normal 5 2 2 4 2 3 2 3" xfId="11998" xr:uid="{C8A8995B-7964-4296-A8BB-293299B08C53}"/>
    <cellStyle name="Normal 5 2 2 4 2 3 3" xfId="5621" xr:uid="{00000000-0005-0000-0000-0000EF170000}"/>
    <cellStyle name="Normal 5 2 2 4 2 3 3 2" xfId="14071" xr:uid="{F62A5881-7350-4536-B3EC-7DDB59DC81F6}"/>
    <cellStyle name="Normal 5 2 2 4 2 3 4" xfId="9853" xr:uid="{0F24022F-1A2E-4FE9-903F-DA0B41FAEA56}"/>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8E23AFD5-B3A2-4D67-9A1A-D3502B1A1A32}"/>
    <cellStyle name="Normal 5 2 2 4 2 4 2 3" xfId="12411" xr:uid="{D618F8BE-0DCD-4DEB-82BB-36D2A8A5F01F}"/>
    <cellStyle name="Normal 5 2 2 4 2 4 3" xfId="6034" xr:uid="{00000000-0005-0000-0000-0000F3170000}"/>
    <cellStyle name="Normal 5 2 2 4 2 4 3 2" xfId="14484" xr:uid="{65D78903-4677-426F-8894-9E278A330EAC}"/>
    <cellStyle name="Normal 5 2 2 4 2 4 4" xfId="10266" xr:uid="{262D112A-BD8B-4497-BA57-61BAB20D1CBD}"/>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5E192C09-5D36-4095-BD97-22F4B3952175}"/>
    <cellStyle name="Normal 5 2 2 4 2 5 2 3" xfId="12824" xr:uid="{F1A478BD-3917-4E31-8F8E-AD8B4ACA2ED5}"/>
    <cellStyle name="Normal 5 2 2 4 2 5 3" xfId="6447" xr:uid="{00000000-0005-0000-0000-0000F7170000}"/>
    <cellStyle name="Normal 5 2 2 4 2 5 3 2" xfId="14897" xr:uid="{5864CD6F-8B08-4B7D-B119-B9ACC360010F}"/>
    <cellStyle name="Normal 5 2 2 4 2 5 4" xfId="10679" xr:uid="{B45C46C6-17DA-4E53-917A-F8C8122B7BEC}"/>
    <cellStyle name="Normal 5 2 2 4 2 6" xfId="2577" xr:uid="{00000000-0005-0000-0000-0000F8170000}"/>
    <cellStyle name="Normal 5 2 2 4 2 6 2" xfId="6860" xr:uid="{00000000-0005-0000-0000-0000F9170000}"/>
    <cellStyle name="Normal 5 2 2 4 2 6 2 2" xfId="15310" xr:uid="{1864B761-FA02-4926-BA9A-587B523BE995}"/>
    <cellStyle name="Normal 5 2 2 4 2 6 3" xfId="11092" xr:uid="{B3F4979A-83EA-4E09-A44B-E15608DB8875}"/>
    <cellStyle name="Normal 5 2 2 4 2 7" xfId="4795" xr:uid="{00000000-0005-0000-0000-0000FA170000}"/>
    <cellStyle name="Normal 5 2 2 4 2 7 2" xfId="13245" xr:uid="{85267494-FA77-45AA-9EF0-2258C5484128}"/>
    <cellStyle name="Normal 5 2 2 4 2 8" xfId="9027" xr:uid="{4B1FBFDD-0649-4822-9AB0-61E7D18D0AF9}"/>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CD6E4042-BEB6-4542-931D-511F7B5BA26A}"/>
    <cellStyle name="Normal 5 2 2 4 3 2 3" xfId="11584" xr:uid="{8DA5F3DD-4B57-4D8B-A749-65D42F946E7D}"/>
    <cellStyle name="Normal 5 2 2 4 3 3" xfId="5207" xr:uid="{00000000-0005-0000-0000-0000FE170000}"/>
    <cellStyle name="Normal 5 2 2 4 3 3 2" xfId="13657" xr:uid="{68BE709E-C48F-44AB-9363-861143C6D09A}"/>
    <cellStyle name="Normal 5 2 2 4 3 4" xfId="9439" xr:uid="{B83075BF-251E-4795-B3CB-6FEA9AFFCE39}"/>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ED4E42F8-D23D-4EFF-8747-D08F775DEE71}"/>
    <cellStyle name="Normal 5 2 2 4 4 2 3" xfId="11997" xr:uid="{752A8015-DAD8-4DDB-919C-5D95C36F3ED9}"/>
    <cellStyle name="Normal 5 2 2 4 4 3" xfId="5620" xr:uid="{00000000-0005-0000-0000-000002180000}"/>
    <cellStyle name="Normal 5 2 2 4 4 3 2" xfId="14070" xr:uid="{9E5B86FE-BA9B-4737-BDCF-A5EA616634F1}"/>
    <cellStyle name="Normal 5 2 2 4 4 4" xfId="9852" xr:uid="{C1A98EFF-E56D-41A2-95C3-659BAEF58AD2}"/>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B90C426E-C353-48A2-A694-F00549D4F352}"/>
    <cellStyle name="Normal 5 2 2 4 5 2 3" xfId="12410" xr:uid="{0B8E566C-FB11-4C60-A531-64B8AD1CA375}"/>
    <cellStyle name="Normal 5 2 2 4 5 3" xfId="6033" xr:uid="{00000000-0005-0000-0000-000006180000}"/>
    <cellStyle name="Normal 5 2 2 4 5 3 2" xfId="14483" xr:uid="{009BC994-12C7-4331-A53D-BDCC6FF62258}"/>
    <cellStyle name="Normal 5 2 2 4 5 4" xfId="10265" xr:uid="{5239098B-B572-4625-9D05-B51FA285116A}"/>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89E18CA3-FF00-4F10-A19A-57E286A32E0C}"/>
    <cellStyle name="Normal 5 2 2 4 6 2 3" xfId="12823" xr:uid="{82A10EE9-A8DC-47FF-83EF-DBDF21CCD8F9}"/>
    <cellStyle name="Normal 5 2 2 4 6 3" xfId="6446" xr:uid="{00000000-0005-0000-0000-00000A180000}"/>
    <cellStyle name="Normal 5 2 2 4 6 3 2" xfId="14896" xr:uid="{630DD930-E8AA-417B-AA09-380DF679C0A4}"/>
    <cellStyle name="Normal 5 2 2 4 6 4" xfId="10678" xr:uid="{CBD3822C-3604-44EE-A1B4-107A22C94254}"/>
    <cellStyle name="Normal 5 2 2 4 7" xfId="2576" xr:uid="{00000000-0005-0000-0000-00000B180000}"/>
    <cellStyle name="Normal 5 2 2 4 7 2" xfId="6859" xr:uid="{00000000-0005-0000-0000-00000C180000}"/>
    <cellStyle name="Normal 5 2 2 4 7 2 2" xfId="15309" xr:uid="{B3634BEE-FD7E-409F-B50A-08632FB771D8}"/>
    <cellStyle name="Normal 5 2 2 4 7 3" xfId="11091" xr:uid="{B791CBA6-1469-41DD-A84B-2E2AB4284A19}"/>
    <cellStyle name="Normal 5 2 2 4 8" xfId="4794" xr:uid="{00000000-0005-0000-0000-00000D180000}"/>
    <cellStyle name="Normal 5 2 2 4 8 2" xfId="13244" xr:uid="{494E8E96-9B70-44CF-84ED-936F261E5AAB}"/>
    <cellStyle name="Normal 5 2 2 4 9" xfId="9026" xr:uid="{337FE0DD-B523-4372-BF1A-B13DAE0C93F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08C128F0-44F5-4DCB-A559-990159D79500}"/>
    <cellStyle name="Normal 5 2 2 5 2 2 3" xfId="11586" xr:uid="{D804EC0E-D2A3-458E-AEA0-46D7DE4B9A2A}"/>
    <cellStyle name="Normal 5 2 2 5 2 3" xfId="5209" xr:uid="{00000000-0005-0000-0000-000012180000}"/>
    <cellStyle name="Normal 5 2 2 5 2 3 2" xfId="13659" xr:uid="{F91A8995-E24B-42CE-B2C4-DC9E90D5F988}"/>
    <cellStyle name="Normal 5 2 2 5 2 4" xfId="9441" xr:uid="{DCB1B7B9-5D26-4CF5-BC24-DDCAE6FCF397}"/>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22AADC30-6076-4CED-BB95-AF53CF955151}"/>
    <cellStyle name="Normal 5 2 2 5 3 2 3" xfId="11999" xr:uid="{A7ACE886-7621-43D9-840C-0B35C69D35B5}"/>
    <cellStyle name="Normal 5 2 2 5 3 3" xfId="5622" xr:uid="{00000000-0005-0000-0000-000016180000}"/>
    <cellStyle name="Normal 5 2 2 5 3 3 2" xfId="14072" xr:uid="{0E999A51-BE9B-447C-8F14-7D24889CD3A7}"/>
    <cellStyle name="Normal 5 2 2 5 3 4" xfId="9854" xr:uid="{BA2D0E01-43C0-4FF7-A089-2B904F56B71D}"/>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13980585-A257-4B04-AB41-94DD4B1C42DA}"/>
    <cellStyle name="Normal 5 2 2 5 4 2 3" xfId="12412" xr:uid="{4A3D4A0E-D880-45BC-AEF6-77D0C1F9D020}"/>
    <cellStyle name="Normal 5 2 2 5 4 3" xfId="6035" xr:uid="{00000000-0005-0000-0000-00001A180000}"/>
    <cellStyle name="Normal 5 2 2 5 4 3 2" xfId="14485" xr:uid="{4E7CF6AB-F14A-49DF-83AF-9DADFE443643}"/>
    <cellStyle name="Normal 5 2 2 5 4 4" xfId="10267" xr:uid="{E010A0CF-181B-4F18-A599-1B3752956377}"/>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BD7FBC58-7906-4423-BD1F-F97069BA038F}"/>
    <cellStyle name="Normal 5 2 2 5 5 2 3" xfId="12825" xr:uid="{18C57E54-4044-4B2B-BFBB-ECA234B7D410}"/>
    <cellStyle name="Normal 5 2 2 5 5 3" xfId="6448" xr:uid="{00000000-0005-0000-0000-00001E180000}"/>
    <cellStyle name="Normal 5 2 2 5 5 3 2" xfId="14898" xr:uid="{36238C63-10AC-47C2-A28D-3C8DE3D8AA6E}"/>
    <cellStyle name="Normal 5 2 2 5 5 4" xfId="10680" xr:uid="{0E0C9D9D-08A5-4F33-9743-4ACE9F8F141F}"/>
    <cellStyle name="Normal 5 2 2 5 6" xfId="2578" xr:uid="{00000000-0005-0000-0000-00001F180000}"/>
    <cellStyle name="Normal 5 2 2 5 6 2" xfId="6861" xr:uid="{00000000-0005-0000-0000-000020180000}"/>
    <cellStyle name="Normal 5 2 2 5 6 2 2" xfId="15311" xr:uid="{C7ED2855-9128-4DDB-B20B-6FD04C9943A2}"/>
    <cellStyle name="Normal 5 2 2 5 6 3" xfId="11093" xr:uid="{A6665C5D-5DC5-4D9D-92BD-98C833301C09}"/>
    <cellStyle name="Normal 5 2 2 5 7" xfId="4796" xr:uid="{00000000-0005-0000-0000-000021180000}"/>
    <cellStyle name="Normal 5 2 2 5 7 2" xfId="13246" xr:uid="{6205A49B-0CB5-410A-81E0-2F19654D4C18}"/>
    <cellStyle name="Normal 5 2 2 5 8" xfId="9028" xr:uid="{5A479EBD-94DF-4C32-87B7-5DC44BE7040B}"/>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1ADE1261-143F-4C83-AA7D-4B441D6C0480}"/>
    <cellStyle name="Normal 5 2 2 6 2 3" xfId="11571" xr:uid="{8701195C-42D4-4B26-B56C-3211C45D72D3}"/>
    <cellStyle name="Normal 5 2 2 6 3" xfId="5194" xr:uid="{00000000-0005-0000-0000-000025180000}"/>
    <cellStyle name="Normal 5 2 2 6 3 2" xfId="13644" xr:uid="{0760B26D-4407-4AE7-84B2-154A3FDD30CD}"/>
    <cellStyle name="Normal 5 2 2 6 4" xfId="9426" xr:uid="{D7DDE7D5-4C69-4070-8737-213821A98966}"/>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21F1222B-3F80-4D62-BC49-906720809FA2}"/>
    <cellStyle name="Normal 5 2 2 7 2 3" xfId="11984" xr:uid="{DBB5DFEF-D24E-45D6-9C1D-37F5E3FDC483}"/>
    <cellStyle name="Normal 5 2 2 7 3" xfId="5607" xr:uid="{00000000-0005-0000-0000-000029180000}"/>
    <cellStyle name="Normal 5 2 2 7 3 2" xfId="14057" xr:uid="{F4F81099-60D8-46F4-A683-61BE9E09BFB9}"/>
    <cellStyle name="Normal 5 2 2 7 4" xfId="9839" xr:uid="{80D5DD79-4C6E-4CDB-B19C-A6558B990746}"/>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FBAEE29F-277B-41A9-BCBE-569863BC3EC0}"/>
    <cellStyle name="Normal 5 2 2 8 2 3" xfId="12397" xr:uid="{E2FDCBE7-2173-4FFC-9D2C-EB64A1E887C1}"/>
    <cellStyle name="Normal 5 2 2 8 3" xfId="6020" xr:uid="{00000000-0005-0000-0000-00002D180000}"/>
    <cellStyle name="Normal 5 2 2 8 3 2" xfId="14470" xr:uid="{D5D87E56-D1E3-41C6-B2BD-7F37C34FD029}"/>
    <cellStyle name="Normal 5 2 2 8 4" xfId="10252" xr:uid="{44FB772A-FC9A-470A-B091-9856B1C0BBF6}"/>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1C973D46-9A33-46C1-B4BF-4D179887580E}"/>
    <cellStyle name="Normal 5 2 2 9 2 3" xfId="12810" xr:uid="{8143B1EE-F3BD-411E-A640-F3CA8B9D82C3}"/>
    <cellStyle name="Normal 5 2 2 9 3" xfId="6433" xr:uid="{00000000-0005-0000-0000-000031180000}"/>
    <cellStyle name="Normal 5 2 2 9 3 2" xfId="14883" xr:uid="{5F987EBA-8C32-4540-836F-9C2898BE65F1}"/>
    <cellStyle name="Normal 5 2 2 9 4" xfId="10665" xr:uid="{8E47C4C6-9287-4511-872C-F3A96B3DADF6}"/>
    <cellStyle name="Normal 5 2 3" xfId="424" xr:uid="{00000000-0005-0000-0000-000032180000}"/>
    <cellStyle name="Normal 5 2 3 10" xfId="4797" xr:uid="{00000000-0005-0000-0000-000033180000}"/>
    <cellStyle name="Normal 5 2 3 10 2" xfId="13247" xr:uid="{6AE5FF83-8F36-44A4-A879-23BB86A34CF8}"/>
    <cellStyle name="Normal 5 2 3 11" xfId="9029" xr:uid="{81E9B5DA-ED78-4681-87B5-CF8A477DF638}"/>
    <cellStyle name="Normal 5 2 3 2" xfId="425" xr:uid="{00000000-0005-0000-0000-000034180000}"/>
    <cellStyle name="Normal 5 2 3 2 10" xfId="9030" xr:uid="{F319C309-232B-4E20-9DCB-0DEB52277628}"/>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AAD4B843-0D5A-40C5-BE6F-E53C4FA88FB3}"/>
    <cellStyle name="Normal 5 2 3 2 2 2 2 2 3" xfId="11590" xr:uid="{34E71275-1346-48A3-9D6C-6930FC6B3F2F}"/>
    <cellStyle name="Normal 5 2 3 2 2 2 2 3" xfId="5213" xr:uid="{00000000-0005-0000-0000-00003A180000}"/>
    <cellStyle name="Normal 5 2 3 2 2 2 2 3 2" xfId="13663" xr:uid="{DFB6977E-6B45-495B-A920-D4ECFB122965}"/>
    <cellStyle name="Normal 5 2 3 2 2 2 2 4" xfId="9445" xr:uid="{739DC113-F1FF-4C4D-97AE-6D6476BC557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B55D7474-22BB-4F7A-BE6C-DAD157E03A8C}"/>
    <cellStyle name="Normal 5 2 3 2 2 2 3 2 3" xfId="12003" xr:uid="{31E4AA23-25AD-48CF-A5EA-9BDFD2CCDA4B}"/>
    <cellStyle name="Normal 5 2 3 2 2 2 3 3" xfId="5626" xr:uid="{00000000-0005-0000-0000-00003E180000}"/>
    <cellStyle name="Normal 5 2 3 2 2 2 3 3 2" xfId="14076" xr:uid="{90E05A50-89AF-432C-A038-7716F26996B3}"/>
    <cellStyle name="Normal 5 2 3 2 2 2 3 4" xfId="9858" xr:uid="{3283E1E0-77E3-43C4-98B4-BE87853548A1}"/>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4789754D-D4D9-4D46-AD44-324C4ECD09C3}"/>
    <cellStyle name="Normal 5 2 3 2 2 2 4 2 3" xfId="12416" xr:uid="{6B4E5C46-5BAD-4BD4-B3CF-BF24E6B8D2B6}"/>
    <cellStyle name="Normal 5 2 3 2 2 2 4 3" xfId="6039" xr:uid="{00000000-0005-0000-0000-000042180000}"/>
    <cellStyle name="Normal 5 2 3 2 2 2 4 3 2" xfId="14489" xr:uid="{5313026D-8418-4324-9DBB-E346B037DA28}"/>
    <cellStyle name="Normal 5 2 3 2 2 2 4 4" xfId="10271" xr:uid="{00833EC4-695A-431B-A2B3-5CB861EC055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D59E5683-4E51-456C-BE39-02C568EA1F63}"/>
    <cellStyle name="Normal 5 2 3 2 2 2 5 2 3" xfId="12829" xr:uid="{23BDBC8D-55BF-48AC-BA0C-E48BCF27B669}"/>
    <cellStyle name="Normal 5 2 3 2 2 2 5 3" xfId="6452" xr:uid="{00000000-0005-0000-0000-000046180000}"/>
    <cellStyle name="Normal 5 2 3 2 2 2 5 3 2" xfId="14902" xr:uid="{368D917F-9B3D-42AA-BF39-D258FE1C879C}"/>
    <cellStyle name="Normal 5 2 3 2 2 2 5 4" xfId="10684" xr:uid="{44587D05-7195-4958-91D4-88E0102B6BA7}"/>
    <cellStyle name="Normal 5 2 3 2 2 2 6" xfId="2582" xr:uid="{00000000-0005-0000-0000-000047180000}"/>
    <cellStyle name="Normal 5 2 3 2 2 2 6 2" xfId="6865" xr:uid="{00000000-0005-0000-0000-000048180000}"/>
    <cellStyle name="Normal 5 2 3 2 2 2 6 2 2" xfId="15315" xr:uid="{7FCF1131-8178-442D-A006-8682B2CD2E37}"/>
    <cellStyle name="Normal 5 2 3 2 2 2 6 3" xfId="11097" xr:uid="{5EDDB7D3-8E8F-4E1A-AAAE-D0978FB86963}"/>
    <cellStyle name="Normal 5 2 3 2 2 2 7" xfId="4800" xr:uid="{00000000-0005-0000-0000-000049180000}"/>
    <cellStyle name="Normal 5 2 3 2 2 2 7 2" xfId="13250" xr:uid="{42317EA4-8172-44BA-B08A-A4BFADE8F18C}"/>
    <cellStyle name="Normal 5 2 3 2 2 2 8" xfId="9032" xr:uid="{50CA38B8-187B-4800-AC1D-764D012F43F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44EA30E2-C413-4DBC-977A-6AC4A15ECC54}"/>
    <cellStyle name="Normal 5 2 3 2 2 3 2 3" xfId="11589" xr:uid="{FFD66BFC-AF1D-49D3-80DD-24E95E5C31F5}"/>
    <cellStyle name="Normal 5 2 3 2 2 3 3" xfId="5212" xr:uid="{00000000-0005-0000-0000-00004D180000}"/>
    <cellStyle name="Normal 5 2 3 2 2 3 3 2" xfId="13662" xr:uid="{9BA07D85-09C0-4C1D-A6F8-0C39A2526778}"/>
    <cellStyle name="Normal 5 2 3 2 2 3 4" xfId="9444" xr:uid="{8D077D87-5C86-45E8-A86D-23B09485E4C7}"/>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63FF1E9E-A1B1-4708-A3B2-80E232A8D3F5}"/>
    <cellStyle name="Normal 5 2 3 2 2 4 2 3" xfId="12002" xr:uid="{09666ED5-4FCD-4B4B-970D-59CE9E17FD4F}"/>
    <cellStyle name="Normal 5 2 3 2 2 4 3" xfId="5625" xr:uid="{00000000-0005-0000-0000-000051180000}"/>
    <cellStyle name="Normal 5 2 3 2 2 4 3 2" xfId="14075" xr:uid="{48A787BA-8116-4D01-802E-41252A4E4F32}"/>
    <cellStyle name="Normal 5 2 3 2 2 4 4" xfId="9857" xr:uid="{C309BF0E-C35E-410F-BDAB-935A7410174D}"/>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F55D5693-A4BC-4FED-BB20-A51D2199940F}"/>
    <cellStyle name="Normal 5 2 3 2 2 5 2 3" xfId="12415" xr:uid="{E1E9296E-CBBB-49E5-BF7E-F30B291A4B34}"/>
    <cellStyle name="Normal 5 2 3 2 2 5 3" xfId="6038" xr:uid="{00000000-0005-0000-0000-000055180000}"/>
    <cellStyle name="Normal 5 2 3 2 2 5 3 2" xfId="14488" xr:uid="{2709443C-32DD-412E-9CEB-1B1F5DDC4BAC}"/>
    <cellStyle name="Normal 5 2 3 2 2 5 4" xfId="10270" xr:uid="{AA631299-A8D4-4384-BED6-9196C34FEFE4}"/>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30C66D42-CB04-457B-B47A-B38148279966}"/>
    <cellStyle name="Normal 5 2 3 2 2 6 2 3" xfId="12828" xr:uid="{F8035B5D-0767-45F4-B94C-81A068A675BA}"/>
    <cellStyle name="Normal 5 2 3 2 2 6 3" xfId="6451" xr:uid="{00000000-0005-0000-0000-000059180000}"/>
    <cellStyle name="Normal 5 2 3 2 2 6 3 2" xfId="14901" xr:uid="{1C1C4D21-0967-44A3-BADF-7B843876CDD2}"/>
    <cellStyle name="Normal 5 2 3 2 2 6 4" xfId="10683" xr:uid="{BDBA0048-FC5D-4A40-8306-27D7554C2CA4}"/>
    <cellStyle name="Normal 5 2 3 2 2 7" xfId="2581" xr:uid="{00000000-0005-0000-0000-00005A180000}"/>
    <cellStyle name="Normal 5 2 3 2 2 7 2" xfId="6864" xr:uid="{00000000-0005-0000-0000-00005B180000}"/>
    <cellStyle name="Normal 5 2 3 2 2 7 2 2" xfId="15314" xr:uid="{EB344836-A238-43FA-828A-45B87A34AA83}"/>
    <cellStyle name="Normal 5 2 3 2 2 7 3" xfId="11096" xr:uid="{8EFDB3A4-633B-4E11-B89C-EE2500839BC9}"/>
    <cellStyle name="Normal 5 2 3 2 2 8" xfId="4799" xr:uid="{00000000-0005-0000-0000-00005C180000}"/>
    <cellStyle name="Normal 5 2 3 2 2 8 2" xfId="13249" xr:uid="{52C391F3-1A05-4D0E-8B47-DEBC016B5170}"/>
    <cellStyle name="Normal 5 2 3 2 2 9" xfId="9031" xr:uid="{0815699E-42D1-4BEC-ABBF-175BC900EBA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4664E405-C572-40DA-92AA-FCCD56D7E1F5}"/>
    <cellStyle name="Normal 5 2 3 2 3 2 2 3" xfId="11591" xr:uid="{F1C4C507-2800-4515-A9AA-E7B998AF242A}"/>
    <cellStyle name="Normal 5 2 3 2 3 2 3" xfId="5214" xr:uid="{00000000-0005-0000-0000-000061180000}"/>
    <cellStyle name="Normal 5 2 3 2 3 2 3 2" xfId="13664" xr:uid="{AD48209D-FA47-4EE3-8435-1EC665A98BB1}"/>
    <cellStyle name="Normal 5 2 3 2 3 2 4" xfId="9446" xr:uid="{4F2D5054-A3E3-49BE-91B8-9A575A7E3EE8}"/>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87B7AAA7-4E93-4E8E-8903-67BB78B5E59F}"/>
    <cellStyle name="Normal 5 2 3 2 3 3 2 3" xfId="12004" xr:uid="{C9BB8008-A4DE-4BA5-AF32-0DEAED5065E6}"/>
    <cellStyle name="Normal 5 2 3 2 3 3 3" xfId="5627" xr:uid="{00000000-0005-0000-0000-000065180000}"/>
    <cellStyle name="Normal 5 2 3 2 3 3 3 2" xfId="14077" xr:uid="{88A702AD-493C-451B-9BDF-391900112431}"/>
    <cellStyle name="Normal 5 2 3 2 3 3 4" xfId="9859" xr:uid="{DA6D1888-A7CD-4E8C-AE33-78F4EA5EC182}"/>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889F72F0-062B-40C4-8013-6F97ABA44B3E}"/>
    <cellStyle name="Normal 5 2 3 2 3 4 2 3" xfId="12417" xr:uid="{397F54EE-9F64-4267-AE6E-87CB65875467}"/>
    <cellStyle name="Normal 5 2 3 2 3 4 3" xfId="6040" xr:uid="{00000000-0005-0000-0000-000069180000}"/>
    <cellStyle name="Normal 5 2 3 2 3 4 3 2" xfId="14490" xr:uid="{C31D3B89-2F19-457D-8D60-CAE74D7C37B3}"/>
    <cellStyle name="Normal 5 2 3 2 3 4 4" xfId="10272" xr:uid="{FBE7A994-7359-4919-8150-894E01AE87A1}"/>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7DDC5556-32A3-40BB-B708-6242AACF30A6}"/>
    <cellStyle name="Normal 5 2 3 2 3 5 2 3" xfId="12830" xr:uid="{330BA8D1-445A-4CD8-9E25-66CBD3F56FE2}"/>
    <cellStyle name="Normal 5 2 3 2 3 5 3" xfId="6453" xr:uid="{00000000-0005-0000-0000-00006D180000}"/>
    <cellStyle name="Normal 5 2 3 2 3 5 3 2" xfId="14903" xr:uid="{4BACE030-D164-4001-AB70-77F434B0B7BB}"/>
    <cellStyle name="Normal 5 2 3 2 3 5 4" xfId="10685" xr:uid="{1B062ED9-150D-4E06-BFB3-EE3C3726E5B8}"/>
    <cellStyle name="Normal 5 2 3 2 3 6" xfId="2583" xr:uid="{00000000-0005-0000-0000-00006E180000}"/>
    <cellStyle name="Normal 5 2 3 2 3 6 2" xfId="6866" xr:uid="{00000000-0005-0000-0000-00006F180000}"/>
    <cellStyle name="Normal 5 2 3 2 3 6 2 2" xfId="15316" xr:uid="{7005FEA4-8686-43D3-AE23-14B26923250A}"/>
    <cellStyle name="Normal 5 2 3 2 3 6 3" xfId="11098" xr:uid="{C1C2B22A-C870-4D71-A959-1F1ECFCE3831}"/>
    <cellStyle name="Normal 5 2 3 2 3 7" xfId="4801" xr:uid="{00000000-0005-0000-0000-000070180000}"/>
    <cellStyle name="Normal 5 2 3 2 3 7 2" xfId="13251" xr:uid="{26A0785A-45D1-4A68-9A51-B65F64F436A8}"/>
    <cellStyle name="Normal 5 2 3 2 3 8" xfId="9033" xr:uid="{3DAD6672-C0F6-4DFE-8AB2-EA87AA0666A6}"/>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38F99686-1B85-43CA-9E65-6717D19F3513}"/>
    <cellStyle name="Normal 5 2 3 2 4 2 3" xfId="11588" xr:uid="{2F81776B-292F-4015-BD4F-73166CD6361F}"/>
    <cellStyle name="Normal 5 2 3 2 4 3" xfId="5211" xr:uid="{00000000-0005-0000-0000-000074180000}"/>
    <cellStyle name="Normal 5 2 3 2 4 3 2" xfId="13661" xr:uid="{2FB3C283-688C-42B2-A4D4-0435CDD2605A}"/>
    <cellStyle name="Normal 5 2 3 2 4 4" xfId="9443" xr:uid="{A60032A2-3052-447D-8AD8-FF3BD3ADA412}"/>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B04974AB-84B5-4952-8F9D-6411E65033E8}"/>
    <cellStyle name="Normal 5 2 3 2 5 2 3" xfId="12001" xr:uid="{1BD9432D-2F27-4764-BA30-6CD184C06393}"/>
    <cellStyle name="Normal 5 2 3 2 5 3" xfId="5624" xr:uid="{00000000-0005-0000-0000-000078180000}"/>
    <cellStyle name="Normal 5 2 3 2 5 3 2" xfId="14074" xr:uid="{2D816192-9EBD-4DFC-BA0C-40AFD0D20C75}"/>
    <cellStyle name="Normal 5 2 3 2 5 4" xfId="9856" xr:uid="{A545C022-669F-4F32-8EB1-5A49FA9ECFAC}"/>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E2E272F9-1130-4594-A884-5637649B375D}"/>
    <cellStyle name="Normal 5 2 3 2 6 2 3" xfId="12414" xr:uid="{AEFF3016-24FF-4EDC-8DE6-19BEFB27E22A}"/>
    <cellStyle name="Normal 5 2 3 2 6 3" xfId="6037" xr:uid="{00000000-0005-0000-0000-00007C180000}"/>
    <cellStyle name="Normal 5 2 3 2 6 3 2" xfId="14487" xr:uid="{60AA9184-3A67-4F50-80CB-8BB2055D9ADB}"/>
    <cellStyle name="Normal 5 2 3 2 6 4" xfId="10269" xr:uid="{80E4FCD9-976E-4AB7-BCBC-3D06A7352B28}"/>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B390575B-36CA-47E8-B783-DBBE00B3AEC5}"/>
    <cellStyle name="Normal 5 2 3 2 7 2 3" xfId="12827" xr:uid="{96BEE0D6-B48B-425D-96E6-DD1DD9B81CCD}"/>
    <cellStyle name="Normal 5 2 3 2 7 3" xfId="6450" xr:uid="{00000000-0005-0000-0000-000080180000}"/>
    <cellStyle name="Normal 5 2 3 2 7 3 2" xfId="14900" xr:uid="{281D71C6-99C3-4B49-8FF1-D753E7D284DF}"/>
    <cellStyle name="Normal 5 2 3 2 7 4" xfId="10682" xr:uid="{5EF6AAD4-5CA2-4A25-9760-B28F352348C4}"/>
    <cellStyle name="Normal 5 2 3 2 8" xfId="2580" xr:uid="{00000000-0005-0000-0000-000081180000}"/>
    <cellStyle name="Normal 5 2 3 2 8 2" xfId="6863" xr:uid="{00000000-0005-0000-0000-000082180000}"/>
    <cellStyle name="Normal 5 2 3 2 8 2 2" xfId="15313" xr:uid="{8D96D3A1-4DFE-4CF1-A8B9-BF412E31E713}"/>
    <cellStyle name="Normal 5 2 3 2 8 3" xfId="11095" xr:uid="{97889CF9-22E5-499E-9F2C-98ADF53643F6}"/>
    <cellStyle name="Normal 5 2 3 2 9" xfId="4798" xr:uid="{00000000-0005-0000-0000-000083180000}"/>
    <cellStyle name="Normal 5 2 3 2 9 2" xfId="13248" xr:uid="{3D957EDB-AA0F-4578-AA52-1F107DC7BEF9}"/>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3E6FB5BE-77A5-45C3-BB4C-9DFC183194F4}"/>
    <cellStyle name="Normal 5 2 3 3 2 2 2 3" xfId="11593" xr:uid="{3D4C8B53-05AF-446B-85F0-D8629D3DA39A}"/>
    <cellStyle name="Normal 5 2 3 3 2 2 3" xfId="5216" xr:uid="{00000000-0005-0000-0000-000089180000}"/>
    <cellStyle name="Normal 5 2 3 3 2 2 3 2" xfId="13666" xr:uid="{4AFA5A33-CF7E-4A10-B53C-CB25FC8A91BC}"/>
    <cellStyle name="Normal 5 2 3 3 2 2 4" xfId="9448" xr:uid="{7E622711-C82B-4688-8C8E-2268F37B72E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E7BEB84E-D578-4866-A12E-9CCBCCCA47A4}"/>
    <cellStyle name="Normal 5 2 3 3 2 3 2 3" xfId="12006" xr:uid="{79105320-54B5-4232-BC77-8453BB02A9F3}"/>
    <cellStyle name="Normal 5 2 3 3 2 3 3" xfId="5629" xr:uid="{00000000-0005-0000-0000-00008D180000}"/>
    <cellStyle name="Normal 5 2 3 3 2 3 3 2" xfId="14079" xr:uid="{E48F901D-05BC-4E98-92D4-73B01A29134C}"/>
    <cellStyle name="Normal 5 2 3 3 2 3 4" xfId="9861" xr:uid="{658AC238-3871-4830-8DF9-8E7D8A154DFB}"/>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1BBBCCA5-6F5F-40F0-87A2-CB0548BBB6D1}"/>
    <cellStyle name="Normal 5 2 3 3 2 4 2 3" xfId="12419" xr:uid="{3E40A33E-35E3-4850-81D3-FE4CA08071ED}"/>
    <cellStyle name="Normal 5 2 3 3 2 4 3" xfId="6042" xr:uid="{00000000-0005-0000-0000-000091180000}"/>
    <cellStyle name="Normal 5 2 3 3 2 4 3 2" xfId="14492" xr:uid="{8B35DE1F-5738-4B1F-BA94-09D522671CB1}"/>
    <cellStyle name="Normal 5 2 3 3 2 4 4" xfId="10274" xr:uid="{32B0D1BA-E267-4FB1-9EE4-6BBFEC5ABA94}"/>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CB2A08EF-B68A-4D0E-B1AC-5246E2AC052F}"/>
    <cellStyle name="Normal 5 2 3 3 2 5 2 3" xfId="12832" xr:uid="{03CFEC0E-4322-4A96-9318-4BEFC78B564F}"/>
    <cellStyle name="Normal 5 2 3 3 2 5 3" xfId="6455" xr:uid="{00000000-0005-0000-0000-000095180000}"/>
    <cellStyle name="Normal 5 2 3 3 2 5 3 2" xfId="14905" xr:uid="{540108DE-C66E-4FB7-AD0A-A9EDF6A55753}"/>
    <cellStyle name="Normal 5 2 3 3 2 5 4" xfId="10687" xr:uid="{EBA0561E-141D-4E3C-A110-BDFAC88B5A73}"/>
    <cellStyle name="Normal 5 2 3 3 2 6" xfId="2585" xr:uid="{00000000-0005-0000-0000-000096180000}"/>
    <cellStyle name="Normal 5 2 3 3 2 6 2" xfId="6868" xr:uid="{00000000-0005-0000-0000-000097180000}"/>
    <cellStyle name="Normal 5 2 3 3 2 6 2 2" xfId="15318" xr:uid="{F28D1D74-7495-4291-9E43-B4CD1EF72C91}"/>
    <cellStyle name="Normal 5 2 3 3 2 6 3" xfId="11100" xr:uid="{14D98101-D156-440C-910F-BB10B483BB00}"/>
    <cellStyle name="Normal 5 2 3 3 2 7" xfId="4803" xr:uid="{00000000-0005-0000-0000-000098180000}"/>
    <cellStyle name="Normal 5 2 3 3 2 7 2" xfId="13253" xr:uid="{97EA95A9-7F63-4FF1-A223-6C84B42F12B7}"/>
    <cellStyle name="Normal 5 2 3 3 2 8" xfId="9035" xr:uid="{0E7E16E2-0FEE-487D-846F-C53307586307}"/>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9E7880C3-E3CB-4673-ABF1-1A20CEC6DBC5}"/>
    <cellStyle name="Normal 5 2 3 3 3 2 3" xfId="11592" xr:uid="{C7BE83AE-3B62-4B08-92E9-DC75F502CEEA}"/>
    <cellStyle name="Normal 5 2 3 3 3 3" xfId="5215" xr:uid="{00000000-0005-0000-0000-00009C180000}"/>
    <cellStyle name="Normal 5 2 3 3 3 3 2" xfId="13665" xr:uid="{DBB37412-636A-4763-9582-3CF78617FAED}"/>
    <cellStyle name="Normal 5 2 3 3 3 4" xfId="9447" xr:uid="{B96F8D3F-B2EE-449E-9A7D-94267D119899}"/>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31231D83-F9A6-4F1F-A771-4568E7837D13}"/>
    <cellStyle name="Normal 5 2 3 3 4 2 3" xfId="12005" xr:uid="{ED78CF3F-7BA9-4731-8955-CC1E94AD35CD}"/>
    <cellStyle name="Normal 5 2 3 3 4 3" xfId="5628" xr:uid="{00000000-0005-0000-0000-0000A0180000}"/>
    <cellStyle name="Normal 5 2 3 3 4 3 2" xfId="14078" xr:uid="{0A64BDEC-94F9-4C3C-955A-DE6F7703B33C}"/>
    <cellStyle name="Normal 5 2 3 3 4 4" xfId="9860" xr:uid="{16E0936C-1F0D-4C6B-AFFE-E2922FDB63A7}"/>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60EB0A78-BBBE-4F30-BBF7-BE5F077927BC}"/>
    <cellStyle name="Normal 5 2 3 3 5 2 3" xfId="12418" xr:uid="{4AD72754-650A-4F57-8298-FEF0C970E21E}"/>
    <cellStyle name="Normal 5 2 3 3 5 3" xfId="6041" xr:uid="{00000000-0005-0000-0000-0000A4180000}"/>
    <cellStyle name="Normal 5 2 3 3 5 3 2" xfId="14491" xr:uid="{39369E04-B601-4203-BF5B-877B9F60A79C}"/>
    <cellStyle name="Normal 5 2 3 3 5 4" xfId="10273" xr:uid="{93166004-C8F1-48FB-8EB9-F2378E3B234D}"/>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B1927EBD-90B5-487D-938C-0A72543ECF76}"/>
    <cellStyle name="Normal 5 2 3 3 6 2 3" xfId="12831" xr:uid="{34EE591A-176C-491C-B7BD-F57678020046}"/>
    <cellStyle name="Normal 5 2 3 3 6 3" xfId="6454" xr:uid="{00000000-0005-0000-0000-0000A8180000}"/>
    <cellStyle name="Normal 5 2 3 3 6 3 2" xfId="14904" xr:uid="{D7790AB4-5DF8-41CD-8DF8-B2423B6D76EC}"/>
    <cellStyle name="Normal 5 2 3 3 6 4" xfId="10686" xr:uid="{7547A5FC-DBE5-44AA-94ED-B0C2A78085D4}"/>
    <cellStyle name="Normal 5 2 3 3 7" xfId="2584" xr:uid="{00000000-0005-0000-0000-0000A9180000}"/>
    <cellStyle name="Normal 5 2 3 3 7 2" xfId="6867" xr:uid="{00000000-0005-0000-0000-0000AA180000}"/>
    <cellStyle name="Normal 5 2 3 3 7 2 2" xfId="15317" xr:uid="{65E17DF8-DC14-45EA-ADA1-66C33A958310}"/>
    <cellStyle name="Normal 5 2 3 3 7 3" xfId="11099" xr:uid="{38A49EDB-EF33-4F10-8128-D2DEBA04A1A4}"/>
    <cellStyle name="Normal 5 2 3 3 8" xfId="4802" xr:uid="{00000000-0005-0000-0000-0000AB180000}"/>
    <cellStyle name="Normal 5 2 3 3 8 2" xfId="13252" xr:uid="{C73C8104-9BC7-4D31-A6D9-7EDFA96E9B59}"/>
    <cellStyle name="Normal 5 2 3 3 9" xfId="9034" xr:uid="{E96F10B8-8B7E-48BA-9563-7CFA74A74DC1}"/>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E21BFD40-AC06-4AD3-BB76-C6CB7C8194B1}"/>
    <cellStyle name="Normal 5 2 3 4 2 2 3" xfId="11594" xr:uid="{B581F351-EDA6-4300-9D37-C2D4D6B6402E}"/>
    <cellStyle name="Normal 5 2 3 4 2 3" xfId="5217" xr:uid="{00000000-0005-0000-0000-0000B0180000}"/>
    <cellStyle name="Normal 5 2 3 4 2 3 2" xfId="13667" xr:uid="{F33BC986-C282-4378-B90D-8A38B26C3765}"/>
    <cellStyle name="Normal 5 2 3 4 2 4" xfId="9449" xr:uid="{73844F9C-3927-4759-98B0-74A466E947B0}"/>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B182C0F2-B836-4B76-B0F1-1B539C982756}"/>
    <cellStyle name="Normal 5 2 3 4 3 2 3" xfId="12007" xr:uid="{F87DBD24-9E6E-468A-A4D7-786338100E20}"/>
    <cellStyle name="Normal 5 2 3 4 3 3" xfId="5630" xr:uid="{00000000-0005-0000-0000-0000B4180000}"/>
    <cellStyle name="Normal 5 2 3 4 3 3 2" xfId="14080" xr:uid="{E942F994-CCD6-467A-85DA-7D536B935C01}"/>
    <cellStyle name="Normal 5 2 3 4 3 4" xfId="9862" xr:uid="{BE5323D3-94CB-4BC4-9287-3FD23F7215D5}"/>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866F9043-8F5E-432D-BFD5-328D53153EF5}"/>
    <cellStyle name="Normal 5 2 3 4 4 2 3" xfId="12420" xr:uid="{2F3DC4F6-E7E7-4E00-A888-4B38B0C55B10}"/>
    <cellStyle name="Normal 5 2 3 4 4 3" xfId="6043" xr:uid="{00000000-0005-0000-0000-0000B8180000}"/>
    <cellStyle name="Normal 5 2 3 4 4 3 2" xfId="14493" xr:uid="{D8A0C4F6-587B-45DB-8431-8803E1C251D8}"/>
    <cellStyle name="Normal 5 2 3 4 4 4" xfId="10275" xr:uid="{3BC7E46B-7384-4C99-A22D-41B2F851CD76}"/>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625158D3-4AF1-44B7-8432-CA67FA73EC4A}"/>
    <cellStyle name="Normal 5 2 3 4 5 2 3" xfId="12833" xr:uid="{3D72A80B-467C-4C55-B1D0-1033F5F091C4}"/>
    <cellStyle name="Normal 5 2 3 4 5 3" xfId="6456" xr:uid="{00000000-0005-0000-0000-0000BC180000}"/>
    <cellStyle name="Normal 5 2 3 4 5 3 2" xfId="14906" xr:uid="{8D33CE5A-CE9A-45DD-B350-364414823294}"/>
    <cellStyle name="Normal 5 2 3 4 5 4" xfId="10688" xr:uid="{ABFB521E-7292-4FD4-ABD6-0D62CDF25C4C}"/>
    <cellStyle name="Normal 5 2 3 4 6" xfId="2586" xr:uid="{00000000-0005-0000-0000-0000BD180000}"/>
    <cellStyle name="Normal 5 2 3 4 6 2" xfId="6869" xr:uid="{00000000-0005-0000-0000-0000BE180000}"/>
    <cellStyle name="Normal 5 2 3 4 6 2 2" xfId="15319" xr:uid="{6E0B4A37-EBBE-42A7-ADFC-E6D2E04CA407}"/>
    <cellStyle name="Normal 5 2 3 4 6 3" xfId="11101" xr:uid="{7A72FCED-9B9A-4B30-9FE9-CAC3E18EB5FC}"/>
    <cellStyle name="Normal 5 2 3 4 7" xfId="4804" xr:uid="{00000000-0005-0000-0000-0000BF180000}"/>
    <cellStyle name="Normal 5 2 3 4 7 2" xfId="13254" xr:uid="{899CB063-8793-414C-B881-72F22DCC9312}"/>
    <cellStyle name="Normal 5 2 3 4 8" xfId="9036" xr:uid="{D165AE85-FEBE-4C4A-B454-F1424B9D6D55}"/>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0311FCD2-67EF-4ECE-9987-2CC9F95E39DC}"/>
    <cellStyle name="Normal 5 2 3 5 2 3" xfId="11587" xr:uid="{EB4D33E3-2CE5-44D7-AC82-CA001D5370A6}"/>
    <cellStyle name="Normal 5 2 3 5 3" xfId="5210" xr:uid="{00000000-0005-0000-0000-0000C3180000}"/>
    <cellStyle name="Normal 5 2 3 5 3 2" xfId="13660" xr:uid="{3B5E77EC-563B-4860-88BE-00A782159DD6}"/>
    <cellStyle name="Normal 5 2 3 5 4" xfId="9442" xr:uid="{E70DC40E-0266-4DE0-A6C3-3D276654721E}"/>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FB5BB56E-2A18-4934-AB3A-64C6E76542DB}"/>
    <cellStyle name="Normal 5 2 3 6 2 3" xfId="12000" xr:uid="{27570110-FBDF-4187-93AA-6622269D8FF0}"/>
    <cellStyle name="Normal 5 2 3 6 3" xfId="5623" xr:uid="{00000000-0005-0000-0000-0000C7180000}"/>
    <cellStyle name="Normal 5 2 3 6 3 2" xfId="14073" xr:uid="{4D080A98-A3A1-4C16-A882-5D48E1ED8323}"/>
    <cellStyle name="Normal 5 2 3 6 4" xfId="9855" xr:uid="{98043F1C-80F9-455A-9D94-F11CF2C6695B}"/>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F363E0A9-5FFB-4EF3-8DB5-710F31F6CEB6}"/>
    <cellStyle name="Normal 5 2 3 7 2 3" xfId="12413" xr:uid="{67B49F1C-C713-4AAF-9FF4-4E597516FBFC}"/>
    <cellStyle name="Normal 5 2 3 7 3" xfId="6036" xr:uid="{00000000-0005-0000-0000-0000CB180000}"/>
    <cellStyle name="Normal 5 2 3 7 3 2" xfId="14486" xr:uid="{7CC11E38-F9D3-42C8-B375-E9029959499F}"/>
    <cellStyle name="Normal 5 2 3 7 4" xfId="10268" xr:uid="{3CABD4B6-C4A8-415D-94BD-84B2B6ADBB57}"/>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EE4373B5-FC38-4F27-9249-926158E8BB1B}"/>
    <cellStyle name="Normal 5 2 3 8 2 3" xfId="12826" xr:uid="{2FD59603-A85E-43B8-BE05-0E92EF1228C4}"/>
    <cellStyle name="Normal 5 2 3 8 3" xfId="6449" xr:uid="{00000000-0005-0000-0000-0000CF180000}"/>
    <cellStyle name="Normal 5 2 3 8 3 2" xfId="14899" xr:uid="{ECFC2D3F-AACD-4DAF-81BB-21CCEFBB7064}"/>
    <cellStyle name="Normal 5 2 3 8 4" xfId="10681" xr:uid="{CB1ECC35-8C5F-4453-B481-3D68E7DEF396}"/>
    <cellStyle name="Normal 5 2 3 9" xfId="2579" xr:uid="{00000000-0005-0000-0000-0000D0180000}"/>
    <cellStyle name="Normal 5 2 3 9 2" xfId="6862" xr:uid="{00000000-0005-0000-0000-0000D1180000}"/>
    <cellStyle name="Normal 5 2 3 9 2 2" xfId="15312" xr:uid="{746D1709-AD17-4A7D-9DCA-EBF4DF71FBBC}"/>
    <cellStyle name="Normal 5 2 3 9 3" xfId="11094" xr:uid="{E255D691-816F-43ED-B52F-2777E64DC766}"/>
    <cellStyle name="Normal 5 2 4" xfId="432" xr:uid="{00000000-0005-0000-0000-0000D2180000}"/>
    <cellStyle name="Normal 5 2 4 10" xfId="9037" xr:uid="{AE79E920-1288-4BED-9EA3-70697676ED7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FCDEBFFE-B5A5-493D-AC66-6D613FD99DF3}"/>
    <cellStyle name="Normal 5 2 4 2 2 2 2 3" xfId="11597" xr:uid="{751E9EE5-3EB8-41F9-BC48-231D7E87D279}"/>
    <cellStyle name="Normal 5 2 4 2 2 2 3" xfId="5220" xr:uid="{00000000-0005-0000-0000-0000D8180000}"/>
    <cellStyle name="Normal 5 2 4 2 2 2 3 2" xfId="13670" xr:uid="{E8C12D47-415E-45ED-A263-C41BDD043BD3}"/>
    <cellStyle name="Normal 5 2 4 2 2 2 4" xfId="9452" xr:uid="{1DAF958B-7E66-449E-914A-DC98366B3F06}"/>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1148A0E9-3781-4E23-A41F-8D03F5617BB3}"/>
    <cellStyle name="Normal 5 2 4 2 2 3 2 3" xfId="12010" xr:uid="{8D0BBDB2-749A-454D-A97F-8D6BA5F9C9C8}"/>
    <cellStyle name="Normal 5 2 4 2 2 3 3" xfId="5633" xr:uid="{00000000-0005-0000-0000-0000DC180000}"/>
    <cellStyle name="Normal 5 2 4 2 2 3 3 2" xfId="14083" xr:uid="{DA15969A-8B6B-40F3-B6BA-F46874647147}"/>
    <cellStyle name="Normal 5 2 4 2 2 3 4" xfId="9865" xr:uid="{D4E8067B-B5C6-4D1A-B5BD-1D5FC0E35188}"/>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746FF79E-87DA-4323-9145-0A24265455E5}"/>
    <cellStyle name="Normal 5 2 4 2 2 4 2 3" xfId="12423" xr:uid="{AA6EC6B8-4D1A-4827-8E1D-FDE3FD6D4566}"/>
    <cellStyle name="Normal 5 2 4 2 2 4 3" xfId="6046" xr:uid="{00000000-0005-0000-0000-0000E0180000}"/>
    <cellStyle name="Normal 5 2 4 2 2 4 3 2" xfId="14496" xr:uid="{5B733386-8ECE-46E2-9D55-64CD9A04EB8C}"/>
    <cellStyle name="Normal 5 2 4 2 2 4 4" xfId="10278" xr:uid="{7176FA2D-6CE4-438E-8978-14CC4E715CE4}"/>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A27CA80E-28A8-48F1-887C-A8EEDAF0CF97}"/>
    <cellStyle name="Normal 5 2 4 2 2 5 2 3" xfId="12836" xr:uid="{2000DBE8-684D-451F-AECB-316C06713221}"/>
    <cellStyle name="Normal 5 2 4 2 2 5 3" xfId="6459" xr:uid="{00000000-0005-0000-0000-0000E4180000}"/>
    <cellStyle name="Normal 5 2 4 2 2 5 3 2" xfId="14909" xr:uid="{B29E63B5-CCB4-417D-BAAE-9B2F760850D5}"/>
    <cellStyle name="Normal 5 2 4 2 2 5 4" xfId="10691" xr:uid="{90DC5EC7-34E7-4DA9-8F36-8EB673E39E6E}"/>
    <cellStyle name="Normal 5 2 4 2 2 6" xfId="2589" xr:uid="{00000000-0005-0000-0000-0000E5180000}"/>
    <cellStyle name="Normal 5 2 4 2 2 6 2" xfId="6872" xr:uid="{00000000-0005-0000-0000-0000E6180000}"/>
    <cellStyle name="Normal 5 2 4 2 2 6 2 2" xfId="15322" xr:uid="{BDC21167-6232-442D-A693-BF0B82698C76}"/>
    <cellStyle name="Normal 5 2 4 2 2 6 3" xfId="11104" xr:uid="{7E6AE0E1-8A39-416C-8642-A8324F5F9ED3}"/>
    <cellStyle name="Normal 5 2 4 2 2 7" xfId="4807" xr:uid="{00000000-0005-0000-0000-0000E7180000}"/>
    <cellStyle name="Normal 5 2 4 2 2 7 2" xfId="13257" xr:uid="{FB78A921-52DB-4BDB-90E8-2B1D31750205}"/>
    <cellStyle name="Normal 5 2 4 2 2 8" xfId="9039" xr:uid="{DF6701CA-63ED-4427-9653-0B4A49F5DD87}"/>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24203BDE-864D-41F4-811B-8047DC377760}"/>
    <cellStyle name="Normal 5 2 4 2 3 2 3" xfId="11596" xr:uid="{A6062EB9-40A0-4055-9393-FBC60432D0FE}"/>
    <cellStyle name="Normal 5 2 4 2 3 3" xfId="5219" xr:uid="{00000000-0005-0000-0000-0000EB180000}"/>
    <cellStyle name="Normal 5 2 4 2 3 3 2" xfId="13669" xr:uid="{DDE43F99-CFD7-4357-9881-A13D6E0F5C4F}"/>
    <cellStyle name="Normal 5 2 4 2 3 4" xfId="9451" xr:uid="{9F0ECF15-7D88-464D-A5C1-1C78B4EFB5B8}"/>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64C634CD-560F-4BFE-981A-CD8890A428E0}"/>
    <cellStyle name="Normal 5 2 4 2 4 2 3" xfId="12009" xr:uid="{3E5B81CC-CDA0-4DE2-A253-9FFE1761163A}"/>
    <cellStyle name="Normal 5 2 4 2 4 3" xfId="5632" xr:uid="{00000000-0005-0000-0000-0000EF180000}"/>
    <cellStyle name="Normal 5 2 4 2 4 3 2" xfId="14082" xr:uid="{21C5390A-28D5-48E5-A0A2-3E1821A7C8E4}"/>
    <cellStyle name="Normal 5 2 4 2 4 4" xfId="9864" xr:uid="{CCA9B398-3F25-4530-A63B-DE98E9CBB614}"/>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AD4D47CF-414B-40D5-A07A-699C3FE890A7}"/>
    <cellStyle name="Normal 5 2 4 2 5 2 3" xfId="12422" xr:uid="{D926BC7D-EC57-4B48-8513-A4ED55B74E55}"/>
    <cellStyle name="Normal 5 2 4 2 5 3" xfId="6045" xr:uid="{00000000-0005-0000-0000-0000F3180000}"/>
    <cellStyle name="Normal 5 2 4 2 5 3 2" xfId="14495" xr:uid="{FA788A74-2C47-4162-A64A-0AA6CB678F70}"/>
    <cellStyle name="Normal 5 2 4 2 5 4" xfId="10277" xr:uid="{B020E008-698B-41F1-ACB9-C592B6533645}"/>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A951DD78-77A2-457F-8E8E-7FEE4FD4760F}"/>
    <cellStyle name="Normal 5 2 4 2 6 2 3" xfId="12835" xr:uid="{D1DB0BFE-DE8D-4C69-B4D7-19D32D51B693}"/>
    <cellStyle name="Normal 5 2 4 2 6 3" xfId="6458" xr:uid="{00000000-0005-0000-0000-0000F7180000}"/>
    <cellStyle name="Normal 5 2 4 2 6 3 2" xfId="14908" xr:uid="{54B54C3A-EED5-4BE2-B534-B082F2D7237C}"/>
    <cellStyle name="Normal 5 2 4 2 6 4" xfId="10690" xr:uid="{989867A5-877C-484A-B44F-12D457BF3124}"/>
    <cellStyle name="Normal 5 2 4 2 7" xfId="2588" xr:uid="{00000000-0005-0000-0000-0000F8180000}"/>
    <cellStyle name="Normal 5 2 4 2 7 2" xfId="6871" xr:uid="{00000000-0005-0000-0000-0000F9180000}"/>
    <cellStyle name="Normal 5 2 4 2 7 2 2" xfId="15321" xr:uid="{AA286A61-6283-4C53-80C1-DDC0487DB67A}"/>
    <cellStyle name="Normal 5 2 4 2 7 3" xfId="11103" xr:uid="{8B60732B-4EC0-4CDE-A3AC-DAA3D7572D60}"/>
    <cellStyle name="Normal 5 2 4 2 8" xfId="4806" xr:uid="{00000000-0005-0000-0000-0000FA180000}"/>
    <cellStyle name="Normal 5 2 4 2 8 2" xfId="13256" xr:uid="{31000823-121F-4658-A19D-3008A949D564}"/>
    <cellStyle name="Normal 5 2 4 2 9" xfId="9038" xr:uid="{BE91BE22-410F-485D-9B6B-EDAB863364A7}"/>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893F998A-7681-4A4A-84F6-037DB89CA844}"/>
    <cellStyle name="Normal 5 2 4 3 2 2 3" xfId="11598" xr:uid="{1A30974B-F70E-4451-A19F-3450D4112DD3}"/>
    <cellStyle name="Normal 5 2 4 3 2 3" xfId="5221" xr:uid="{00000000-0005-0000-0000-0000FF180000}"/>
    <cellStyle name="Normal 5 2 4 3 2 3 2" xfId="13671" xr:uid="{D1CF5172-4826-42B6-B363-2F0B95774D7C}"/>
    <cellStyle name="Normal 5 2 4 3 2 4" xfId="9453" xr:uid="{C671A43A-5863-4DD3-AC96-635893ACBA8E}"/>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14FD0945-EA97-43D2-89CA-1BFDF1E7DFF0}"/>
    <cellStyle name="Normal 5 2 4 3 3 2 3" xfId="12011" xr:uid="{D82AE010-C57D-4031-BA38-595FD30C7693}"/>
    <cellStyle name="Normal 5 2 4 3 3 3" xfId="5634" xr:uid="{00000000-0005-0000-0000-000003190000}"/>
    <cellStyle name="Normal 5 2 4 3 3 3 2" xfId="14084" xr:uid="{9960DE0E-4783-4107-8D7C-4FCAB7432FC5}"/>
    <cellStyle name="Normal 5 2 4 3 3 4" xfId="9866" xr:uid="{E20A1632-B4A7-4E36-B072-510CEE6805C6}"/>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D76322A3-C87B-4572-929A-C4ADDB69BE03}"/>
    <cellStyle name="Normal 5 2 4 3 4 2 3" xfId="12424" xr:uid="{67B3B0A1-A7C4-4FB2-8C32-D1EF9B972E9C}"/>
    <cellStyle name="Normal 5 2 4 3 4 3" xfId="6047" xr:uid="{00000000-0005-0000-0000-000007190000}"/>
    <cellStyle name="Normal 5 2 4 3 4 3 2" xfId="14497" xr:uid="{50FF0FC0-BE8D-4B01-9828-698F0DF1FF56}"/>
    <cellStyle name="Normal 5 2 4 3 4 4" xfId="10279" xr:uid="{EA2A0450-7C1D-469F-860C-CDA8E1E67D82}"/>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BEB7BF41-1E36-4FBB-B333-832829193525}"/>
    <cellStyle name="Normal 5 2 4 3 5 2 3" xfId="12837" xr:uid="{9D8C0AE5-4BA7-4BD1-81BF-C7F9C3301426}"/>
    <cellStyle name="Normal 5 2 4 3 5 3" xfId="6460" xr:uid="{00000000-0005-0000-0000-00000B190000}"/>
    <cellStyle name="Normal 5 2 4 3 5 3 2" xfId="14910" xr:uid="{02B1298C-857E-41F3-AA64-4433FD94724C}"/>
    <cellStyle name="Normal 5 2 4 3 5 4" xfId="10692" xr:uid="{CD56B621-3977-4152-8966-33BF1CFE65B2}"/>
    <cellStyle name="Normal 5 2 4 3 6" xfId="2590" xr:uid="{00000000-0005-0000-0000-00000C190000}"/>
    <cellStyle name="Normal 5 2 4 3 6 2" xfId="6873" xr:uid="{00000000-0005-0000-0000-00000D190000}"/>
    <cellStyle name="Normal 5 2 4 3 6 2 2" xfId="15323" xr:uid="{4244E3A3-995B-4612-8117-68E20CB9AFB9}"/>
    <cellStyle name="Normal 5 2 4 3 6 3" xfId="11105" xr:uid="{1C2979D3-607F-442D-A9FB-657F7AD24918}"/>
    <cellStyle name="Normal 5 2 4 3 7" xfId="4808" xr:uid="{00000000-0005-0000-0000-00000E190000}"/>
    <cellStyle name="Normal 5 2 4 3 7 2" xfId="13258" xr:uid="{0E9E0465-E68E-4170-B6AA-FC33500BE981}"/>
    <cellStyle name="Normal 5 2 4 3 8" xfId="9040" xr:uid="{8DDF763F-24C9-426A-A06B-E2CB3571FD6E}"/>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0B0CA393-9338-4BD1-98F4-380EF089DCF2}"/>
    <cellStyle name="Normal 5 2 4 4 2 3" xfId="11595" xr:uid="{17526029-8ED7-4C95-A6D1-678872628C7D}"/>
    <cellStyle name="Normal 5 2 4 4 3" xfId="5218" xr:uid="{00000000-0005-0000-0000-000012190000}"/>
    <cellStyle name="Normal 5 2 4 4 3 2" xfId="13668" xr:uid="{D0744F7D-9D2C-4210-8401-39245DA6AB69}"/>
    <cellStyle name="Normal 5 2 4 4 4" xfId="9450" xr:uid="{3E1C73F8-DD1C-4167-AA7A-28C57BEE5E83}"/>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C5E83372-31F4-4174-92C1-55DCB574E993}"/>
    <cellStyle name="Normal 5 2 4 5 2 3" xfId="12008" xr:uid="{AEB077B9-9248-4277-ABA8-F37CB99D0A06}"/>
    <cellStyle name="Normal 5 2 4 5 3" xfId="5631" xr:uid="{00000000-0005-0000-0000-000016190000}"/>
    <cellStyle name="Normal 5 2 4 5 3 2" xfId="14081" xr:uid="{20D59FF5-B10C-46D2-BD6D-F5E4DEBA8005}"/>
    <cellStyle name="Normal 5 2 4 5 4" xfId="9863" xr:uid="{0785EBFC-EA55-4AD8-ACC3-B0D124587956}"/>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2D1C12BF-4B75-4EC9-9FAA-67AB6A019DAB}"/>
    <cellStyle name="Normal 5 2 4 6 2 3" xfId="12421" xr:uid="{523A1627-9984-49A6-9EE1-AF03FB96B62E}"/>
    <cellStyle name="Normal 5 2 4 6 3" xfId="6044" xr:uid="{00000000-0005-0000-0000-00001A190000}"/>
    <cellStyle name="Normal 5 2 4 6 3 2" xfId="14494" xr:uid="{3F36F1F9-A945-4C31-B7E6-90CC0A957C6F}"/>
    <cellStyle name="Normal 5 2 4 6 4" xfId="10276" xr:uid="{2D02DA88-68D0-4F86-B503-6C73821D2CF4}"/>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58905D11-B429-46B2-8F1B-2F6C5AA2F7D5}"/>
    <cellStyle name="Normal 5 2 4 7 2 3" xfId="12834" xr:uid="{27945908-F1FC-4B06-92CA-DDE9798E7595}"/>
    <cellStyle name="Normal 5 2 4 7 3" xfId="6457" xr:uid="{00000000-0005-0000-0000-00001E190000}"/>
    <cellStyle name="Normal 5 2 4 7 3 2" xfId="14907" xr:uid="{D3FE8415-3048-4200-8534-4F177B6E7C63}"/>
    <cellStyle name="Normal 5 2 4 7 4" xfId="10689" xr:uid="{D73B7350-CE6A-49CC-B070-882E1D9BD45F}"/>
    <cellStyle name="Normal 5 2 4 8" xfId="2587" xr:uid="{00000000-0005-0000-0000-00001F190000}"/>
    <cellStyle name="Normal 5 2 4 8 2" xfId="6870" xr:uid="{00000000-0005-0000-0000-000020190000}"/>
    <cellStyle name="Normal 5 2 4 8 2 2" xfId="15320" xr:uid="{1924A246-35A4-4494-8C28-748193272AAA}"/>
    <cellStyle name="Normal 5 2 4 8 3" xfId="11102" xr:uid="{1623BC00-6CAB-4A37-984D-F5E1B74FBE6B}"/>
    <cellStyle name="Normal 5 2 4 9" xfId="4805" xr:uid="{00000000-0005-0000-0000-000021190000}"/>
    <cellStyle name="Normal 5 2 4 9 2" xfId="13255" xr:uid="{F23ED642-9B77-4644-BC30-8636635CF3B8}"/>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B6231F2F-4CB5-49FF-9280-087C7C687B65}"/>
    <cellStyle name="Normal 5 2 5 2 2 2 3" xfId="11600" xr:uid="{E6BF8CBA-7CC1-418B-A48D-584A769AABBE}"/>
    <cellStyle name="Normal 5 2 5 2 2 3" xfId="5223" xr:uid="{00000000-0005-0000-0000-000027190000}"/>
    <cellStyle name="Normal 5 2 5 2 2 3 2" xfId="13673" xr:uid="{1B5F5E6D-E3DB-462D-9738-35D4164F65E1}"/>
    <cellStyle name="Normal 5 2 5 2 2 4" xfId="9455" xr:uid="{5D508DCB-2DAA-41E0-A30D-871A77F6A654}"/>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30330CC1-9541-4E76-AC27-0C046B1CF854}"/>
    <cellStyle name="Normal 5 2 5 2 3 2 3" xfId="12013" xr:uid="{F333066E-4D04-4E36-8462-C4BE4C10B0BD}"/>
    <cellStyle name="Normal 5 2 5 2 3 3" xfId="5636" xr:uid="{00000000-0005-0000-0000-00002B190000}"/>
    <cellStyle name="Normal 5 2 5 2 3 3 2" xfId="14086" xr:uid="{2ED23B9C-FEFB-46B7-80BC-EC75C4B1A7E7}"/>
    <cellStyle name="Normal 5 2 5 2 3 4" xfId="9868" xr:uid="{6E419503-5C82-432A-9F8F-AECDE30FD70C}"/>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8AD92AC1-3F9B-48A2-8DC4-6EB1062E5C3F}"/>
    <cellStyle name="Normal 5 2 5 2 4 2 3" xfId="12426" xr:uid="{2FDA1803-1A9E-4726-B470-FD8701DB4295}"/>
    <cellStyle name="Normal 5 2 5 2 4 3" xfId="6049" xr:uid="{00000000-0005-0000-0000-00002F190000}"/>
    <cellStyle name="Normal 5 2 5 2 4 3 2" xfId="14499" xr:uid="{C56A6BC4-3958-4095-BDB4-5BECBF9CF1B7}"/>
    <cellStyle name="Normal 5 2 5 2 4 4" xfId="10281" xr:uid="{60A49E06-38E3-4D05-9680-DAE646A9EBC7}"/>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CB2DF3AA-AFEC-45B9-A759-8B3489C4CA1F}"/>
    <cellStyle name="Normal 5 2 5 2 5 2 3" xfId="12839" xr:uid="{4353E82F-65CD-4737-AC28-975C90FC6490}"/>
    <cellStyle name="Normal 5 2 5 2 5 3" xfId="6462" xr:uid="{00000000-0005-0000-0000-000033190000}"/>
    <cellStyle name="Normal 5 2 5 2 5 3 2" xfId="14912" xr:uid="{4B74E7B6-2114-47C7-8A19-56DDF002766B}"/>
    <cellStyle name="Normal 5 2 5 2 5 4" xfId="10694" xr:uid="{DDC937A0-E023-4FD4-986D-08683C19B508}"/>
    <cellStyle name="Normal 5 2 5 2 6" xfId="2592" xr:uid="{00000000-0005-0000-0000-000034190000}"/>
    <cellStyle name="Normal 5 2 5 2 6 2" xfId="6875" xr:uid="{00000000-0005-0000-0000-000035190000}"/>
    <cellStyle name="Normal 5 2 5 2 6 2 2" xfId="15325" xr:uid="{7061AD96-A23F-43F8-8476-E602CAF723DD}"/>
    <cellStyle name="Normal 5 2 5 2 6 3" xfId="11107" xr:uid="{8883BA9B-0CA4-4486-9C4E-83877D88E86B}"/>
    <cellStyle name="Normal 5 2 5 2 7" xfId="4810" xr:uid="{00000000-0005-0000-0000-000036190000}"/>
    <cellStyle name="Normal 5 2 5 2 7 2" xfId="13260" xr:uid="{2FC1126F-DE3E-4B31-B7DF-039963869661}"/>
    <cellStyle name="Normal 5 2 5 2 8" xfId="9042" xr:uid="{64CAA403-DBE3-4E97-8996-742DD5B89C5D}"/>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1411FF44-AD70-4676-979C-094718337CCA}"/>
    <cellStyle name="Normal 5 2 5 3 2 3" xfId="11599" xr:uid="{7A3A3C6C-1ECA-42D0-8E78-BFDF4EEF096B}"/>
    <cellStyle name="Normal 5 2 5 3 3" xfId="5222" xr:uid="{00000000-0005-0000-0000-00003A190000}"/>
    <cellStyle name="Normal 5 2 5 3 3 2" xfId="13672" xr:uid="{885C967E-0A8E-45C6-B1B0-4FCB8840667D}"/>
    <cellStyle name="Normal 5 2 5 3 4" xfId="9454" xr:uid="{9A879008-1532-446F-9A7E-E2BBF6BBE987}"/>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BE1BAFC7-3726-43CD-88FE-81D1EEB06B7B}"/>
    <cellStyle name="Normal 5 2 5 4 2 3" xfId="12012" xr:uid="{0E13A151-5FCD-4F5C-A37F-DF4C98EA7080}"/>
    <cellStyle name="Normal 5 2 5 4 3" xfId="5635" xr:uid="{00000000-0005-0000-0000-00003E190000}"/>
    <cellStyle name="Normal 5 2 5 4 3 2" xfId="14085" xr:uid="{D35564E7-FA86-40F1-B304-B1A59DC89CA5}"/>
    <cellStyle name="Normal 5 2 5 4 4" xfId="9867" xr:uid="{7D2C5A25-1369-4256-BC04-EF850BB47F35}"/>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77B69B60-818E-47D7-B564-F71A27E556AF}"/>
    <cellStyle name="Normal 5 2 5 5 2 3" xfId="12425" xr:uid="{C78088E4-4FC4-4210-9EE2-63042802776F}"/>
    <cellStyle name="Normal 5 2 5 5 3" xfId="6048" xr:uid="{00000000-0005-0000-0000-000042190000}"/>
    <cellStyle name="Normal 5 2 5 5 3 2" xfId="14498" xr:uid="{9285E4DA-4A8B-49C2-BD1E-99D14720E049}"/>
    <cellStyle name="Normal 5 2 5 5 4" xfId="10280" xr:uid="{EFBA3A6A-78A1-4D1F-9B97-DF638933E372}"/>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2805875A-E1C7-43B9-A57D-D6B656394D8E}"/>
    <cellStyle name="Normal 5 2 5 6 2 3" xfId="12838" xr:uid="{18E6FC6E-08F8-4BA7-A754-31243388B4A9}"/>
    <cellStyle name="Normal 5 2 5 6 3" xfId="6461" xr:uid="{00000000-0005-0000-0000-000046190000}"/>
    <cellStyle name="Normal 5 2 5 6 3 2" xfId="14911" xr:uid="{FDADC4E7-5B92-47FE-85B1-D35C66C2F0DC}"/>
    <cellStyle name="Normal 5 2 5 6 4" xfId="10693" xr:uid="{7EAD3B1E-7050-46FF-A1F8-867DCE13E0FD}"/>
    <cellStyle name="Normal 5 2 5 7" xfId="2591" xr:uid="{00000000-0005-0000-0000-000047190000}"/>
    <cellStyle name="Normal 5 2 5 7 2" xfId="6874" xr:uid="{00000000-0005-0000-0000-000048190000}"/>
    <cellStyle name="Normal 5 2 5 7 2 2" xfId="15324" xr:uid="{8569C545-ABE3-4A68-94BE-3CF4E8EFB8DC}"/>
    <cellStyle name="Normal 5 2 5 7 3" xfId="11106" xr:uid="{A3C17DC2-6FB0-4332-8C8A-D58C50C24CC9}"/>
    <cellStyle name="Normal 5 2 5 8" xfId="4809" xr:uid="{00000000-0005-0000-0000-000049190000}"/>
    <cellStyle name="Normal 5 2 5 8 2" xfId="13259" xr:uid="{9A19A52C-E000-43B9-8D65-99DDB14FB877}"/>
    <cellStyle name="Normal 5 2 5 9" xfId="9041" xr:uid="{DEDA31EC-E78B-4B6B-8C83-FA1FEBF344CF}"/>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509E9267-DAF2-4F5A-81E9-F0350DC2136D}"/>
    <cellStyle name="Normal 5 2 6 2 2 3" xfId="11601" xr:uid="{D608A49B-E5A1-42F6-99A0-E686E08F3734}"/>
    <cellStyle name="Normal 5 2 6 2 3" xfId="5224" xr:uid="{00000000-0005-0000-0000-00004E190000}"/>
    <cellStyle name="Normal 5 2 6 2 3 2" xfId="13674" xr:uid="{F136121D-18C4-4C38-94B0-9C7CF3A31961}"/>
    <cellStyle name="Normal 5 2 6 2 4" xfId="9456" xr:uid="{375B9898-00D4-4E80-B836-266CC796DF33}"/>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CA6048C2-5D80-45DC-AE44-710CEE0D75D4}"/>
    <cellStyle name="Normal 5 2 6 3 2 3" xfId="12014" xr:uid="{ABDD4C27-EE09-479B-BD78-8B81EA8F3FF9}"/>
    <cellStyle name="Normal 5 2 6 3 3" xfId="5637" xr:uid="{00000000-0005-0000-0000-000052190000}"/>
    <cellStyle name="Normal 5 2 6 3 3 2" xfId="14087" xr:uid="{ED5F9006-0C5A-461B-AFB5-EE2BCF9B03ED}"/>
    <cellStyle name="Normal 5 2 6 3 4" xfId="9869" xr:uid="{012DD7C3-9422-4473-8BFF-2CA2A5FDBAA5}"/>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A3D9974F-A220-442A-9011-CFE0BA2529DC}"/>
    <cellStyle name="Normal 5 2 6 4 2 3" xfId="12427" xr:uid="{AEFFDFE8-926B-42BC-8E70-E09DBFB2F384}"/>
    <cellStyle name="Normal 5 2 6 4 3" xfId="6050" xr:uid="{00000000-0005-0000-0000-000056190000}"/>
    <cellStyle name="Normal 5 2 6 4 3 2" xfId="14500" xr:uid="{D1520F6F-9ED4-49F3-803C-65D1B7F72C96}"/>
    <cellStyle name="Normal 5 2 6 4 4" xfId="10282" xr:uid="{2B82B256-EC45-44D3-B059-12DE5ACFC42C}"/>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9A6EBA0C-1AC0-4054-ACBF-8F5EAC01A3F8}"/>
    <cellStyle name="Normal 5 2 6 5 2 3" xfId="12840" xr:uid="{5CDAC071-B45C-44DE-B2D0-F616ABF83A66}"/>
    <cellStyle name="Normal 5 2 6 5 3" xfId="6463" xr:uid="{00000000-0005-0000-0000-00005A190000}"/>
    <cellStyle name="Normal 5 2 6 5 3 2" xfId="14913" xr:uid="{CA566906-ED66-4804-8635-4F3EA482CB67}"/>
    <cellStyle name="Normal 5 2 6 5 4" xfId="10695" xr:uid="{1F987361-9C3D-4CC3-8E74-A919E8DCF599}"/>
    <cellStyle name="Normal 5 2 6 6" xfId="2593" xr:uid="{00000000-0005-0000-0000-00005B190000}"/>
    <cellStyle name="Normal 5 2 6 6 2" xfId="6876" xr:uid="{00000000-0005-0000-0000-00005C190000}"/>
    <cellStyle name="Normal 5 2 6 6 2 2" xfId="15326" xr:uid="{9D504494-1BB2-4F0B-882A-D6B135F42FD4}"/>
    <cellStyle name="Normal 5 2 6 6 3" xfId="11108" xr:uid="{5CCC4E26-BF0D-4749-A8C3-54551C22FD69}"/>
    <cellStyle name="Normal 5 2 6 7" xfId="4811" xr:uid="{00000000-0005-0000-0000-00005D190000}"/>
    <cellStyle name="Normal 5 2 6 7 2" xfId="13261" xr:uid="{F508143D-63B9-40BB-A2EB-3E91BD0F89FC}"/>
    <cellStyle name="Normal 5 2 6 8" xfId="9043" xr:uid="{EF6D3D5A-2164-49BF-A4C3-D73676306585}"/>
    <cellStyle name="Normal 5 2 7" xfId="881" xr:uid="{00000000-0005-0000-0000-00005E190000}"/>
    <cellStyle name="Normal 5 2 7 2" xfId="3116" xr:uid="{00000000-0005-0000-0000-00005F190000}"/>
    <cellStyle name="Normal 5 2 7 2 2" xfId="7338" xr:uid="{00000000-0005-0000-0000-000060190000}"/>
    <cellStyle name="Normal 5 2 7 2 2 2" xfId="15788" xr:uid="{88E62E0E-EFF3-4541-BDB6-F441722CAC27}"/>
    <cellStyle name="Normal 5 2 7 2 3" xfId="11570" xr:uid="{019FDFBC-7CFE-4297-B584-A6020D0CC935}"/>
    <cellStyle name="Normal 5 2 7 3" xfId="5193" xr:uid="{00000000-0005-0000-0000-000061190000}"/>
    <cellStyle name="Normal 5 2 7 3 2" xfId="13643" xr:uid="{AD6E96D8-805F-4F94-926F-7A954E375F52}"/>
    <cellStyle name="Normal 5 2 7 4" xfId="9425" xr:uid="{74890340-A3F0-41F6-ABD6-7D40EFABB568}"/>
    <cellStyle name="Normal 5 2 8" xfId="1299" xr:uid="{00000000-0005-0000-0000-000062190000}"/>
    <cellStyle name="Normal 5 2 8 2" xfId="3529" xr:uid="{00000000-0005-0000-0000-000063190000}"/>
    <cellStyle name="Normal 5 2 8 2 2" xfId="7751" xr:uid="{00000000-0005-0000-0000-000064190000}"/>
    <cellStyle name="Normal 5 2 8 2 2 2" xfId="16201" xr:uid="{9DCC0772-EDF7-4266-8623-8D7DB02101ED}"/>
    <cellStyle name="Normal 5 2 8 2 3" xfId="11983" xr:uid="{5D9E1A04-6980-47A0-882E-DBDBA15D6219}"/>
    <cellStyle name="Normal 5 2 8 3" xfId="5606" xr:uid="{00000000-0005-0000-0000-000065190000}"/>
    <cellStyle name="Normal 5 2 8 3 2" xfId="14056" xr:uid="{BCA87AFA-72F1-454C-89CB-78675069D523}"/>
    <cellStyle name="Normal 5 2 8 4" xfId="9838" xr:uid="{E57AD46C-E016-4CBB-AB22-A36936677D53}"/>
    <cellStyle name="Normal 5 2 9" xfId="1712" xr:uid="{00000000-0005-0000-0000-000066190000}"/>
    <cellStyle name="Normal 5 2 9 2" xfId="3942" xr:uid="{00000000-0005-0000-0000-000067190000}"/>
    <cellStyle name="Normal 5 2 9 2 2" xfId="8164" xr:uid="{00000000-0005-0000-0000-000068190000}"/>
    <cellStyle name="Normal 5 2 9 2 2 2" xfId="16614" xr:uid="{50EDEFEC-1465-4AA6-861B-803BF1B3EF87}"/>
    <cellStyle name="Normal 5 2 9 2 3" xfId="12396" xr:uid="{102540B5-F722-402F-8915-89641F17E4D0}"/>
    <cellStyle name="Normal 5 2 9 3" xfId="6019" xr:uid="{00000000-0005-0000-0000-000069190000}"/>
    <cellStyle name="Normal 5 2 9 3 2" xfId="14469" xr:uid="{E3A39F45-4CC6-4A75-9AAC-B76BB287B194}"/>
    <cellStyle name="Normal 5 2 9 4" xfId="10251" xr:uid="{AE0A2D51-1BB4-45CA-AF7E-86C9B620CE03}"/>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4395B531-F736-4529-A060-7C61446AAB57}"/>
    <cellStyle name="Normal 5 3 10 2 3" xfId="12841" xr:uid="{1BFBA41F-CE48-4110-AACB-FB4EA281F328}"/>
    <cellStyle name="Normal 5 3 10 3" xfId="6464" xr:uid="{00000000-0005-0000-0000-00006E190000}"/>
    <cellStyle name="Normal 5 3 10 3 2" xfId="14914" xr:uid="{6742D6A2-C04B-4719-B4A4-00D7A75D6B15}"/>
    <cellStyle name="Normal 5 3 10 4" xfId="10696" xr:uid="{382EB469-B7AB-4FD3-9521-E1E2648026BC}"/>
    <cellStyle name="Normal 5 3 11" xfId="2594" xr:uid="{00000000-0005-0000-0000-00006F190000}"/>
    <cellStyle name="Normal 5 3 11 2" xfId="6877" xr:uid="{00000000-0005-0000-0000-000070190000}"/>
    <cellStyle name="Normal 5 3 11 2 2" xfId="15327" xr:uid="{093EAC5F-CF48-4D4F-BE58-69AED677DC52}"/>
    <cellStyle name="Normal 5 3 11 3" xfId="11109" xr:uid="{8B07070B-C7D8-4751-BC4E-A4EB7B07314F}"/>
    <cellStyle name="Normal 5 3 12" xfId="4812" xr:uid="{00000000-0005-0000-0000-000071190000}"/>
    <cellStyle name="Normal 5 3 12 2" xfId="13262" xr:uid="{41DAE258-A2E8-4148-942B-2D3E11FBC522}"/>
    <cellStyle name="Normal 5 3 13" xfId="9044" xr:uid="{A5979599-76F2-4DC6-9C27-334DFB431BC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9E5BA23B-1609-4654-B50B-80CC09B48A25}"/>
    <cellStyle name="Normal 5 3 3 11" xfId="9045" xr:uid="{04F5AEA5-1856-4345-9E01-A204F9E8BA85}"/>
    <cellStyle name="Normal 5 3 3 2" xfId="442" xr:uid="{00000000-0005-0000-0000-000076190000}"/>
    <cellStyle name="Normal 5 3 3 2 10" xfId="9046" xr:uid="{95BBF3D2-C1B2-4B9B-B394-0357785F731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F3C31AD9-9F57-42BC-9ED8-E219B7C0DF91}"/>
    <cellStyle name="Normal 5 3 3 2 2 2 2 2 3" xfId="11606" xr:uid="{D5BAEDFA-F188-42CA-A365-16C9E5D38C43}"/>
    <cellStyle name="Normal 5 3 3 2 2 2 2 3" xfId="5229" xr:uid="{00000000-0005-0000-0000-00007C190000}"/>
    <cellStyle name="Normal 5 3 3 2 2 2 2 3 2" xfId="13679" xr:uid="{0DEDD38C-EB65-4C2C-A163-AF7DDA0D63DA}"/>
    <cellStyle name="Normal 5 3 3 2 2 2 2 4" xfId="9461" xr:uid="{F61B50F5-278F-404C-A3E9-B39A6B947F4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F7445594-0135-48DD-907F-9A7C57277ED0}"/>
    <cellStyle name="Normal 5 3 3 2 2 2 3 2 3" xfId="12019" xr:uid="{270AE768-87EE-4B7C-8104-7F61FB8B97C7}"/>
    <cellStyle name="Normal 5 3 3 2 2 2 3 3" xfId="5642" xr:uid="{00000000-0005-0000-0000-000080190000}"/>
    <cellStyle name="Normal 5 3 3 2 2 2 3 3 2" xfId="14092" xr:uid="{1CF5771E-8DD0-487B-8214-3016E2B8B4E2}"/>
    <cellStyle name="Normal 5 3 3 2 2 2 3 4" xfId="9874" xr:uid="{9F5E7EDD-5FF2-444B-A5CB-567D0A1E3601}"/>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C5549FD4-C600-49C0-89A7-5B38037DFAA7}"/>
    <cellStyle name="Normal 5 3 3 2 2 2 4 2 3" xfId="12432" xr:uid="{38F5F2F4-7C23-45E7-AFB8-F789BF297ECC}"/>
    <cellStyle name="Normal 5 3 3 2 2 2 4 3" xfId="6055" xr:uid="{00000000-0005-0000-0000-000084190000}"/>
    <cellStyle name="Normal 5 3 3 2 2 2 4 3 2" xfId="14505" xr:uid="{CC83D252-FABC-4EAE-8D4F-33D0C2A46D39}"/>
    <cellStyle name="Normal 5 3 3 2 2 2 4 4" xfId="10287" xr:uid="{B8759886-7FF7-4B3A-B22D-352A5F2B878A}"/>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0C4BA5C2-3EAB-4135-BB16-992276C4366B}"/>
    <cellStyle name="Normal 5 3 3 2 2 2 5 2 3" xfId="12845" xr:uid="{5398A97C-0365-426E-871C-1BD3019EC7ED}"/>
    <cellStyle name="Normal 5 3 3 2 2 2 5 3" xfId="6468" xr:uid="{00000000-0005-0000-0000-000088190000}"/>
    <cellStyle name="Normal 5 3 3 2 2 2 5 3 2" xfId="14918" xr:uid="{6D5E46A9-FCAA-4F3D-BD5D-502981EA022A}"/>
    <cellStyle name="Normal 5 3 3 2 2 2 5 4" xfId="10700" xr:uid="{88AE8492-26FC-438E-AC61-AE0032F67DE1}"/>
    <cellStyle name="Normal 5 3 3 2 2 2 6" xfId="2598" xr:uid="{00000000-0005-0000-0000-000089190000}"/>
    <cellStyle name="Normal 5 3 3 2 2 2 6 2" xfId="6881" xr:uid="{00000000-0005-0000-0000-00008A190000}"/>
    <cellStyle name="Normal 5 3 3 2 2 2 6 2 2" xfId="15331" xr:uid="{EC517A7A-A11C-4C53-AC07-65F45F6875F7}"/>
    <cellStyle name="Normal 5 3 3 2 2 2 6 3" xfId="11113" xr:uid="{5638D81C-35D7-4FE1-95AA-222E47EF9CB4}"/>
    <cellStyle name="Normal 5 3 3 2 2 2 7" xfId="4816" xr:uid="{00000000-0005-0000-0000-00008B190000}"/>
    <cellStyle name="Normal 5 3 3 2 2 2 7 2" xfId="13266" xr:uid="{9FB14EC2-69DA-489C-9D08-75C1A1B8F7D1}"/>
    <cellStyle name="Normal 5 3 3 2 2 2 8" xfId="9048" xr:uid="{6155111A-8E1D-4180-8FB4-DA7CA08B96AD}"/>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085302DE-A163-4E7C-9A80-A238B5A8B09A}"/>
    <cellStyle name="Normal 5 3 3 2 2 3 2 3" xfId="11605" xr:uid="{710DB252-9B82-4F44-B4CE-C3214E42213E}"/>
    <cellStyle name="Normal 5 3 3 2 2 3 3" xfId="5228" xr:uid="{00000000-0005-0000-0000-00008F190000}"/>
    <cellStyle name="Normal 5 3 3 2 2 3 3 2" xfId="13678" xr:uid="{C6363FF3-4617-45CA-BDE9-9A83FFF8CC6B}"/>
    <cellStyle name="Normal 5 3 3 2 2 3 4" xfId="9460" xr:uid="{3D103FA4-0C9C-4654-BA9C-7C5EB52EBE79}"/>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52B0BD4D-1A3D-4A8C-B21D-17FD7F95DFDC}"/>
    <cellStyle name="Normal 5 3 3 2 2 4 2 3" xfId="12018" xr:uid="{FF12F83E-DF4D-4E73-84FC-826282F11B58}"/>
    <cellStyle name="Normal 5 3 3 2 2 4 3" xfId="5641" xr:uid="{00000000-0005-0000-0000-000093190000}"/>
    <cellStyle name="Normal 5 3 3 2 2 4 3 2" xfId="14091" xr:uid="{EBE5F8A5-5A80-484B-BE8E-5A6C4886C603}"/>
    <cellStyle name="Normal 5 3 3 2 2 4 4" xfId="9873" xr:uid="{EF789B8A-A951-44F7-ACEA-80099EC1C62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2317FBC3-E109-471C-AF3F-1208AEC700C4}"/>
    <cellStyle name="Normal 5 3 3 2 2 5 2 3" xfId="12431" xr:uid="{D40E209F-D51D-412F-A542-1D83D6468BC7}"/>
    <cellStyle name="Normal 5 3 3 2 2 5 3" xfId="6054" xr:uid="{00000000-0005-0000-0000-000097190000}"/>
    <cellStyle name="Normal 5 3 3 2 2 5 3 2" xfId="14504" xr:uid="{EC497456-869C-4499-9AB2-1C8DC4455EEE}"/>
    <cellStyle name="Normal 5 3 3 2 2 5 4" xfId="10286" xr:uid="{8D3B1D98-89CF-4B8B-85DA-710DABF926CA}"/>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960E9C74-9CCC-450F-A51D-339A8ED334BD}"/>
    <cellStyle name="Normal 5 3 3 2 2 6 2 3" xfId="12844" xr:uid="{7DB1A831-7FDF-40F1-B338-4941E3FE2231}"/>
    <cellStyle name="Normal 5 3 3 2 2 6 3" xfId="6467" xr:uid="{00000000-0005-0000-0000-00009B190000}"/>
    <cellStyle name="Normal 5 3 3 2 2 6 3 2" xfId="14917" xr:uid="{D03A21A1-E05D-460F-8584-BB418B8C604B}"/>
    <cellStyle name="Normal 5 3 3 2 2 6 4" xfId="10699" xr:uid="{7AA518E4-81DE-4941-9E8D-865EB397407E}"/>
    <cellStyle name="Normal 5 3 3 2 2 7" xfId="2597" xr:uid="{00000000-0005-0000-0000-00009C190000}"/>
    <cellStyle name="Normal 5 3 3 2 2 7 2" xfId="6880" xr:uid="{00000000-0005-0000-0000-00009D190000}"/>
    <cellStyle name="Normal 5 3 3 2 2 7 2 2" xfId="15330" xr:uid="{FA1DD752-961F-4620-B00C-832143A717B1}"/>
    <cellStyle name="Normal 5 3 3 2 2 7 3" xfId="11112" xr:uid="{78D58A58-4AC4-4265-8074-C222749FFC62}"/>
    <cellStyle name="Normal 5 3 3 2 2 8" xfId="4815" xr:uid="{00000000-0005-0000-0000-00009E190000}"/>
    <cellStyle name="Normal 5 3 3 2 2 8 2" xfId="13265" xr:uid="{1CA6FE0E-A453-4C61-9C59-DA66A51090FF}"/>
    <cellStyle name="Normal 5 3 3 2 2 9" xfId="9047" xr:uid="{ADEAE097-3F61-4CC7-9BFD-4BD071E3EFDC}"/>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22995030-495C-42A9-B02A-C0B79FB97E30}"/>
    <cellStyle name="Normal 5 3 3 2 3 2 2 3" xfId="11607" xr:uid="{A5128B17-36A0-4EA4-A19D-E10DA9DC5D9D}"/>
    <cellStyle name="Normal 5 3 3 2 3 2 3" xfId="5230" xr:uid="{00000000-0005-0000-0000-0000A3190000}"/>
    <cellStyle name="Normal 5 3 3 2 3 2 3 2" xfId="13680" xr:uid="{9A9E89CF-4665-43CF-9C70-EE6791FA0932}"/>
    <cellStyle name="Normal 5 3 3 2 3 2 4" xfId="9462" xr:uid="{1639C975-903B-45AF-A924-B09C4789A30B}"/>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E866CE51-8EA6-4FB4-BFFB-0669E4D2A44A}"/>
    <cellStyle name="Normal 5 3 3 2 3 3 2 3" xfId="12020" xr:uid="{0397568A-5BE8-4C1E-9CEC-1122A90DE404}"/>
    <cellStyle name="Normal 5 3 3 2 3 3 3" xfId="5643" xr:uid="{00000000-0005-0000-0000-0000A7190000}"/>
    <cellStyle name="Normal 5 3 3 2 3 3 3 2" xfId="14093" xr:uid="{B2EC5A0D-4F4C-4566-9F42-EE99EFB93757}"/>
    <cellStyle name="Normal 5 3 3 2 3 3 4" xfId="9875" xr:uid="{7B4050DA-5852-4240-AA9B-7138965B0EB5}"/>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ECEC55C1-CC93-414B-B2D7-B6C898844646}"/>
    <cellStyle name="Normal 5 3 3 2 3 4 2 3" xfId="12433" xr:uid="{E9DD26D4-4877-4566-A15E-CE35C0FB9DAF}"/>
    <cellStyle name="Normal 5 3 3 2 3 4 3" xfId="6056" xr:uid="{00000000-0005-0000-0000-0000AB190000}"/>
    <cellStyle name="Normal 5 3 3 2 3 4 3 2" xfId="14506" xr:uid="{812986C1-0CA0-4AD6-920D-08492F514553}"/>
    <cellStyle name="Normal 5 3 3 2 3 4 4" xfId="10288" xr:uid="{630E5B3D-CE70-4D94-9355-88A9390274A9}"/>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39FA6AE8-0697-4CB1-BC05-E015BE1385C6}"/>
    <cellStyle name="Normal 5 3 3 2 3 5 2 3" xfId="12846" xr:uid="{D1DB9C56-BA21-440B-86BC-A4CFA32DFBB9}"/>
    <cellStyle name="Normal 5 3 3 2 3 5 3" xfId="6469" xr:uid="{00000000-0005-0000-0000-0000AF190000}"/>
    <cellStyle name="Normal 5 3 3 2 3 5 3 2" xfId="14919" xr:uid="{FF3AAD4F-3F0A-4883-A741-7B418AFFFE9B}"/>
    <cellStyle name="Normal 5 3 3 2 3 5 4" xfId="10701" xr:uid="{8D628B8B-F8F0-4E86-861C-C361E7857EE8}"/>
    <cellStyle name="Normal 5 3 3 2 3 6" xfId="2599" xr:uid="{00000000-0005-0000-0000-0000B0190000}"/>
    <cellStyle name="Normal 5 3 3 2 3 6 2" xfId="6882" xr:uid="{00000000-0005-0000-0000-0000B1190000}"/>
    <cellStyle name="Normal 5 3 3 2 3 6 2 2" xfId="15332" xr:uid="{FC187809-8C71-4EEB-93AA-D67A933F7651}"/>
    <cellStyle name="Normal 5 3 3 2 3 6 3" xfId="11114" xr:uid="{AAB815B7-F511-4A1A-BC26-9FE6350185FB}"/>
    <cellStyle name="Normal 5 3 3 2 3 7" xfId="4817" xr:uid="{00000000-0005-0000-0000-0000B2190000}"/>
    <cellStyle name="Normal 5 3 3 2 3 7 2" xfId="13267" xr:uid="{F5141F81-51D1-46AF-A965-E92A5B9CFEFC}"/>
    <cellStyle name="Normal 5 3 3 2 3 8" xfId="9049" xr:uid="{83E33D4B-901A-4C55-8C0B-6999D5BBBE6C}"/>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A6AB4CB5-5027-4084-8003-AEA181E0B1A1}"/>
    <cellStyle name="Normal 5 3 3 2 4 2 3" xfId="11604" xr:uid="{EC7338F0-BCE2-4F8C-B60D-390EAB49E35D}"/>
    <cellStyle name="Normal 5 3 3 2 4 3" xfId="5227" xr:uid="{00000000-0005-0000-0000-0000B6190000}"/>
    <cellStyle name="Normal 5 3 3 2 4 3 2" xfId="13677" xr:uid="{DB1D5581-CF6C-4C06-A61E-AA27720B4E46}"/>
    <cellStyle name="Normal 5 3 3 2 4 4" xfId="9459" xr:uid="{8555626D-040E-4317-B871-48B7CBA12D20}"/>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91726063-D8F1-4B62-B851-1FA179BDEB98}"/>
    <cellStyle name="Normal 5 3 3 2 5 2 3" xfId="12017" xr:uid="{623947B5-2596-4194-8CB4-C99213B6CDEF}"/>
    <cellStyle name="Normal 5 3 3 2 5 3" xfId="5640" xr:uid="{00000000-0005-0000-0000-0000BA190000}"/>
    <cellStyle name="Normal 5 3 3 2 5 3 2" xfId="14090" xr:uid="{59EE07AD-0D2D-4145-8218-5450ED44112B}"/>
    <cellStyle name="Normal 5 3 3 2 5 4" xfId="9872" xr:uid="{11F47D6B-84C3-49D9-84C9-D16071294228}"/>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E977B0DA-7552-4B57-9A39-12E05E520C8F}"/>
    <cellStyle name="Normal 5 3 3 2 6 2 3" xfId="12430" xr:uid="{C1BEDF53-8B0D-4BA6-9B9F-7A7411A5FDC3}"/>
    <cellStyle name="Normal 5 3 3 2 6 3" xfId="6053" xr:uid="{00000000-0005-0000-0000-0000BE190000}"/>
    <cellStyle name="Normal 5 3 3 2 6 3 2" xfId="14503" xr:uid="{7F717B5B-144E-4FD4-A78C-859B7F09B16F}"/>
    <cellStyle name="Normal 5 3 3 2 6 4" xfId="10285" xr:uid="{73C04B1B-7248-4592-8450-C7026EA8EA6C}"/>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FC16C862-4EA7-4B54-871F-2254236146DB}"/>
    <cellStyle name="Normal 5 3 3 2 7 2 3" xfId="12843" xr:uid="{B9EE61B8-9F4C-42D1-827E-E8208E492A83}"/>
    <cellStyle name="Normal 5 3 3 2 7 3" xfId="6466" xr:uid="{00000000-0005-0000-0000-0000C2190000}"/>
    <cellStyle name="Normal 5 3 3 2 7 3 2" xfId="14916" xr:uid="{DE0A8972-65DE-4E32-A5BD-74010A842DAF}"/>
    <cellStyle name="Normal 5 3 3 2 7 4" xfId="10698" xr:uid="{104775DD-2DDC-467E-9F26-987B24E3CE94}"/>
    <cellStyle name="Normal 5 3 3 2 8" xfId="2596" xr:uid="{00000000-0005-0000-0000-0000C3190000}"/>
    <cellStyle name="Normal 5 3 3 2 8 2" xfId="6879" xr:uid="{00000000-0005-0000-0000-0000C4190000}"/>
    <cellStyle name="Normal 5 3 3 2 8 2 2" xfId="15329" xr:uid="{476D164F-C8F1-413D-9D1E-816816A3CF60}"/>
    <cellStyle name="Normal 5 3 3 2 8 3" xfId="11111" xr:uid="{DCDD38FF-799C-41B7-8E10-1F5750E109D0}"/>
    <cellStyle name="Normal 5 3 3 2 9" xfId="4814" xr:uid="{00000000-0005-0000-0000-0000C5190000}"/>
    <cellStyle name="Normal 5 3 3 2 9 2" xfId="13264" xr:uid="{FD776669-5F61-4C99-BA63-F68D8AC0BBDB}"/>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ECED895F-54E1-459D-8EAE-8539AE7973C9}"/>
    <cellStyle name="Normal 5 3 3 3 2 2 2 3" xfId="11609" xr:uid="{07F3B909-2459-4C01-9855-48506883624C}"/>
    <cellStyle name="Normal 5 3 3 3 2 2 3" xfId="5232" xr:uid="{00000000-0005-0000-0000-0000CB190000}"/>
    <cellStyle name="Normal 5 3 3 3 2 2 3 2" xfId="13682" xr:uid="{3987D001-3911-4983-8B0D-063B6912EB36}"/>
    <cellStyle name="Normal 5 3 3 3 2 2 4" xfId="9464" xr:uid="{7C160F10-A840-4E26-9EED-5DEE38256C4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29A835E9-004B-47B6-9BB6-202A57F286DC}"/>
    <cellStyle name="Normal 5 3 3 3 2 3 2 3" xfId="12022" xr:uid="{6A6C0CD9-2A52-4355-9466-5C2C9D14FD7D}"/>
    <cellStyle name="Normal 5 3 3 3 2 3 3" xfId="5645" xr:uid="{00000000-0005-0000-0000-0000CF190000}"/>
    <cellStyle name="Normal 5 3 3 3 2 3 3 2" xfId="14095" xr:uid="{A21C9437-6C72-45B7-8C34-A83EA7D8B235}"/>
    <cellStyle name="Normal 5 3 3 3 2 3 4" xfId="9877" xr:uid="{08C8FAC3-909D-486B-97AA-DDF59481084F}"/>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99CCAAF0-7BD3-4C10-9FF7-1C76DB42CB8D}"/>
    <cellStyle name="Normal 5 3 3 3 2 4 2 3" xfId="12435" xr:uid="{3C16B4F4-74FE-4422-A63D-D192243266CC}"/>
    <cellStyle name="Normal 5 3 3 3 2 4 3" xfId="6058" xr:uid="{00000000-0005-0000-0000-0000D3190000}"/>
    <cellStyle name="Normal 5 3 3 3 2 4 3 2" xfId="14508" xr:uid="{A7B228E7-3152-4635-A0A5-2E64C2EDE491}"/>
    <cellStyle name="Normal 5 3 3 3 2 4 4" xfId="10290" xr:uid="{C975B327-B20B-4F8F-8F6D-2B1C5DA864CB}"/>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D0E16EDA-C642-4583-904C-EEC08ED9C967}"/>
    <cellStyle name="Normal 5 3 3 3 2 5 2 3" xfId="12848" xr:uid="{4CE8715D-E105-451D-8049-CA102B866B87}"/>
    <cellStyle name="Normal 5 3 3 3 2 5 3" xfId="6471" xr:uid="{00000000-0005-0000-0000-0000D7190000}"/>
    <cellStyle name="Normal 5 3 3 3 2 5 3 2" xfId="14921" xr:uid="{259F9B77-06B5-4518-952B-F36F5681A4B3}"/>
    <cellStyle name="Normal 5 3 3 3 2 5 4" xfId="10703" xr:uid="{B66EB098-1C5C-4499-ACBE-CC42C7A10190}"/>
    <cellStyle name="Normal 5 3 3 3 2 6" xfId="2601" xr:uid="{00000000-0005-0000-0000-0000D8190000}"/>
    <cellStyle name="Normal 5 3 3 3 2 6 2" xfId="6884" xr:uid="{00000000-0005-0000-0000-0000D9190000}"/>
    <cellStyle name="Normal 5 3 3 3 2 6 2 2" xfId="15334" xr:uid="{DEFBDF1C-5713-43CE-813D-4771AA40B448}"/>
    <cellStyle name="Normal 5 3 3 3 2 6 3" xfId="11116" xr:uid="{EC210257-81CA-4F0C-9B5B-3CB7F2F90198}"/>
    <cellStyle name="Normal 5 3 3 3 2 7" xfId="4819" xr:uid="{00000000-0005-0000-0000-0000DA190000}"/>
    <cellStyle name="Normal 5 3 3 3 2 7 2" xfId="13269" xr:uid="{D8831EDD-C234-4894-BC94-9C1D2A3E2378}"/>
    <cellStyle name="Normal 5 3 3 3 2 8" xfId="9051" xr:uid="{077073DB-1FFB-4690-8B74-91ECADB76497}"/>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EFBC7E65-0FEE-4DD4-B18D-D64144E84DDC}"/>
    <cellStyle name="Normal 5 3 3 3 3 2 3" xfId="11608" xr:uid="{57B99FBB-DC68-4ED5-91C0-5030D19F3EA0}"/>
    <cellStyle name="Normal 5 3 3 3 3 3" xfId="5231" xr:uid="{00000000-0005-0000-0000-0000DE190000}"/>
    <cellStyle name="Normal 5 3 3 3 3 3 2" xfId="13681" xr:uid="{A1E01072-5A5D-444C-A3AF-ECF391ADAB28}"/>
    <cellStyle name="Normal 5 3 3 3 3 4" xfId="9463" xr:uid="{D2DC1EE7-C683-4A4F-B0D5-84B4ADB6A781}"/>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6F6A2191-9E20-4E26-831F-77430F58F089}"/>
    <cellStyle name="Normal 5 3 3 3 4 2 3" xfId="12021" xr:uid="{F178B3F7-A5E4-4A34-9B5C-FA5D8C519C1B}"/>
    <cellStyle name="Normal 5 3 3 3 4 3" xfId="5644" xr:uid="{00000000-0005-0000-0000-0000E2190000}"/>
    <cellStyle name="Normal 5 3 3 3 4 3 2" xfId="14094" xr:uid="{FC248180-D832-4BF9-8410-F7F714B4FD53}"/>
    <cellStyle name="Normal 5 3 3 3 4 4" xfId="9876" xr:uid="{D53610CC-B524-4335-B889-6D8703EDE1A3}"/>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D1897C3A-1CAD-4053-B041-99752AF21D8E}"/>
    <cellStyle name="Normal 5 3 3 3 5 2 3" xfId="12434" xr:uid="{674E5B95-3295-49D0-AA58-E1BDB91AB309}"/>
    <cellStyle name="Normal 5 3 3 3 5 3" xfId="6057" xr:uid="{00000000-0005-0000-0000-0000E6190000}"/>
    <cellStyle name="Normal 5 3 3 3 5 3 2" xfId="14507" xr:uid="{8B838CB4-05E5-4DC6-BA4B-139076AACD27}"/>
    <cellStyle name="Normal 5 3 3 3 5 4" xfId="10289" xr:uid="{52D29135-8F8B-48B3-962C-3EDDCB17665C}"/>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DDF0CF60-BE89-4BF0-A7DB-8382CD61BECE}"/>
    <cellStyle name="Normal 5 3 3 3 6 2 3" xfId="12847" xr:uid="{4B98F5E6-E86C-4893-9DAD-EE7457AB89B2}"/>
    <cellStyle name="Normal 5 3 3 3 6 3" xfId="6470" xr:uid="{00000000-0005-0000-0000-0000EA190000}"/>
    <cellStyle name="Normal 5 3 3 3 6 3 2" xfId="14920" xr:uid="{F893A10E-9C03-4467-9F1C-3FDF57F4888E}"/>
    <cellStyle name="Normal 5 3 3 3 6 4" xfId="10702" xr:uid="{00EB6CCF-A889-4C83-BD24-8ACE440DE4C9}"/>
    <cellStyle name="Normal 5 3 3 3 7" xfId="2600" xr:uid="{00000000-0005-0000-0000-0000EB190000}"/>
    <cellStyle name="Normal 5 3 3 3 7 2" xfId="6883" xr:uid="{00000000-0005-0000-0000-0000EC190000}"/>
    <cellStyle name="Normal 5 3 3 3 7 2 2" xfId="15333" xr:uid="{E82FA9B2-C880-4919-99AF-553EDFE5778E}"/>
    <cellStyle name="Normal 5 3 3 3 7 3" xfId="11115" xr:uid="{61F63FF6-5D8F-43F6-A8B8-09EC6442D9EB}"/>
    <cellStyle name="Normal 5 3 3 3 8" xfId="4818" xr:uid="{00000000-0005-0000-0000-0000ED190000}"/>
    <cellStyle name="Normal 5 3 3 3 8 2" xfId="13268" xr:uid="{41159B7F-C094-4585-B63D-86B81E2F7923}"/>
    <cellStyle name="Normal 5 3 3 3 9" xfId="9050" xr:uid="{759C0E73-FF32-4D91-B457-DAA4870BDE42}"/>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861666B4-66F8-45A3-9B12-FE425922172B}"/>
    <cellStyle name="Normal 5 3 3 4 2 2 3" xfId="11610" xr:uid="{31E27A86-06AF-4A96-B567-F5864F900565}"/>
    <cellStyle name="Normal 5 3 3 4 2 3" xfId="5233" xr:uid="{00000000-0005-0000-0000-0000F2190000}"/>
    <cellStyle name="Normal 5 3 3 4 2 3 2" xfId="13683" xr:uid="{FCC2EECE-9373-4C84-A844-79944F331A90}"/>
    <cellStyle name="Normal 5 3 3 4 2 4" xfId="9465" xr:uid="{AAFAF1E3-E78F-4150-932D-CEC9DB806A25}"/>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E77F4CCD-E588-46FF-AA92-B2D3705FC768}"/>
    <cellStyle name="Normal 5 3 3 4 3 2 3" xfId="12023" xr:uid="{1ACFEBB2-2D9D-4C44-A6E0-229FF6AD4580}"/>
    <cellStyle name="Normal 5 3 3 4 3 3" xfId="5646" xr:uid="{00000000-0005-0000-0000-0000F6190000}"/>
    <cellStyle name="Normal 5 3 3 4 3 3 2" xfId="14096" xr:uid="{D3BD8568-9276-4E46-A29E-F411776A0DF6}"/>
    <cellStyle name="Normal 5 3 3 4 3 4" xfId="9878" xr:uid="{668852B6-86B0-4ED0-B9D0-2495AAE49AA6}"/>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DA12650A-1623-4D3F-A888-7D742B199AB2}"/>
    <cellStyle name="Normal 5 3 3 4 4 2 3" xfId="12436" xr:uid="{4C2BFD81-AFA4-4607-A204-FAC2FC3D225F}"/>
    <cellStyle name="Normal 5 3 3 4 4 3" xfId="6059" xr:uid="{00000000-0005-0000-0000-0000FA190000}"/>
    <cellStyle name="Normal 5 3 3 4 4 3 2" xfId="14509" xr:uid="{AC341BBD-D4E6-410A-99D8-015CFA112AC6}"/>
    <cellStyle name="Normal 5 3 3 4 4 4" xfId="10291" xr:uid="{A3C47D00-9F4A-4AF5-B0DA-69F22C36368C}"/>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91867077-8FA4-41E2-860E-B13C0D0526EB}"/>
    <cellStyle name="Normal 5 3 3 4 5 2 3" xfId="12849" xr:uid="{00DE7470-08A9-4F31-A03C-350DEE68DF4C}"/>
    <cellStyle name="Normal 5 3 3 4 5 3" xfId="6472" xr:uid="{00000000-0005-0000-0000-0000FE190000}"/>
    <cellStyle name="Normal 5 3 3 4 5 3 2" xfId="14922" xr:uid="{82D6AEC7-0DF0-4BBC-A196-0234A06C2D22}"/>
    <cellStyle name="Normal 5 3 3 4 5 4" xfId="10704" xr:uid="{F38388F6-99C8-4F33-8D09-E5B65A6F5E93}"/>
    <cellStyle name="Normal 5 3 3 4 6" xfId="2602" xr:uid="{00000000-0005-0000-0000-0000FF190000}"/>
    <cellStyle name="Normal 5 3 3 4 6 2" xfId="6885" xr:uid="{00000000-0005-0000-0000-0000001A0000}"/>
    <cellStyle name="Normal 5 3 3 4 6 2 2" xfId="15335" xr:uid="{B9F98A64-CB99-421E-B118-9DEAB0F7DD9A}"/>
    <cellStyle name="Normal 5 3 3 4 6 3" xfId="11117" xr:uid="{DD55EEC0-F9F4-43A9-B0DC-1311AD8F2480}"/>
    <cellStyle name="Normal 5 3 3 4 7" xfId="4820" xr:uid="{00000000-0005-0000-0000-0000011A0000}"/>
    <cellStyle name="Normal 5 3 3 4 7 2" xfId="13270" xr:uid="{ED607532-3FD5-47F1-B6C2-D2B24DBE942E}"/>
    <cellStyle name="Normal 5 3 3 4 8" xfId="9052" xr:uid="{8D74F001-44E0-4510-AD39-1D2F66B5C3DA}"/>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2F025B7F-B44E-468B-AACE-5419A8D9A400}"/>
    <cellStyle name="Normal 5 3 3 5 2 3" xfId="11603" xr:uid="{0EC59F88-AF2D-41F0-AD29-F1675A2BD7C3}"/>
    <cellStyle name="Normal 5 3 3 5 3" xfId="5226" xr:uid="{00000000-0005-0000-0000-0000051A0000}"/>
    <cellStyle name="Normal 5 3 3 5 3 2" xfId="13676" xr:uid="{DC40C632-7F86-45F7-8594-A3769594949E}"/>
    <cellStyle name="Normal 5 3 3 5 4" xfId="9458" xr:uid="{A7D5AFA0-683B-4E57-A3ED-3A641E2C5B39}"/>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14E36B50-FE54-4998-9E9E-07E38368AF86}"/>
    <cellStyle name="Normal 5 3 3 6 2 3" xfId="12016" xr:uid="{D540AA73-BB0D-40A2-B97B-5973BA0CCDF5}"/>
    <cellStyle name="Normal 5 3 3 6 3" xfId="5639" xr:uid="{00000000-0005-0000-0000-0000091A0000}"/>
    <cellStyle name="Normal 5 3 3 6 3 2" xfId="14089" xr:uid="{AC63EC1E-CE2C-4668-A95B-610077118F74}"/>
    <cellStyle name="Normal 5 3 3 6 4" xfId="9871" xr:uid="{61AF2041-E03D-48F0-B06E-18E9452A4934}"/>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C288E764-7458-4B10-82D9-AF684C39C6B8}"/>
    <cellStyle name="Normal 5 3 3 7 2 3" xfId="12429" xr:uid="{BCA92856-664E-4A36-91C6-95C54735F2F8}"/>
    <cellStyle name="Normal 5 3 3 7 3" xfId="6052" xr:uid="{00000000-0005-0000-0000-00000D1A0000}"/>
    <cellStyle name="Normal 5 3 3 7 3 2" xfId="14502" xr:uid="{85164956-AA99-4F5A-ABD1-98EC0E9CC8BC}"/>
    <cellStyle name="Normal 5 3 3 7 4" xfId="10284" xr:uid="{26910D11-B36D-4196-8C21-48CDB4A96D17}"/>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E2A0D746-E654-449D-BCD4-14F80D077787}"/>
    <cellStyle name="Normal 5 3 3 8 2 3" xfId="12842" xr:uid="{AFBC39DA-94B0-4C9D-852E-F4A4F122AE7D}"/>
    <cellStyle name="Normal 5 3 3 8 3" xfId="6465" xr:uid="{00000000-0005-0000-0000-0000111A0000}"/>
    <cellStyle name="Normal 5 3 3 8 3 2" xfId="14915" xr:uid="{7B25921C-FEAA-4CB4-AF06-99A4C064BB08}"/>
    <cellStyle name="Normal 5 3 3 8 4" xfId="10697" xr:uid="{54831C3F-F8CC-4C28-AB8B-8AA0C70FF13E}"/>
    <cellStyle name="Normal 5 3 3 9" xfId="2595" xr:uid="{00000000-0005-0000-0000-0000121A0000}"/>
    <cellStyle name="Normal 5 3 3 9 2" xfId="6878" xr:uid="{00000000-0005-0000-0000-0000131A0000}"/>
    <cellStyle name="Normal 5 3 3 9 2 2" xfId="15328" xr:uid="{86401FC8-0518-4006-A5F6-1A914C7A1F31}"/>
    <cellStyle name="Normal 5 3 3 9 3" xfId="11110" xr:uid="{31836EDC-3891-4567-8A77-474B52731804}"/>
    <cellStyle name="Normal 5 3 4" xfId="449" xr:uid="{00000000-0005-0000-0000-0000141A0000}"/>
    <cellStyle name="Normal 5 3 4 10" xfId="9053" xr:uid="{57836A56-9BE0-44BA-8333-70DBA2235C59}"/>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81612EFF-EABC-48B1-B580-BBCF8CE5E8ED}"/>
    <cellStyle name="Normal 5 3 4 2 2 2 2 3" xfId="11613" xr:uid="{1A4A9693-F6EE-4BAD-9D5F-11818CC56EF8}"/>
    <cellStyle name="Normal 5 3 4 2 2 2 3" xfId="5236" xr:uid="{00000000-0005-0000-0000-00001A1A0000}"/>
    <cellStyle name="Normal 5 3 4 2 2 2 3 2" xfId="13686" xr:uid="{9A7A593A-B8B5-4B9B-ADBC-401264B836E8}"/>
    <cellStyle name="Normal 5 3 4 2 2 2 4" xfId="9468" xr:uid="{843235E6-D835-4F1F-9071-19A9A25129E5}"/>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E90B0D28-FFD3-446B-B4D1-CF3455777ADE}"/>
    <cellStyle name="Normal 5 3 4 2 2 3 2 3" xfId="12026" xr:uid="{63421929-787D-4A5A-AF2D-3CF05DF31BC8}"/>
    <cellStyle name="Normal 5 3 4 2 2 3 3" xfId="5649" xr:uid="{00000000-0005-0000-0000-00001E1A0000}"/>
    <cellStyle name="Normal 5 3 4 2 2 3 3 2" xfId="14099" xr:uid="{BB2EAE0D-9C93-48E7-B82F-9E65D7589E1D}"/>
    <cellStyle name="Normal 5 3 4 2 2 3 4" xfId="9881" xr:uid="{95AB78C3-E1E6-47D2-B17D-CEF4E98706E5}"/>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6AC19DEB-BA79-4230-85F0-D9EF400C5DE6}"/>
    <cellStyle name="Normal 5 3 4 2 2 4 2 3" xfId="12439" xr:uid="{DBBBDFA9-4300-427F-AED5-A45F4BDA3B53}"/>
    <cellStyle name="Normal 5 3 4 2 2 4 3" xfId="6062" xr:uid="{00000000-0005-0000-0000-0000221A0000}"/>
    <cellStyle name="Normal 5 3 4 2 2 4 3 2" xfId="14512" xr:uid="{CF5E9BCE-08E5-4A5A-B48D-C7731F1532F0}"/>
    <cellStyle name="Normal 5 3 4 2 2 4 4" xfId="10294" xr:uid="{0DE587E7-73DC-49B6-9BE5-779FD93A7B1E}"/>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C59B2FED-0DCB-4057-9B77-2D7313E81F1B}"/>
    <cellStyle name="Normal 5 3 4 2 2 5 2 3" xfId="12852" xr:uid="{3C07ED29-7400-4DFC-A112-8681922280BE}"/>
    <cellStyle name="Normal 5 3 4 2 2 5 3" xfId="6475" xr:uid="{00000000-0005-0000-0000-0000261A0000}"/>
    <cellStyle name="Normal 5 3 4 2 2 5 3 2" xfId="14925" xr:uid="{8E98A4EE-821F-480C-AD55-5AD737CB46ED}"/>
    <cellStyle name="Normal 5 3 4 2 2 5 4" xfId="10707" xr:uid="{26223730-3364-4BD7-99D7-A073E7987DCB}"/>
    <cellStyle name="Normal 5 3 4 2 2 6" xfId="2605" xr:uid="{00000000-0005-0000-0000-0000271A0000}"/>
    <cellStyle name="Normal 5 3 4 2 2 6 2" xfId="6888" xr:uid="{00000000-0005-0000-0000-0000281A0000}"/>
    <cellStyle name="Normal 5 3 4 2 2 6 2 2" xfId="15338" xr:uid="{AEE845D3-C9ED-45F6-8E4E-6C06CA8368E0}"/>
    <cellStyle name="Normal 5 3 4 2 2 6 3" xfId="11120" xr:uid="{7F75476A-21E2-4F68-A47C-29737C1DDCFC}"/>
    <cellStyle name="Normal 5 3 4 2 2 7" xfId="4823" xr:uid="{00000000-0005-0000-0000-0000291A0000}"/>
    <cellStyle name="Normal 5 3 4 2 2 7 2" xfId="13273" xr:uid="{80766F59-98A9-4362-9A4E-55FFD961EE8C}"/>
    <cellStyle name="Normal 5 3 4 2 2 8" xfId="9055" xr:uid="{89A40845-A3EB-4419-8DF8-697CF8620A39}"/>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9AAAF8AE-23D2-4081-BB1D-19A28564879D}"/>
    <cellStyle name="Normal 5 3 4 2 3 2 3" xfId="11612" xr:uid="{AF5CFC9D-AEC7-49FC-A473-6C406CEE63B4}"/>
    <cellStyle name="Normal 5 3 4 2 3 3" xfId="5235" xr:uid="{00000000-0005-0000-0000-00002D1A0000}"/>
    <cellStyle name="Normal 5 3 4 2 3 3 2" xfId="13685" xr:uid="{A3376A35-1C5F-4CD0-8E59-4CB5F1567F2F}"/>
    <cellStyle name="Normal 5 3 4 2 3 4" xfId="9467" xr:uid="{6D8BA4AD-5451-43A6-81E2-67D504827742}"/>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4C6DB9D2-FF25-4F72-92C9-B224E7B43761}"/>
    <cellStyle name="Normal 5 3 4 2 4 2 3" xfId="12025" xr:uid="{3804EB0E-372B-405A-B01C-39843E74F6B2}"/>
    <cellStyle name="Normal 5 3 4 2 4 3" xfId="5648" xr:uid="{00000000-0005-0000-0000-0000311A0000}"/>
    <cellStyle name="Normal 5 3 4 2 4 3 2" xfId="14098" xr:uid="{12ED980E-2A58-4A53-9382-D12D880DE9A9}"/>
    <cellStyle name="Normal 5 3 4 2 4 4" xfId="9880" xr:uid="{C726481A-0A02-477E-B816-2D2B62271546}"/>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4A20A026-AD6A-45EC-8155-3658FAFC9F5C}"/>
    <cellStyle name="Normal 5 3 4 2 5 2 3" xfId="12438" xr:uid="{A31F2CEF-1E67-4AFF-8112-F0FAB297C77A}"/>
    <cellStyle name="Normal 5 3 4 2 5 3" xfId="6061" xr:uid="{00000000-0005-0000-0000-0000351A0000}"/>
    <cellStyle name="Normal 5 3 4 2 5 3 2" xfId="14511" xr:uid="{B5B1219B-2E3D-4336-815F-EF7EAFE74DA7}"/>
    <cellStyle name="Normal 5 3 4 2 5 4" xfId="10293" xr:uid="{80318F1B-0851-49EF-AAE8-31587A0FF3F3}"/>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6F2E1222-0567-4310-9E28-219D10E95008}"/>
    <cellStyle name="Normal 5 3 4 2 6 2 3" xfId="12851" xr:uid="{2CEC08C6-5432-4213-AD44-CF871833CAD7}"/>
    <cellStyle name="Normal 5 3 4 2 6 3" xfId="6474" xr:uid="{00000000-0005-0000-0000-0000391A0000}"/>
    <cellStyle name="Normal 5 3 4 2 6 3 2" xfId="14924" xr:uid="{68805EAD-2687-4F49-BAEF-CA71A08C35F2}"/>
    <cellStyle name="Normal 5 3 4 2 6 4" xfId="10706" xr:uid="{085ED4EE-3625-4ED4-8AAC-E86C3495D32C}"/>
    <cellStyle name="Normal 5 3 4 2 7" xfId="2604" xr:uid="{00000000-0005-0000-0000-00003A1A0000}"/>
    <cellStyle name="Normal 5 3 4 2 7 2" xfId="6887" xr:uid="{00000000-0005-0000-0000-00003B1A0000}"/>
    <cellStyle name="Normal 5 3 4 2 7 2 2" xfId="15337" xr:uid="{C9AFF55D-587B-4624-8FC2-FE3E97B2852C}"/>
    <cellStyle name="Normal 5 3 4 2 7 3" xfId="11119" xr:uid="{C6549940-417F-4DC6-8665-B31A31DB7439}"/>
    <cellStyle name="Normal 5 3 4 2 8" xfId="4822" xr:uid="{00000000-0005-0000-0000-00003C1A0000}"/>
    <cellStyle name="Normal 5 3 4 2 8 2" xfId="13272" xr:uid="{E8EF10A3-17E8-4328-9021-9FD9F84AFA2D}"/>
    <cellStyle name="Normal 5 3 4 2 9" xfId="9054" xr:uid="{CCE1D28E-10BA-4E48-AC27-2088AAC7B40F}"/>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C43F8EC6-B6B0-424D-881B-ACA2DF510DA4}"/>
    <cellStyle name="Normal 5 3 4 3 2 2 3" xfId="11614" xr:uid="{8B22F12B-E0EB-4B0F-BADB-7D284D622337}"/>
    <cellStyle name="Normal 5 3 4 3 2 3" xfId="5237" xr:uid="{00000000-0005-0000-0000-0000411A0000}"/>
    <cellStyle name="Normal 5 3 4 3 2 3 2" xfId="13687" xr:uid="{8740AFB8-F68D-4A84-B4E5-061148C1B3E1}"/>
    <cellStyle name="Normal 5 3 4 3 2 4" xfId="9469" xr:uid="{DB269695-F2B3-4614-9669-1C27B60DD800}"/>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A7F4AEE1-BC41-440F-869B-2B45BFA30BEA}"/>
    <cellStyle name="Normal 5 3 4 3 3 2 3" xfId="12027" xr:uid="{40DE02C7-9A22-433C-B73F-625F564C90A6}"/>
    <cellStyle name="Normal 5 3 4 3 3 3" xfId="5650" xr:uid="{00000000-0005-0000-0000-0000451A0000}"/>
    <cellStyle name="Normal 5 3 4 3 3 3 2" xfId="14100" xr:uid="{7E6EF44C-B55C-4E3C-8295-962C4834799F}"/>
    <cellStyle name="Normal 5 3 4 3 3 4" xfId="9882" xr:uid="{6D34A044-3D81-442F-A450-D1FA3706125E}"/>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DBFDE9CD-DD1B-4D6E-A059-3C8EB3214FE2}"/>
    <cellStyle name="Normal 5 3 4 3 4 2 3" xfId="12440" xr:uid="{6212E150-4904-4144-BE74-A3B19C931FC0}"/>
    <cellStyle name="Normal 5 3 4 3 4 3" xfId="6063" xr:uid="{00000000-0005-0000-0000-0000491A0000}"/>
    <cellStyle name="Normal 5 3 4 3 4 3 2" xfId="14513" xr:uid="{E12FB502-455D-4CEF-B43A-F4609F511501}"/>
    <cellStyle name="Normal 5 3 4 3 4 4" xfId="10295" xr:uid="{C57D02E0-72F8-4431-8A1F-D39DDF20E3F1}"/>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B0556C4B-4BC9-4AD5-B1BD-C2BB2418338B}"/>
    <cellStyle name="Normal 5 3 4 3 5 2 3" xfId="12853" xr:uid="{1FD75E9F-CE09-4A94-8EA9-BFCEEC3789F2}"/>
    <cellStyle name="Normal 5 3 4 3 5 3" xfId="6476" xr:uid="{00000000-0005-0000-0000-00004D1A0000}"/>
    <cellStyle name="Normal 5 3 4 3 5 3 2" xfId="14926" xr:uid="{9A05E51A-51EB-48EA-8F5D-D91DD3A2C785}"/>
    <cellStyle name="Normal 5 3 4 3 5 4" xfId="10708" xr:uid="{527712DE-3920-4554-9500-DBD902423624}"/>
    <cellStyle name="Normal 5 3 4 3 6" xfId="2606" xr:uid="{00000000-0005-0000-0000-00004E1A0000}"/>
    <cellStyle name="Normal 5 3 4 3 6 2" xfId="6889" xr:uid="{00000000-0005-0000-0000-00004F1A0000}"/>
    <cellStyle name="Normal 5 3 4 3 6 2 2" xfId="15339" xr:uid="{47DDEFD3-7312-48ED-87A2-CCEC7E24AE25}"/>
    <cellStyle name="Normal 5 3 4 3 6 3" xfId="11121" xr:uid="{48E51978-A369-458F-90F7-39D29586B479}"/>
    <cellStyle name="Normal 5 3 4 3 7" xfId="4824" xr:uid="{00000000-0005-0000-0000-0000501A0000}"/>
    <cellStyle name="Normal 5 3 4 3 7 2" xfId="13274" xr:uid="{2FB6CB93-20B8-4468-B2E5-7BEB1C63F739}"/>
    <cellStyle name="Normal 5 3 4 3 8" xfId="9056" xr:uid="{5EC18D12-B9A1-44E9-84A0-334F9DAC2427}"/>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06AABE8A-9249-4C9C-9B5E-0E6C072F75AA}"/>
    <cellStyle name="Normal 5 3 4 4 2 3" xfId="11611" xr:uid="{234EE64A-35F2-444B-9E44-CD8AFCCBC9E6}"/>
    <cellStyle name="Normal 5 3 4 4 3" xfId="5234" xr:uid="{00000000-0005-0000-0000-0000541A0000}"/>
    <cellStyle name="Normal 5 3 4 4 3 2" xfId="13684" xr:uid="{6208E582-6DA6-48D2-8C32-67690F1F29B6}"/>
    <cellStyle name="Normal 5 3 4 4 4" xfId="9466" xr:uid="{48C9877E-5807-458F-8A64-EF3CC69EB6C8}"/>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2C5425E2-E3C6-4E86-8730-CD67A294ACD4}"/>
    <cellStyle name="Normal 5 3 4 5 2 3" xfId="12024" xr:uid="{DDA15AE3-494C-45A8-8EA2-2E6E5036017D}"/>
    <cellStyle name="Normal 5 3 4 5 3" xfId="5647" xr:uid="{00000000-0005-0000-0000-0000581A0000}"/>
    <cellStyle name="Normal 5 3 4 5 3 2" xfId="14097" xr:uid="{C0F1FAF7-9A3B-4ADA-99B7-A43276092CE3}"/>
    <cellStyle name="Normal 5 3 4 5 4" xfId="9879" xr:uid="{48DD6A03-0171-4ABF-9CCD-067E09EAA530}"/>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A72B8056-8458-4609-88A7-AB47170B5090}"/>
    <cellStyle name="Normal 5 3 4 6 2 3" xfId="12437" xr:uid="{25C0478A-7DD1-4581-9536-5E3C5874F717}"/>
    <cellStyle name="Normal 5 3 4 6 3" xfId="6060" xr:uid="{00000000-0005-0000-0000-00005C1A0000}"/>
    <cellStyle name="Normal 5 3 4 6 3 2" xfId="14510" xr:uid="{49DF0DB5-9691-4067-BBCD-386B424F9F3F}"/>
    <cellStyle name="Normal 5 3 4 6 4" xfId="10292" xr:uid="{4FC94456-FCEE-407C-91DD-FDE30C061088}"/>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F4BA8946-38D1-4C28-B58B-2B9D03A52D97}"/>
    <cellStyle name="Normal 5 3 4 7 2 3" xfId="12850" xr:uid="{4B3C9829-DB09-42E9-8EC3-B20607DFBBEC}"/>
    <cellStyle name="Normal 5 3 4 7 3" xfId="6473" xr:uid="{00000000-0005-0000-0000-0000601A0000}"/>
    <cellStyle name="Normal 5 3 4 7 3 2" xfId="14923" xr:uid="{D2F7CD65-CF2F-4A7F-BEAA-FB6C945DE1CC}"/>
    <cellStyle name="Normal 5 3 4 7 4" xfId="10705" xr:uid="{9154273F-413B-4CEA-9B2B-0ED3F4ECF4CE}"/>
    <cellStyle name="Normal 5 3 4 8" xfId="2603" xr:uid="{00000000-0005-0000-0000-0000611A0000}"/>
    <cellStyle name="Normal 5 3 4 8 2" xfId="6886" xr:uid="{00000000-0005-0000-0000-0000621A0000}"/>
    <cellStyle name="Normal 5 3 4 8 2 2" xfId="15336" xr:uid="{88A124F3-B11A-472D-8959-A482D4675217}"/>
    <cellStyle name="Normal 5 3 4 8 3" xfId="11118" xr:uid="{447EAF95-BA14-4823-B897-A33DF12D682D}"/>
    <cellStyle name="Normal 5 3 4 9" xfId="4821" xr:uid="{00000000-0005-0000-0000-0000631A0000}"/>
    <cellStyle name="Normal 5 3 4 9 2" xfId="13271" xr:uid="{AA5CD156-BB41-4990-84A3-923BC6BCC7F2}"/>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FCEDB878-2B80-499A-A5CC-98905B198909}"/>
    <cellStyle name="Normal 5 3 5 2 2 2 3" xfId="11616" xr:uid="{F0282D82-1071-42C3-9DDA-A6B9AF89EED9}"/>
    <cellStyle name="Normal 5 3 5 2 2 3" xfId="5239" xr:uid="{00000000-0005-0000-0000-0000691A0000}"/>
    <cellStyle name="Normal 5 3 5 2 2 3 2" xfId="13689" xr:uid="{61D5CDD7-A558-45C4-94D6-8A65AE837DDF}"/>
    <cellStyle name="Normal 5 3 5 2 2 4" xfId="9471" xr:uid="{3CFD62AA-106F-49A9-8BF7-163C09D1B0F7}"/>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9A634546-43CD-4824-8F8B-E8799A09EA02}"/>
    <cellStyle name="Normal 5 3 5 2 3 2 3" xfId="12029" xr:uid="{18CFF1CE-D04F-42C4-BFF5-131064DFC534}"/>
    <cellStyle name="Normal 5 3 5 2 3 3" xfId="5652" xr:uid="{00000000-0005-0000-0000-00006D1A0000}"/>
    <cellStyle name="Normal 5 3 5 2 3 3 2" xfId="14102" xr:uid="{FA4A054E-5FE4-443D-9CCE-E873B6CE495E}"/>
    <cellStyle name="Normal 5 3 5 2 3 4" xfId="9884" xr:uid="{B6D426E1-D7E3-40E6-8B1D-CDA64364F8ED}"/>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7911ED73-DE7C-4B00-9BAD-0D0B0122E796}"/>
    <cellStyle name="Normal 5 3 5 2 4 2 3" xfId="12442" xr:uid="{8CA4C447-ECED-4204-B016-7219CFDA3338}"/>
    <cellStyle name="Normal 5 3 5 2 4 3" xfId="6065" xr:uid="{00000000-0005-0000-0000-0000711A0000}"/>
    <cellStyle name="Normal 5 3 5 2 4 3 2" xfId="14515" xr:uid="{4643B37C-D9A0-4FF3-B5E1-C010F08C5B6B}"/>
    <cellStyle name="Normal 5 3 5 2 4 4" xfId="10297" xr:uid="{2DB1F657-846A-4362-B6FB-BB27D7F73528}"/>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3AAF2360-BB68-4602-806C-F8E02CBA3607}"/>
    <cellStyle name="Normal 5 3 5 2 5 2 3" xfId="12855" xr:uid="{E4852246-4CE0-41CA-9ED8-1EA9C4F0E4D9}"/>
    <cellStyle name="Normal 5 3 5 2 5 3" xfId="6478" xr:uid="{00000000-0005-0000-0000-0000751A0000}"/>
    <cellStyle name="Normal 5 3 5 2 5 3 2" xfId="14928" xr:uid="{969AC9B7-D7A4-4153-84DA-AF4E3182E147}"/>
    <cellStyle name="Normal 5 3 5 2 5 4" xfId="10710" xr:uid="{DC502D97-354C-4F15-B411-1DC20EE362FF}"/>
    <cellStyle name="Normal 5 3 5 2 6" xfId="2608" xr:uid="{00000000-0005-0000-0000-0000761A0000}"/>
    <cellStyle name="Normal 5 3 5 2 6 2" xfId="6891" xr:uid="{00000000-0005-0000-0000-0000771A0000}"/>
    <cellStyle name="Normal 5 3 5 2 6 2 2" xfId="15341" xr:uid="{62CAD64F-E772-4E32-9247-5C2138EA4A80}"/>
    <cellStyle name="Normal 5 3 5 2 6 3" xfId="11123" xr:uid="{35E87B8D-715A-4DCA-8362-2FDF265B099E}"/>
    <cellStyle name="Normal 5 3 5 2 7" xfId="4826" xr:uid="{00000000-0005-0000-0000-0000781A0000}"/>
    <cellStyle name="Normal 5 3 5 2 7 2" xfId="13276" xr:uid="{256238F6-AA51-48AF-9FBA-3A0974249BBB}"/>
    <cellStyle name="Normal 5 3 5 2 8" xfId="9058" xr:uid="{6C95A0A4-12B1-4CF6-8C04-1633D4F2D09D}"/>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2F5C8E13-9AE1-44A6-8F3E-68E55B75CBB4}"/>
    <cellStyle name="Normal 5 3 5 3 2 3" xfId="11615" xr:uid="{79750778-BA97-49BF-B6F3-C96F120D73D1}"/>
    <cellStyle name="Normal 5 3 5 3 3" xfId="5238" xr:uid="{00000000-0005-0000-0000-00007C1A0000}"/>
    <cellStyle name="Normal 5 3 5 3 3 2" xfId="13688" xr:uid="{299E9ABE-6172-4524-AFA4-DB44A53105E0}"/>
    <cellStyle name="Normal 5 3 5 3 4" xfId="9470" xr:uid="{F82CF047-3ED4-42A8-A4A0-A9BB057B0422}"/>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374BBBF6-C5A3-4BC2-8100-701093C1651C}"/>
    <cellStyle name="Normal 5 3 5 4 2 3" xfId="12028" xr:uid="{4D808C87-2AA2-4D85-A306-DD0EF6EE40E2}"/>
    <cellStyle name="Normal 5 3 5 4 3" xfId="5651" xr:uid="{00000000-0005-0000-0000-0000801A0000}"/>
    <cellStyle name="Normal 5 3 5 4 3 2" xfId="14101" xr:uid="{0DDB1A86-166E-4BA0-A4A8-F39E7C5DB829}"/>
    <cellStyle name="Normal 5 3 5 4 4" xfId="9883" xr:uid="{FF0A4746-A995-4C00-9B8D-FDD9D62D009B}"/>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A8EF397F-95C0-4FC6-8AC4-16D324D57406}"/>
    <cellStyle name="Normal 5 3 5 5 2 3" xfId="12441" xr:uid="{4B0260BC-2053-4195-BFDE-3F887382EAD9}"/>
    <cellStyle name="Normal 5 3 5 5 3" xfId="6064" xr:uid="{00000000-0005-0000-0000-0000841A0000}"/>
    <cellStyle name="Normal 5 3 5 5 3 2" xfId="14514" xr:uid="{758AFA20-4487-409C-9542-6CE429AB4629}"/>
    <cellStyle name="Normal 5 3 5 5 4" xfId="10296" xr:uid="{3A208F11-7961-4BF4-B4CC-336D09C80A6C}"/>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E2D8C03E-1BF9-4B36-9E4E-7F9D8CFF2102}"/>
    <cellStyle name="Normal 5 3 5 6 2 3" xfId="12854" xr:uid="{4C4132FE-6D5F-445D-B678-776D3A5D4CB5}"/>
    <cellStyle name="Normal 5 3 5 6 3" xfId="6477" xr:uid="{00000000-0005-0000-0000-0000881A0000}"/>
    <cellStyle name="Normal 5 3 5 6 3 2" xfId="14927" xr:uid="{8A7163C2-C0CE-4E14-8D2E-FB60F81BDC34}"/>
    <cellStyle name="Normal 5 3 5 6 4" xfId="10709" xr:uid="{8D64BE90-218F-454C-8263-92559BA72ABA}"/>
    <cellStyle name="Normal 5 3 5 7" xfId="2607" xr:uid="{00000000-0005-0000-0000-0000891A0000}"/>
    <cellStyle name="Normal 5 3 5 7 2" xfId="6890" xr:uid="{00000000-0005-0000-0000-00008A1A0000}"/>
    <cellStyle name="Normal 5 3 5 7 2 2" xfId="15340" xr:uid="{C570ECA4-BA60-4969-9027-67B30F1831AA}"/>
    <cellStyle name="Normal 5 3 5 7 3" xfId="11122" xr:uid="{D2A0A4D2-11D0-412E-A68A-B3B410026DD0}"/>
    <cellStyle name="Normal 5 3 5 8" xfId="4825" xr:uid="{00000000-0005-0000-0000-00008B1A0000}"/>
    <cellStyle name="Normal 5 3 5 8 2" xfId="13275" xr:uid="{540E7085-DF4F-4D3B-8C10-1C2544C58F8E}"/>
    <cellStyle name="Normal 5 3 5 9" xfId="9057" xr:uid="{B13987AE-9B77-4E11-82C9-2484668F8013}"/>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CDDC471C-B026-4260-8E60-62B3B1315026}"/>
    <cellStyle name="Normal 5 3 6 2 2 3" xfId="11617" xr:uid="{B30391FE-074C-4248-8143-3207BDEBDCD1}"/>
    <cellStyle name="Normal 5 3 6 2 3" xfId="5240" xr:uid="{00000000-0005-0000-0000-0000901A0000}"/>
    <cellStyle name="Normal 5 3 6 2 3 2" xfId="13690" xr:uid="{E8743392-CEE9-4062-8CCA-A2D31CF6D36B}"/>
    <cellStyle name="Normal 5 3 6 2 4" xfId="9472" xr:uid="{820BE864-AECE-4FF4-9434-6282C05C83BE}"/>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2DC4238B-BDF5-4DE1-9184-BE9A6058A44B}"/>
    <cellStyle name="Normal 5 3 6 3 2 3" xfId="12030" xr:uid="{6E6C022C-B780-4ED5-B707-411D22D52816}"/>
    <cellStyle name="Normal 5 3 6 3 3" xfId="5653" xr:uid="{00000000-0005-0000-0000-0000941A0000}"/>
    <cellStyle name="Normal 5 3 6 3 3 2" xfId="14103" xr:uid="{6D666B2C-C480-4613-B102-298E30352627}"/>
    <cellStyle name="Normal 5 3 6 3 4" xfId="9885" xr:uid="{B2983DDB-D651-4E96-B950-1EF98BF37C64}"/>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07FE85BC-45E4-4FCE-ADAC-B874F3E16703}"/>
    <cellStyle name="Normal 5 3 6 4 2 3" xfId="12443" xr:uid="{B81CB3FD-5B2C-4DFB-960F-997F04537C9E}"/>
    <cellStyle name="Normal 5 3 6 4 3" xfId="6066" xr:uid="{00000000-0005-0000-0000-0000981A0000}"/>
    <cellStyle name="Normal 5 3 6 4 3 2" xfId="14516" xr:uid="{99E1D14B-3815-4F4A-BDE4-6E6252B18515}"/>
    <cellStyle name="Normal 5 3 6 4 4" xfId="10298" xr:uid="{9E437CFB-4C7B-41E8-9678-784B6E7DAC92}"/>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89C89834-54BC-42BC-81E3-522DE2531217}"/>
    <cellStyle name="Normal 5 3 6 5 2 3" xfId="12856" xr:uid="{A70EB550-D0D8-40CF-BB51-AAFE2D86ECE6}"/>
    <cellStyle name="Normal 5 3 6 5 3" xfId="6479" xr:uid="{00000000-0005-0000-0000-00009C1A0000}"/>
    <cellStyle name="Normal 5 3 6 5 3 2" xfId="14929" xr:uid="{67FBF3BC-ABAE-48F2-B73A-C642CEC47712}"/>
    <cellStyle name="Normal 5 3 6 5 4" xfId="10711" xr:uid="{3F7AF175-0364-44B5-B2D3-AF73D688CDBB}"/>
    <cellStyle name="Normal 5 3 6 6" xfId="2609" xr:uid="{00000000-0005-0000-0000-00009D1A0000}"/>
    <cellStyle name="Normal 5 3 6 6 2" xfId="6892" xr:uid="{00000000-0005-0000-0000-00009E1A0000}"/>
    <cellStyle name="Normal 5 3 6 6 2 2" xfId="15342" xr:uid="{8E7EA4A3-7ABF-435E-89E4-FC5098590414}"/>
    <cellStyle name="Normal 5 3 6 6 3" xfId="11124" xr:uid="{F70CD7BD-5D6A-4C17-8DF1-A00B0665DDAA}"/>
    <cellStyle name="Normal 5 3 6 7" xfId="4827" xr:uid="{00000000-0005-0000-0000-00009F1A0000}"/>
    <cellStyle name="Normal 5 3 6 7 2" xfId="13277" xr:uid="{4CC410A1-84C7-456F-962A-0FBB1B58C9E3}"/>
    <cellStyle name="Normal 5 3 6 8" xfId="9059" xr:uid="{8C4DDE1E-47D6-4735-ABD2-DF2FA5E9C3BE}"/>
    <cellStyle name="Normal 5 3 7" xfId="913" xr:uid="{00000000-0005-0000-0000-0000A01A0000}"/>
    <cellStyle name="Normal 5 3 7 2" xfId="3148" xr:uid="{00000000-0005-0000-0000-0000A11A0000}"/>
    <cellStyle name="Normal 5 3 7 2 2" xfId="7370" xr:uid="{00000000-0005-0000-0000-0000A21A0000}"/>
    <cellStyle name="Normal 5 3 7 2 2 2" xfId="15820" xr:uid="{BE1D1696-A20B-428D-8D84-DA5472A54280}"/>
    <cellStyle name="Normal 5 3 7 2 3" xfId="11602" xr:uid="{A8EA9090-5A83-42F8-BD76-4514F22E9E50}"/>
    <cellStyle name="Normal 5 3 7 3" xfId="5225" xr:uid="{00000000-0005-0000-0000-0000A31A0000}"/>
    <cellStyle name="Normal 5 3 7 3 2" xfId="13675" xr:uid="{35F0DCC4-E89A-4676-89EC-45A32F07F1A8}"/>
    <cellStyle name="Normal 5 3 7 4" xfId="9457" xr:uid="{127FDA7D-15CC-44DF-A5C6-AE056EB8C750}"/>
    <cellStyle name="Normal 5 3 8" xfId="1331" xr:uid="{00000000-0005-0000-0000-0000A41A0000}"/>
    <cellStyle name="Normal 5 3 8 2" xfId="3561" xr:uid="{00000000-0005-0000-0000-0000A51A0000}"/>
    <cellStyle name="Normal 5 3 8 2 2" xfId="7783" xr:uid="{00000000-0005-0000-0000-0000A61A0000}"/>
    <cellStyle name="Normal 5 3 8 2 2 2" xfId="16233" xr:uid="{3FB1638E-B3DA-4B62-8D93-A70C426F2D67}"/>
    <cellStyle name="Normal 5 3 8 2 3" xfId="12015" xr:uid="{472AA10D-039E-4623-A15D-1C047B5D5E12}"/>
    <cellStyle name="Normal 5 3 8 3" xfId="5638" xr:uid="{00000000-0005-0000-0000-0000A71A0000}"/>
    <cellStyle name="Normal 5 3 8 3 2" xfId="14088" xr:uid="{0FD4F564-FCB1-49F6-8CFE-5DBADCAAA930}"/>
    <cellStyle name="Normal 5 3 8 4" xfId="9870" xr:uid="{B612F49C-E428-4A63-A4F0-201055FC978B}"/>
    <cellStyle name="Normal 5 3 9" xfId="1744" xr:uid="{00000000-0005-0000-0000-0000A81A0000}"/>
    <cellStyle name="Normal 5 3 9 2" xfId="3974" xr:uid="{00000000-0005-0000-0000-0000A91A0000}"/>
    <cellStyle name="Normal 5 3 9 2 2" xfId="8196" xr:uid="{00000000-0005-0000-0000-0000AA1A0000}"/>
    <cellStyle name="Normal 5 3 9 2 2 2" xfId="16646" xr:uid="{91AADBA2-9320-4AD5-AF7C-923128C94F7D}"/>
    <cellStyle name="Normal 5 3 9 2 3" xfId="12428" xr:uid="{D3D17F21-FAEC-43EF-8B0D-BF6D2FE9B87F}"/>
    <cellStyle name="Normal 5 3 9 3" xfId="6051" xr:uid="{00000000-0005-0000-0000-0000AB1A0000}"/>
    <cellStyle name="Normal 5 3 9 3 2" xfId="14501" xr:uid="{AF1C480C-C9B7-4F6E-BFB8-3BF399D07488}"/>
    <cellStyle name="Normal 5 3 9 4" xfId="10283" xr:uid="{841953C2-4266-417F-971A-60707EB4F2FA}"/>
    <cellStyle name="Normal 5 4" xfId="456" xr:uid="{00000000-0005-0000-0000-0000AC1A0000}"/>
    <cellStyle name="Normal 5 4 10" xfId="4828" xr:uid="{00000000-0005-0000-0000-0000AD1A0000}"/>
    <cellStyle name="Normal 5 4 10 2" xfId="13278" xr:uid="{64BA7564-3A16-4D70-8E90-4DEB38B3C06C}"/>
    <cellStyle name="Normal 5 4 11" xfId="9060" xr:uid="{A362A640-003D-4D25-BBD5-0FBB3E9B815E}"/>
    <cellStyle name="Normal 5 4 2" xfId="457" xr:uid="{00000000-0005-0000-0000-0000AE1A0000}"/>
    <cellStyle name="Normal 5 4 2 10" xfId="9061" xr:uid="{B7BFAF52-0FEA-47A9-8E4D-7ED5007FE109}"/>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43DE727F-628C-4C0C-90C2-A0F94FF599C1}"/>
    <cellStyle name="Normal 5 4 2 2 2 2 2 3" xfId="11621" xr:uid="{92DEFC9D-E2CA-4A51-9480-81760FA1A969}"/>
    <cellStyle name="Normal 5 4 2 2 2 2 3" xfId="5244" xr:uid="{00000000-0005-0000-0000-0000B41A0000}"/>
    <cellStyle name="Normal 5 4 2 2 2 2 3 2" xfId="13694" xr:uid="{8022A226-4247-4047-81AC-33F751FA1E94}"/>
    <cellStyle name="Normal 5 4 2 2 2 2 4" xfId="9476" xr:uid="{22DC0855-2902-4D09-95E2-F2A5416F0524}"/>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191AAE16-8873-4C1D-883E-CAE9E53C89B5}"/>
    <cellStyle name="Normal 5 4 2 2 2 3 2 3" xfId="12034" xr:uid="{BDA27F1E-88AB-4CA4-B14B-95B7F1460B29}"/>
    <cellStyle name="Normal 5 4 2 2 2 3 3" xfId="5657" xr:uid="{00000000-0005-0000-0000-0000B81A0000}"/>
    <cellStyle name="Normal 5 4 2 2 2 3 3 2" xfId="14107" xr:uid="{744B5C8C-93CA-4854-9E57-C6C2542B2FA3}"/>
    <cellStyle name="Normal 5 4 2 2 2 3 4" xfId="9889" xr:uid="{9A25EFDA-7843-427A-ACE0-9B44945AD455}"/>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BF8ADF78-1126-428A-8E98-D252C50743C9}"/>
    <cellStyle name="Normal 5 4 2 2 2 4 2 3" xfId="12447" xr:uid="{C5752AE6-13CD-4BB3-97C1-C5E830D37ED0}"/>
    <cellStyle name="Normal 5 4 2 2 2 4 3" xfId="6070" xr:uid="{00000000-0005-0000-0000-0000BC1A0000}"/>
    <cellStyle name="Normal 5 4 2 2 2 4 3 2" xfId="14520" xr:uid="{D9AD4B1C-B0B5-4CEB-9718-F3102D5255DD}"/>
    <cellStyle name="Normal 5 4 2 2 2 4 4" xfId="10302" xr:uid="{ED8C6788-FEEF-4318-AD2E-DE3FD11BFE56}"/>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5F21CC77-316A-4B4C-83B5-E7D11C83DE11}"/>
    <cellStyle name="Normal 5 4 2 2 2 5 2 3" xfId="12860" xr:uid="{D4BDB825-7FD0-4C9B-97DF-19DBAAB65025}"/>
    <cellStyle name="Normal 5 4 2 2 2 5 3" xfId="6483" xr:uid="{00000000-0005-0000-0000-0000C01A0000}"/>
    <cellStyle name="Normal 5 4 2 2 2 5 3 2" xfId="14933" xr:uid="{4877D541-1AEB-4BAC-831F-C483A79F6D8B}"/>
    <cellStyle name="Normal 5 4 2 2 2 5 4" xfId="10715" xr:uid="{812A36AC-452C-41AA-B7D4-7CFFCCD3BE42}"/>
    <cellStyle name="Normal 5 4 2 2 2 6" xfId="2613" xr:uid="{00000000-0005-0000-0000-0000C11A0000}"/>
    <cellStyle name="Normal 5 4 2 2 2 6 2" xfId="6896" xr:uid="{00000000-0005-0000-0000-0000C21A0000}"/>
    <cellStyle name="Normal 5 4 2 2 2 6 2 2" xfId="15346" xr:uid="{FABE530F-317C-42A8-BBDA-7F430B5D238B}"/>
    <cellStyle name="Normal 5 4 2 2 2 6 3" xfId="11128" xr:uid="{26A96F9C-723F-4108-90EB-07FAA25121C3}"/>
    <cellStyle name="Normal 5 4 2 2 2 7" xfId="4831" xr:uid="{00000000-0005-0000-0000-0000C31A0000}"/>
    <cellStyle name="Normal 5 4 2 2 2 7 2" xfId="13281" xr:uid="{BA7584B0-E53E-472A-87A3-535D2CEC272B}"/>
    <cellStyle name="Normal 5 4 2 2 2 8" xfId="9063" xr:uid="{2120F01C-B090-4035-9525-981D8442BDCF}"/>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FB38FE90-36E4-46F7-A6F7-039FBCD01224}"/>
    <cellStyle name="Normal 5 4 2 2 3 2 3" xfId="11620" xr:uid="{040D1EB2-409B-4DAC-873E-6DDFE11B6572}"/>
    <cellStyle name="Normal 5 4 2 2 3 3" xfId="5243" xr:uid="{00000000-0005-0000-0000-0000C71A0000}"/>
    <cellStyle name="Normal 5 4 2 2 3 3 2" xfId="13693" xr:uid="{8C57E49E-18C8-41DF-B0AE-EE9FA1ACD266}"/>
    <cellStyle name="Normal 5 4 2 2 3 4" xfId="9475" xr:uid="{EEFFA16D-BB44-4337-A9AB-F7A521090981}"/>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25194D52-19A7-4964-BE69-DA00947ADE4F}"/>
    <cellStyle name="Normal 5 4 2 2 4 2 3" xfId="12033" xr:uid="{6850EC39-4375-413B-91F7-3DC07416EF19}"/>
    <cellStyle name="Normal 5 4 2 2 4 3" xfId="5656" xr:uid="{00000000-0005-0000-0000-0000CB1A0000}"/>
    <cellStyle name="Normal 5 4 2 2 4 3 2" xfId="14106" xr:uid="{7938F6C2-3260-4F76-8878-9D8CE610A556}"/>
    <cellStyle name="Normal 5 4 2 2 4 4" xfId="9888" xr:uid="{5D1D6705-6693-41FE-A22C-3D953A66189E}"/>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F3B479B8-03B1-4BE3-ABEE-AB58282F9B42}"/>
    <cellStyle name="Normal 5 4 2 2 5 2 3" xfId="12446" xr:uid="{1179A281-3F0E-44C6-93E8-C0701D3B6EC0}"/>
    <cellStyle name="Normal 5 4 2 2 5 3" xfId="6069" xr:uid="{00000000-0005-0000-0000-0000CF1A0000}"/>
    <cellStyle name="Normal 5 4 2 2 5 3 2" xfId="14519" xr:uid="{BAF8FE6C-11CD-4F55-B7F3-5F4357899633}"/>
    <cellStyle name="Normal 5 4 2 2 5 4" xfId="10301" xr:uid="{BC204B33-4B20-4836-AD5F-439EDCEF5130}"/>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8CA98830-8B96-49BA-873D-9F2F2AE5D468}"/>
    <cellStyle name="Normal 5 4 2 2 6 2 3" xfId="12859" xr:uid="{8CC5DBD8-1A10-4B67-9E2D-18A53565BFA2}"/>
    <cellStyle name="Normal 5 4 2 2 6 3" xfId="6482" xr:uid="{00000000-0005-0000-0000-0000D31A0000}"/>
    <cellStyle name="Normal 5 4 2 2 6 3 2" xfId="14932" xr:uid="{E69C78B2-D836-4D53-8954-DB24DB75A72A}"/>
    <cellStyle name="Normal 5 4 2 2 6 4" xfId="10714" xr:uid="{61D0546D-5CE3-416F-BD80-5CFF2C45DA40}"/>
    <cellStyle name="Normal 5 4 2 2 7" xfId="2612" xr:uid="{00000000-0005-0000-0000-0000D41A0000}"/>
    <cellStyle name="Normal 5 4 2 2 7 2" xfId="6895" xr:uid="{00000000-0005-0000-0000-0000D51A0000}"/>
    <cellStyle name="Normal 5 4 2 2 7 2 2" xfId="15345" xr:uid="{886DCF90-4E7A-46C2-9187-6B199CB971F3}"/>
    <cellStyle name="Normal 5 4 2 2 7 3" xfId="11127" xr:uid="{67CDFAA3-D2E2-4295-B2D7-A57C9BC67746}"/>
    <cellStyle name="Normal 5 4 2 2 8" xfId="4830" xr:uid="{00000000-0005-0000-0000-0000D61A0000}"/>
    <cellStyle name="Normal 5 4 2 2 8 2" xfId="13280" xr:uid="{3E1C249F-A2B1-40D3-80CA-56F22195B70D}"/>
    <cellStyle name="Normal 5 4 2 2 9" xfId="9062" xr:uid="{DB8C02E8-5D1E-482E-AFC9-E9C2DB2B05B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6E6F0D2D-B98A-4498-BB20-E41B6325BDA1}"/>
    <cellStyle name="Normal 5 4 2 3 2 2 3" xfId="11622" xr:uid="{63C98B0F-68BF-4E6F-AF8C-D615D37F1330}"/>
    <cellStyle name="Normal 5 4 2 3 2 3" xfId="5245" xr:uid="{00000000-0005-0000-0000-0000DB1A0000}"/>
    <cellStyle name="Normal 5 4 2 3 2 3 2" xfId="13695" xr:uid="{0D4758D3-1554-495D-A1FE-6201EC79AAB5}"/>
    <cellStyle name="Normal 5 4 2 3 2 4" xfId="9477" xr:uid="{578DC299-9D59-4E82-88D2-89DFD43F6DA6}"/>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5EE852CD-96BE-4156-91BC-FB4A1BABF7C2}"/>
    <cellStyle name="Normal 5 4 2 3 3 2 3" xfId="12035" xr:uid="{3C7406CE-0C61-44AB-AD70-389DFCDAE0F6}"/>
    <cellStyle name="Normal 5 4 2 3 3 3" xfId="5658" xr:uid="{00000000-0005-0000-0000-0000DF1A0000}"/>
    <cellStyle name="Normal 5 4 2 3 3 3 2" xfId="14108" xr:uid="{77B0FA56-3E58-4DF4-91F4-D555054A4AD0}"/>
    <cellStyle name="Normal 5 4 2 3 3 4" xfId="9890" xr:uid="{F4A6F90F-CBF2-41F7-8FB6-FCFFA0016086}"/>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7CE4AA75-91E0-431B-A389-D9260758EF83}"/>
    <cellStyle name="Normal 5 4 2 3 4 2 3" xfId="12448" xr:uid="{1A27300C-4B6E-4290-BF6B-89BF571A1915}"/>
    <cellStyle name="Normal 5 4 2 3 4 3" xfId="6071" xr:uid="{00000000-0005-0000-0000-0000E31A0000}"/>
    <cellStyle name="Normal 5 4 2 3 4 3 2" xfId="14521" xr:uid="{231397EB-6E93-4E42-9FFA-E764CDE8F9D0}"/>
    <cellStyle name="Normal 5 4 2 3 4 4" xfId="10303" xr:uid="{28A5C556-133B-4EDD-9E3F-7CF82038BB5E}"/>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31FF978D-C792-4822-9A9B-91CC09E61006}"/>
    <cellStyle name="Normal 5 4 2 3 5 2 3" xfId="12861" xr:uid="{F67EB521-B59F-428B-AA1A-4C0E14278C5C}"/>
    <cellStyle name="Normal 5 4 2 3 5 3" xfId="6484" xr:uid="{00000000-0005-0000-0000-0000E71A0000}"/>
    <cellStyle name="Normal 5 4 2 3 5 3 2" xfId="14934" xr:uid="{FB7978A7-285D-4F2E-B0DC-443B5266F0F6}"/>
    <cellStyle name="Normal 5 4 2 3 5 4" xfId="10716" xr:uid="{527A7188-8A11-4323-A390-376313841C1A}"/>
    <cellStyle name="Normal 5 4 2 3 6" xfId="2614" xr:uid="{00000000-0005-0000-0000-0000E81A0000}"/>
    <cellStyle name="Normal 5 4 2 3 6 2" xfId="6897" xr:uid="{00000000-0005-0000-0000-0000E91A0000}"/>
    <cellStyle name="Normal 5 4 2 3 6 2 2" xfId="15347" xr:uid="{02835A83-B397-4B58-B0DE-577B64A0F880}"/>
    <cellStyle name="Normal 5 4 2 3 6 3" xfId="11129" xr:uid="{F5BCD185-C784-4134-9649-0FC76369E2A2}"/>
    <cellStyle name="Normal 5 4 2 3 7" xfId="4832" xr:uid="{00000000-0005-0000-0000-0000EA1A0000}"/>
    <cellStyle name="Normal 5 4 2 3 7 2" xfId="13282" xr:uid="{AE6883A0-3B90-4461-A290-0C6BDB72F6C5}"/>
    <cellStyle name="Normal 5 4 2 3 8" xfId="9064" xr:uid="{80C6D0A5-A988-491A-B824-FAD45DD94BFD}"/>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E551E453-B91F-492B-B3E8-F295EB09E4CD}"/>
    <cellStyle name="Normal 5 4 2 4 2 3" xfId="11619" xr:uid="{90BF3092-7934-4804-A613-DB35007088FB}"/>
    <cellStyle name="Normal 5 4 2 4 3" xfId="5242" xr:uid="{00000000-0005-0000-0000-0000EE1A0000}"/>
    <cellStyle name="Normal 5 4 2 4 3 2" xfId="13692" xr:uid="{4E353D17-2DF4-4335-91BB-C03251AA579D}"/>
    <cellStyle name="Normal 5 4 2 4 4" xfId="9474" xr:uid="{7BB3623C-ECF8-42C3-BDA2-6E75502191A5}"/>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52777BA0-179F-4A72-B3EB-B67949626E6F}"/>
    <cellStyle name="Normal 5 4 2 5 2 3" xfId="12032" xr:uid="{380185DD-C834-46F8-890D-B1C79F64F5C7}"/>
    <cellStyle name="Normal 5 4 2 5 3" xfId="5655" xr:uid="{00000000-0005-0000-0000-0000F21A0000}"/>
    <cellStyle name="Normal 5 4 2 5 3 2" xfId="14105" xr:uid="{92D07BAA-6C82-4E57-9E72-A465FB0769B2}"/>
    <cellStyle name="Normal 5 4 2 5 4" xfId="9887" xr:uid="{3FB6FB23-963D-4BC4-99CD-AAFC75C0446D}"/>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D3004A87-8670-449E-B28A-CFD601EBC6C4}"/>
    <cellStyle name="Normal 5 4 2 6 2 3" xfId="12445" xr:uid="{2A6EFFA2-973F-4969-AE41-773FBCA92988}"/>
    <cellStyle name="Normal 5 4 2 6 3" xfId="6068" xr:uid="{00000000-0005-0000-0000-0000F61A0000}"/>
    <cellStyle name="Normal 5 4 2 6 3 2" xfId="14518" xr:uid="{A05C9DBC-6174-4C4A-95DC-C8854548AA80}"/>
    <cellStyle name="Normal 5 4 2 6 4" xfId="10300" xr:uid="{C49D150E-2610-4B71-8C85-4C2F86D7FB0A}"/>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F5ACDD57-7B4B-4608-9F9C-B73EFD9FD42F}"/>
    <cellStyle name="Normal 5 4 2 7 2 3" xfId="12858" xr:uid="{9FD2F145-9970-4CD1-A518-083502113528}"/>
    <cellStyle name="Normal 5 4 2 7 3" xfId="6481" xr:uid="{00000000-0005-0000-0000-0000FA1A0000}"/>
    <cellStyle name="Normal 5 4 2 7 3 2" xfId="14931" xr:uid="{47FA6CC9-07C6-4F17-8697-D89117247242}"/>
    <cellStyle name="Normal 5 4 2 7 4" xfId="10713" xr:uid="{65945BC0-BD9D-4E3B-9E9B-3CAFF45C2249}"/>
    <cellStyle name="Normal 5 4 2 8" xfId="2611" xr:uid="{00000000-0005-0000-0000-0000FB1A0000}"/>
    <cellStyle name="Normal 5 4 2 8 2" xfId="6894" xr:uid="{00000000-0005-0000-0000-0000FC1A0000}"/>
    <cellStyle name="Normal 5 4 2 8 2 2" xfId="15344" xr:uid="{723B210B-10A1-4CEA-A87A-F51618B686FB}"/>
    <cellStyle name="Normal 5 4 2 8 3" xfId="11126" xr:uid="{BA4DDBA0-8EF4-4634-BE68-CEA6B4723646}"/>
    <cellStyle name="Normal 5 4 2 9" xfId="4829" xr:uid="{00000000-0005-0000-0000-0000FD1A0000}"/>
    <cellStyle name="Normal 5 4 2 9 2" xfId="13279" xr:uid="{A9145EF8-057E-4E9B-9759-73C61E166D14}"/>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D30297D8-869C-47A2-B5EA-5FA658533BD4}"/>
    <cellStyle name="Normal 5 4 3 2 2 2 3" xfId="11624" xr:uid="{A1375AC0-47E0-4995-B4D7-7401052C4045}"/>
    <cellStyle name="Normal 5 4 3 2 2 3" xfId="5247" xr:uid="{00000000-0005-0000-0000-0000031B0000}"/>
    <cellStyle name="Normal 5 4 3 2 2 3 2" xfId="13697" xr:uid="{B95B4F5D-FD71-4506-8AB8-82F6874B5F2B}"/>
    <cellStyle name="Normal 5 4 3 2 2 4" xfId="9479" xr:uid="{DC937425-364E-4654-AEED-ED9F2DD7AEA9}"/>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2606A6BB-2744-4F11-A08A-1894A1E79A20}"/>
    <cellStyle name="Normal 5 4 3 2 3 2 3" xfId="12037" xr:uid="{6F9D744C-E8CA-47AB-BA31-B37B9290AD09}"/>
    <cellStyle name="Normal 5 4 3 2 3 3" xfId="5660" xr:uid="{00000000-0005-0000-0000-0000071B0000}"/>
    <cellStyle name="Normal 5 4 3 2 3 3 2" xfId="14110" xr:uid="{27721B12-C2E4-49BD-AC81-217A9A1870A7}"/>
    <cellStyle name="Normal 5 4 3 2 3 4" xfId="9892" xr:uid="{BA587AEB-5068-4B8B-8196-2CBA01DEDCD4}"/>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9C3F9BFE-78B7-49FD-A4E5-3891241DBA7A}"/>
    <cellStyle name="Normal 5 4 3 2 4 2 3" xfId="12450" xr:uid="{BE40C322-5906-4DBD-8790-3940FCD65E06}"/>
    <cellStyle name="Normal 5 4 3 2 4 3" xfId="6073" xr:uid="{00000000-0005-0000-0000-00000B1B0000}"/>
    <cellStyle name="Normal 5 4 3 2 4 3 2" xfId="14523" xr:uid="{0469D7AE-6C32-41AD-90A2-6533B10C87B1}"/>
    <cellStyle name="Normal 5 4 3 2 4 4" xfId="10305" xr:uid="{F0B7A2EE-CF4B-4A2E-8C75-6D6C5971B145}"/>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20E15CE0-453D-4145-843D-5240ABDC43B1}"/>
    <cellStyle name="Normal 5 4 3 2 5 2 3" xfId="12863" xr:uid="{1DE64342-778D-41ED-A98A-090D73896B40}"/>
    <cellStyle name="Normal 5 4 3 2 5 3" xfId="6486" xr:uid="{00000000-0005-0000-0000-00000F1B0000}"/>
    <cellStyle name="Normal 5 4 3 2 5 3 2" xfId="14936" xr:uid="{7DDE3F23-03C9-49A6-B474-2D144F6951DC}"/>
    <cellStyle name="Normal 5 4 3 2 5 4" xfId="10718" xr:uid="{3369DCE9-AF6F-479B-87C5-7103E67C9315}"/>
    <cellStyle name="Normal 5 4 3 2 6" xfId="2616" xr:uid="{00000000-0005-0000-0000-0000101B0000}"/>
    <cellStyle name="Normal 5 4 3 2 6 2" xfId="6899" xr:uid="{00000000-0005-0000-0000-0000111B0000}"/>
    <cellStyle name="Normal 5 4 3 2 6 2 2" xfId="15349" xr:uid="{62FE98B1-E604-47C0-9D71-CC92EE3FE0A3}"/>
    <cellStyle name="Normal 5 4 3 2 6 3" xfId="11131" xr:uid="{BF3A2A40-5878-4841-B6DA-6193D41C9A80}"/>
    <cellStyle name="Normal 5 4 3 2 7" xfId="4834" xr:uid="{00000000-0005-0000-0000-0000121B0000}"/>
    <cellStyle name="Normal 5 4 3 2 7 2" xfId="13284" xr:uid="{32350FD8-B99F-462A-BDDE-42FDAFDAEE68}"/>
    <cellStyle name="Normal 5 4 3 2 8" xfId="9066" xr:uid="{D90E16B8-5C0A-48D5-8F34-1C39E4763141}"/>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1F669D63-6D5B-4B01-B4A2-B061BDC6392E}"/>
    <cellStyle name="Normal 5 4 3 3 2 3" xfId="11623" xr:uid="{F4B9105C-F27B-42E4-8CA6-A113911DBFA5}"/>
    <cellStyle name="Normal 5 4 3 3 3" xfId="5246" xr:uid="{00000000-0005-0000-0000-0000161B0000}"/>
    <cellStyle name="Normal 5 4 3 3 3 2" xfId="13696" xr:uid="{E4207C79-31B4-4E20-8E52-EA9F928EEE72}"/>
    <cellStyle name="Normal 5 4 3 3 4" xfId="9478" xr:uid="{84D06C4C-889C-450D-9A31-CF75EF389F40}"/>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738C34FD-2C8A-4DA0-A18A-643E1B5EEC30}"/>
    <cellStyle name="Normal 5 4 3 4 2 3" xfId="12036" xr:uid="{F61694E9-6060-41B1-8ECF-1E778BEB0BBA}"/>
    <cellStyle name="Normal 5 4 3 4 3" xfId="5659" xr:uid="{00000000-0005-0000-0000-00001A1B0000}"/>
    <cellStyle name="Normal 5 4 3 4 3 2" xfId="14109" xr:uid="{8E9AD8A1-919D-4057-835B-F9F621AD42EA}"/>
    <cellStyle name="Normal 5 4 3 4 4" xfId="9891" xr:uid="{B105E5F1-3F24-4351-BFFC-30F2648BF14A}"/>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A1D62098-53A2-47C3-99E9-4BFD7ECB88FE}"/>
    <cellStyle name="Normal 5 4 3 5 2 3" xfId="12449" xr:uid="{CC2E885B-4B42-415C-BF1E-D97DD051DCF5}"/>
    <cellStyle name="Normal 5 4 3 5 3" xfId="6072" xr:uid="{00000000-0005-0000-0000-00001E1B0000}"/>
    <cellStyle name="Normal 5 4 3 5 3 2" xfId="14522" xr:uid="{940BFC8F-2E69-4706-ABA2-C8BC470F56F4}"/>
    <cellStyle name="Normal 5 4 3 5 4" xfId="10304" xr:uid="{328E40CE-EC7B-4DC5-BC97-3154F311C35E}"/>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41921A76-B7BD-4BA6-8F88-412D66396204}"/>
    <cellStyle name="Normal 5 4 3 6 2 3" xfId="12862" xr:uid="{200A7987-B37F-4A39-BCF1-473F9D5C67B5}"/>
    <cellStyle name="Normal 5 4 3 6 3" xfId="6485" xr:uid="{00000000-0005-0000-0000-0000221B0000}"/>
    <cellStyle name="Normal 5 4 3 6 3 2" xfId="14935" xr:uid="{33BCA70A-5AFF-40E0-B01C-D5C7A9D2B914}"/>
    <cellStyle name="Normal 5 4 3 6 4" xfId="10717" xr:uid="{7905715A-711F-4C50-97FF-D03DEC23DD78}"/>
    <cellStyle name="Normal 5 4 3 7" xfId="2615" xr:uid="{00000000-0005-0000-0000-0000231B0000}"/>
    <cellStyle name="Normal 5 4 3 7 2" xfId="6898" xr:uid="{00000000-0005-0000-0000-0000241B0000}"/>
    <cellStyle name="Normal 5 4 3 7 2 2" xfId="15348" xr:uid="{FDC78B46-6BB1-420B-8E68-52299AD12BC8}"/>
    <cellStyle name="Normal 5 4 3 7 3" xfId="11130" xr:uid="{9179E18F-A449-478A-8F3D-D278CD3928C5}"/>
    <cellStyle name="Normal 5 4 3 8" xfId="4833" xr:uid="{00000000-0005-0000-0000-0000251B0000}"/>
    <cellStyle name="Normal 5 4 3 8 2" xfId="13283" xr:uid="{4578C67F-4E9F-4173-9582-10CDD6E8CAFB}"/>
    <cellStyle name="Normal 5 4 3 9" xfId="9065" xr:uid="{AA3318AA-EF7F-4760-AD93-C3553D9C9A02}"/>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5FC5ED5F-140A-4DB9-95AA-EF049FA6DB97}"/>
    <cellStyle name="Normal 5 4 4 2 2 3" xfId="11625" xr:uid="{70DA5AE7-5471-4310-ACED-084A77544948}"/>
    <cellStyle name="Normal 5 4 4 2 3" xfId="5248" xr:uid="{00000000-0005-0000-0000-00002A1B0000}"/>
    <cellStyle name="Normal 5 4 4 2 3 2" xfId="13698" xr:uid="{67D03CC6-A77D-485A-B70F-228A0273F90E}"/>
    <cellStyle name="Normal 5 4 4 2 4" xfId="9480" xr:uid="{4AFC92E0-C580-4CC3-87D4-F531FC17B5AA}"/>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AC8CC8D8-18B5-42E5-8AF9-780CEE9543D5}"/>
    <cellStyle name="Normal 5 4 4 3 2 3" xfId="12038" xr:uid="{1DBE0457-AB91-421E-9DC3-70859FA25973}"/>
    <cellStyle name="Normal 5 4 4 3 3" xfId="5661" xr:uid="{00000000-0005-0000-0000-00002E1B0000}"/>
    <cellStyle name="Normal 5 4 4 3 3 2" xfId="14111" xr:uid="{25436E3D-F27F-4EE4-ADF9-3431497C29BF}"/>
    <cellStyle name="Normal 5 4 4 3 4" xfId="9893" xr:uid="{DB405A14-1467-4822-8EA9-294C7941BF5F}"/>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6CB8B83D-EDDD-4D58-94F4-2FDEF76A8BB5}"/>
    <cellStyle name="Normal 5 4 4 4 2 3" xfId="12451" xr:uid="{0AF7B5D5-E2D8-4927-B581-16AC3A49B821}"/>
    <cellStyle name="Normal 5 4 4 4 3" xfId="6074" xr:uid="{00000000-0005-0000-0000-0000321B0000}"/>
    <cellStyle name="Normal 5 4 4 4 3 2" xfId="14524" xr:uid="{F993F226-3EEC-44F3-925A-9113276516B8}"/>
    <cellStyle name="Normal 5 4 4 4 4" xfId="10306" xr:uid="{62492E58-608C-404F-9E68-7E73D994E207}"/>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E37C9B7E-F110-468A-BC2D-91EEE125F8A8}"/>
    <cellStyle name="Normal 5 4 4 5 2 3" xfId="12864" xr:uid="{7BAC408D-B6FF-4BF8-B703-595B6A95B9F8}"/>
    <cellStyle name="Normal 5 4 4 5 3" xfId="6487" xr:uid="{00000000-0005-0000-0000-0000361B0000}"/>
    <cellStyle name="Normal 5 4 4 5 3 2" xfId="14937" xr:uid="{B2DE40E8-B934-4C6E-95B9-F7F9B4205F86}"/>
    <cellStyle name="Normal 5 4 4 5 4" xfId="10719" xr:uid="{E10A4515-EE1C-476A-A98A-73EE31AD59B7}"/>
    <cellStyle name="Normal 5 4 4 6" xfId="2617" xr:uid="{00000000-0005-0000-0000-0000371B0000}"/>
    <cellStyle name="Normal 5 4 4 6 2" xfId="6900" xr:uid="{00000000-0005-0000-0000-0000381B0000}"/>
    <cellStyle name="Normal 5 4 4 6 2 2" xfId="15350" xr:uid="{8B40E407-B7A3-4F15-82E1-2032FF4623DB}"/>
    <cellStyle name="Normal 5 4 4 6 3" xfId="11132" xr:uid="{1BB18E45-25D1-4C10-9882-2AF946D4BAD8}"/>
    <cellStyle name="Normal 5 4 4 7" xfId="4835" xr:uid="{00000000-0005-0000-0000-0000391B0000}"/>
    <cellStyle name="Normal 5 4 4 7 2" xfId="13285" xr:uid="{233908E3-746C-4790-8DB8-EAF6E46167A8}"/>
    <cellStyle name="Normal 5 4 4 8" xfId="9067" xr:uid="{A3182993-B993-4DB4-9E09-D095D17007CA}"/>
    <cellStyle name="Normal 5 4 5" xfId="930" xr:uid="{00000000-0005-0000-0000-00003A1B0000}"/>
    <cellStyle name="Normal 5 4 5 2" xfId="3164" xr:uid="{00000000-0005-0000-0000-00003B1B0000}"/>
    <cellStyle name="Normal 5 4 5 2 2" xfId="7386" xr:uid="{00000000-0005-0000-0000-00003C1B0000}"/>
    <cellStyle name="Normal 5 4 5 2 2 2" xfId="15836" xr:uid="{661B7F71-7541-4A19-943D-D50E0A11D8C9}"/>
    <cellStyle name="Normal 5 4 5 2 3" xfId="11618" xr:uid="{B28FB8B9-9598-4813-BD3D-F45F0E959BA7}"/>
    <cellStyle name="Normal 5 4 5 3" xfId="5241" xr:uid="{00000000-0005-0000-0000-00003D1B0000}"/>
    <cellStyle name="Normal 5 4 5 3 2" xfId="13691" xr:uid="{0B81A1EF-AD1A-4F4E-B94F-D72E16F7EE1C}"/>
    <cellStyle name="Normal 5 4 5 4" xfId="9473" xr:uid="{C91E4112-A919-4C0B-B730-6BE7DF3E237B}"/>
    <cellStyle name="Normal 5 4 6" xfId="1347" xr:uid="{00000000-0005-0000-0000-00003E1B0000}"/>
    <cellStyle name="Normal 5 4 6 2" xfId="3577" xr:uid="{00000000-0005-0000-0000-00003F1B0000}"/>
    <cellStyle name="Normal 5 4 6 2 2" xfId="7799" xr:uid="{00000000-0005-0000-0000-0000401B0000}"/>
    <cellStyle name="Normal 5 4 6 2 2 2" xfId="16249" xr:uid="{045894DC-8CD8-4DA2-9A05-95474C7D92E3}"/>
    <cellStyle name="Normal 5 4 6 2 3" xfId="12031" xr:uid="{75B4B162-4C70-4E19-8C7E-921052C7C991}"/>
    <cellStyle name="Normal 5 4 6 3" xfId="5654" xr:uid="{00000000-0005-0000-0000-0000411B0000}"/>
    <cellStyle name="Normal 5 4 6 3 2" xfId="14104" xr:uid="{5F26365B-FF28-4C03-A3AC-8E5CECA612BE}"/>
    <cellStyle name="Normal 5 4 6 4" xfId="9886" xr:uid="{253EF8E3-DB2C-4A85-A9BF-70887DE49F76}"/>
    <cellStyle name="Normal 5 4 7" xfId="1760" xr:uid="{00000000-0005-0000-0000-0000421B0000}"/>
    <cellStyle name="Normal 5 4 7 2" xfId="3990" xr:uid="{00000000-0005-0000-0000-0000431B0000}"/>
    <cellStyle name="Normal 5 4 7 2 2" xfId="8212" xr:uid="{00000000-0005-0000-0000-0000441B0000}"/>
    <cellStyle name="Normal 5 4 7 2 2 2" xfId="16662" xr:uid="{27EFC31E-372B-4B49-BD03-F18DC84341A9}"/>
    <cellStyle name="Normal 5 4 7 2 3" xfId="12444" xr:uid="{268C6C59-7082-4D92-8123-7B1A43A11940}"/>
    <cellStyle name="Normal 5 4 7 3" xfId="6067" xr:uid="{00000000-0005-0000-0000-0000451B0000}"/>
    <cellStyle name="Normal 5 4 7 3 2" xfId="14517" xr:uid="{1DD68150-A58C-42B0-A928-8CC40D5B6342}"/>
    <cellStyle name="Normal 5 4 7 4" xfId="10299" xr:uid="{51E63C07-2A4B-4DF7-810A-D55D2B97A2D9}"/>
    <cellStyle name="Normal 5 4 8" xfId="2174" xr:uid="{00000000-0005-0000-0000-0000461B0000}"/>
    <cellStyle name="Normal 5 4 8 2" xfId="4403" xr:uid="{00000000-0005-0000-0000-0000471B0000}"/>
    <cellStyle name="Normal 5 4 8 2 2" xfId="8625" xr:uid="{00000000-0005-0000-0000-0000481B0000}"/>
    <cellStyle name="Normal 5 4 8 2 2 2" xfId="17075" xr:uid="{DADEAA35-7F68-4657-B095-7638C42D45B2}"/>
    <cellStyle name="Normal 5 4 8 2 3" xfId="12857" xr:uid="{5700AC09-F0E9-4B0A-BD26-511DA5BFA946}"/>
    <cellStyle name="Normal 5 4 8 3" xfId="6480" xr:uid="{00000000-0005-0000-0000-0000491B0000}"/>
    <cellStyle name="Normal 5 4 8 3 2" xfId="14930" xr:uid="{568B5263-FFD3-4706-BFD3-25E956ECDF85}"/>
    <cellStyle name="Normal 5 4 8 4" xfId="10712" xr:uid="{3F95EABC-4537-49CA-8019-5C51234D8910}"/>
    <cellStyle name="Normal 5 4 9" xfId="2610" xr:uid="{00000000-0005-0000-0000-00004A1B0000}"/>
    <cellStyle name="Normal 5 4 9 2" xfId="6893" xr:uid="{00000000-0005-0000-0000-00004B1B0000}"/>
    <cellStyle name="Normal 5 4 9 2 2" xfId="15343" xr:uid="{AC714D74-8DAB-4DBA-85E1-E3E1BF1220B4}"/>
    <cellStyle name="Normal 5 4 9 3" xfId="11125" xr:uid="{F17ACCD4-9557-4C49-9EDF-336F1C382FCA}"/>
    <cellStyle name="Normal 5 5" xfId="464" xr:uid="{00000000-0005-0000-0000-00004C1B0000}"/>
    <cellStyle name="Normal 5 5 10" xfId="9068" xr:uid="{770F095F-7E79-4266-909E-28FA27C7E53F}"/>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57B21D34-195B-4F3E-A8E2-5ED8E4D2FA31}"/>
    <cellStyle name="Normal 5 5 2 2 2 2 3" xfId="11628" xr:uid="{EAC501DF-1029-4B07-9C64-EA7C0A6BB8D7}"/>
    <cellStyle name="Normal 5 5 2 2 2 3" xfId="5251" xr:uid="{00000000-0005-0000-0000-0000521B0000}"/>
    <cellStyle name="Normal 5 5 2 2 2 3 2" xfId="13701" xr:uid="{BE8CC395-1009-41B2-98F7-C78966712EBE}"/>
    <cellStyle name="Normal 5 5 2 2 2 4" xfId="9483" xr:uid="{68150EBE-D211-40EA-965B-17628C75231F}"/>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FE8D112A-49D2-4B63-BBB7-566564E83EDB}"/>
    <cellStyle name="Normal 5 5 2 2 3 2 3" xfId="12041" xr:uid="{DFA6EF6E-0FB5-440B-8F5D-76DD752FFBF0}"/>
    <cellStyle name="Normal 5 5 2 2 3 3" xfId="5664" xr:uid="{00000000-0005-0000-0000-0000561B0000}"/>
    <cellStyle name="Normal 5 5 2 2 3 3 2" xfId="14114" xr:uid="{48382B9F-B06F-43F6-8125-0DD00DDEF0DD}"/>
    <cellStyle name="Normal 5 5 2 2 3 4" xfId="9896" xr:uid="{B411FB9C-03FE-41F3-9191-134600BCED30}"/>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86FC36E4-0995-4975-B5DD-6B4F9CECBAC3}"/>
    <cellStyle name="Normal 5 5 2 2 4 2 3" xfId="12454" xr:uid="{39C4C627-5720-4C85-8518-471B01D91F08}"/>
    <cellStyle name="Normal 5 5 2 2 4 3" xfId="6077" xr:uid="{00000000-0005-0000-0000-00005A1B0000}"/>
    <cellStyle name="Normal 5 5 2 2 4 3 2" xfId="14527" xr:uid="{054D9BE6-B5B6-4C19-AF41-1F3E24A475F6}"/>
    <cellStyle name="Normal 5 5 2 2 4 4" xfId="10309" xr:uid="{B1E75DBB-42E7-4C05-9111-1D8020724F81}"/>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01D7A565-E8C5-4D40-971E-0CC404E8DC79}"/>
    <cellStyle name="Normal 5 5 2 2 5 2 3" xfId="12867" xr:uid="{3B687700-420C-4D20-9045-C14CCE336306}"/>
    <cellStyle name="Normal 5 5 2 2 5 3" xfId="6490" xr:uid="{00000000-0005-0000-0000-00005E1B0000}"/>
    <cellStyle name="Normal 5 5 2 2 5 3 2" xfId="14940" xr:uid="{627F92A7-22CF-47B4-AD81-F26A8DBC02A2}"/>
    <cellStyle name="Normal 5 5 2 2 5 4" xfId="10722" xr:uid="{BFDEBE88-3007-4966-A2C5-BDB050DFE6CF}"/>
    <cellStyle name="Normal 5 5 2 2 6" xfId="2620" xr:uid="{00000000-0005-0000-0000-00005F1B0000}"/>
    <cellStyle name="Normal 5 5 2 2 6 2" xfId="6903" xr:uid="{00000000-0005-0000-0000-0000601B0000}"/>
    <cellStyle name="Normal 5 5 2 2 6 2 2" xfId="15353" xr:uid="{2EDCB38D-68B6-4B90-B817-0D8F70FCA1DE}"/>
    <cellStyle name="Normal 5 5 2 2 6 3" xfId="11135" xr:uid="{F5F64EE1-1FE1-46DC-8396-391F9BEBC7A8}"/>
    <cellStyle name="Normal 5 5 2 2 7" xfId="4838" xr:uid="{00000000-0005-0000-0000-0000611B0000}"/>
    <cellStyle name="Normal 5 5 2 2 7 2" xfId="13288" xr:uid="{99A42CEE-8C2E-4AC5-BA18-856B4091C242}"/>
    <cellStyle name="Normal 5 5 2 2 8" xfId="9070" xr:uid="{8ED54193-5C08-4004-B259-71AFD3707837}"/>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17987950-AFF6-4344-B9B9-220B759F1965}"/>
    <cellStyle name="Normal 5 5 2 3 2 3" xfId="11627" xr:uid="{56AC113A-B4FF-4C05-8846-860438B12E52}"/>
    <cellStyle name="Normal 5 5 2 3 3" xfId="5250" xr:uid="{00000000-0005-0000-0000-0000651B0000}"/>
    <cellStyle name="Normal 5 5 2 3 3 2" xfId="13700" xr:uid="{592AC456-E8E4-4010-988F-8BF06B7163BC}"/>
    <cellStyle name="Normal 5 5 2 3 4" xfId="9482" xr:uid="{F4FFED49-1894-4AF1-83B5-F1AA16C1CD86}"/>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77CE3F35-8A53-49A6-8773-00191693233C}"/>
    <cellStyle name="Normal 5 5 2 4 2 3" xfId="12040" xr:uid="{AB09165C-BD5C-46F0-B1BE-42C58FAB0D7E}"/>
    <cellStyle name="Normal 5 5 2 4 3" xfId="5663" xr:uid="{00000000-0005-0000-0000-0000691B0000}"/>
    <cellStyle name="Normal 5 5 2 4 3 2" xfId="14113" xr:uid="{EE5CB3D9-A876-4592-B95F-41DCAEB9217D}"/>
    <cellStyle name="Normal 5 5 2 4 4" xfId="9895" xr:uid="{B84FEE4C-2970-4894-BC4B-F85685EEBFF0}"/>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679D2984-8348-47CC-8A4A-C035790A458F}"/>
    <cellStyle name="Normal 5 5 2 5 2 3" xfId="12453" xr:uid="{D10AEF3A-6614-4587-B4BA-9A0A2BE76742}"/>
    <cellStyle name="Normal 5 5 2 5 3" xfId="6076" xr:uid="{00000000-0005-0000-0000-00006D1B0000}"/>
    <cellStyle name="Normal 5 5 2 5 3 2" xfId="14526" xr:uid="{888534BD-4166-4C53-8024-0C6C9DB1E984}"/>
    <cellStyle name="Normal 5 5 2 5 4" xfId="10308" xr:uid="{A2BD5027-4FDD-4222-800C-7DCC06F887D0}"/>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190DBE69-23E3-41C2-BFCF-ED6542A0583E}"/>
    <cellStyle name="Normal 5 5 2 6 2 3" xfId="12866" xr:uid="{6A21566A-9D66-45B7-9EA1-E3037C5B493F}"/>
    <cellStyle name="Normal 5 5 2 6 3" xfId="6489" xr:uid="{00000000-0005-0000-0000-0000711B0000}"/>
    <cellStyle name="Normal 5 5 2 6 3 2" xfId="14939" xr:uid="{59456E4A-07B3-452D-86A0-B7A0BEF302C2}"/>
    <cellStyle name="Normal 5 5 2 6 4" xfId="10721" xr:uid="{54792282-C757-4484-8400-899FBC00FDC3}"/>
    <cellStyle name="Normal 5 5 2 7" xfId="2619" xr:uid="{00000000-0005-0000-0000-0000721B0000}"/>
    <cellStyle name="Normal 5 5 2 7 2" xfId="6902" xr:uid="{00000000-0005-0000-0000-0000731B0000}"/>
    <cellStyle name="Normal 5 5 2 7 2 2" xfId="15352" xr:uid="{4A71FFF7-607B-44A5-87FA-96F239B7F48A}"/>
    <cellStyle name="Normal 5 5 2 7 3" xfId="11134" xr:uid="{ED4B4DBF-857C-4439-B741-7F72EB14DFD9}"/>
    <cellStyle name="Normal 5 5 2 8" xfId="4837" xr:uid="{00000000-0005-0000-0000-0000741B0000}"/>
    <cellStyle name="Normal 5 5 2 8 2" xfId="13287" xr:uid="{8A214E7B-6CD3-44CE-9DE8-CB7870B21B9A}"/>
    <cellStyle name="Normal 5 5 2 9" xfId="9069" xr:uid="{FDD26044-5D53-4940-AE17-E2065A8A3608}"/>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DC5F25D7-AA63-438C-B3A3-FEC2691A85BC}"/>
    <cellStyle name="Normal 5 5 3 2 2 3" xfId="11629" xr:uid="{2C5124FB-27D7-45EF-999E-1E69B9D266B9}"/>
    <cellStyle name="Normal 5 5 3 2 3" xfId="5252" xr:uid="{00000000-0005-0000-0000-0000791B0000}"/>
    <cellStyle name="Normal 5 5 3 2 3 2" xfId="13702" xr:uid="{61842ABF-958C-4BF6-97E3-C29F6AFDEE56}"/>
    <cellStyle name="Normal 5 5 3 2 4" xfId="9484" xr:uid="{B124B396-20CF-4637-841A-74C8CF706A36}"/>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7FFF8145-64AC-4F25-BBEA-B687F453F901}"/>
    <cellStyle name="Normal 5 5 3 3 2 3" xfId="12042" xr:uid="{24B6A32B-D690-48C1-A2E3-2FE6B86D182E}"/>
    <cellStyle name="Normal 5 5 3 3 3" xfId="5665" xr:uid="{00000000-0005-0000-0000-00007D1B0000}"/>
    <cellStyle name="Normal 5 5 3 3 3 2" xfId="14115" xr:uid="{940FAC2B-9C78-4530-89FD-C25FB2AC1D8C}"/>
    <cellStyle name="Normal 5 5 3 3 4" xfId="9897" xr:uid="{319BA0A0-E55C-4C0A-A6F1-3778675E7435}"/>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12C19269-441F-4AEF-9E7C-7BD85B2693CC}"/>
    <cellStyle name="Normal 5 5 3 4 2 3" xfId="12455" xr:uid="{142C4D22-9AED-48AD-BF49-FDD90760ECF9}"/>
    <cellStyle name="Normal 5 5 3 4 3" xfId="6078" xr:uid="{00000000-0005-0000-0000-0000811B0000}"/>
    <cellStyle name="Normal 5 5 3 4 3 2" xfId="14528" xr:uid="{9C97D135-C001-4B7C-86D8-1EDF4631CF80}"/>
    <cellStyle name="Normal 5 5 3 4 4" xfId="10310" xr:uid="{211C168B-FE57-4404-A031-B3AA2E2ADBE9}"/>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90493A2C-98C1-46FB-B881-DF1DBF59BC49}"/>
    <cellStyle name="Normal 5 5 3 5 2 3" xfId="12868" xr:uid="{63496710-C166-4FC3-B70B-E62219B99D44}"/>
    <cellStyle name="Normal 5 5 3 5 3" xfId="6491" xr:uid="{00000000-0005-0000-0000-0000851B0000}"/>
    <cellStyle name="Normal 5 5 3 5 3 2" xfId="14941" xr:uid="{466EA76E-3C99-4795-B5F8-E2831859968F}"/>
    <cellStyle name="Normal 5 5 3 5 4" xfId="10723" xr:uid="{8733ECE6-4CE8-4C8E-8429-7EF8FDCE3A4D}"/>
    <cellStyle name="Normal 5 5 3 6" xfId="2621" xr:uid="{00000000-0005-0000-0000-0000861B0000}"/>
    <cellStyle name="Normal 5 5 3 6 2" xfId="6904" xr:uid="{00000000-0005-0000-0000-0000871B0000}"/>
    <cellStyle name="Normal 5 5 3 6 2 2" xfId="15354" xr:uid="{FA11766F-2733-4412-8369-AF25ECA94E0D}"/>
    <cellStyle name="Normal 5 5 3 6 3" xfId="11136" xr:uid="{117416E6-2426-4919-A484-51E3D84AF84E}"/>
    <cellStyle name="Normal 5 5 3 7" xfId="4839" xr:uid="{00000000-0005-0000-0000-0000881B0000}"/>
    <cellStyle name="Normal 5 5 3 7 2" xfId="13289" xr:uid="{27931DA9-0F56-4D1A-8903-34E2910C5CF7}"/>
    <cellStyle name="Normal 5 5 3 8" xfId="9071" xr:uid="{3221B181-F76F-4B94-99A4-498B7F1F7793}"/>
    <cellStyle name="Normal 5 5 4" xfId="938" xr:uid="{00000000-0005-0000-0000-0000891B0000}"/>
    <cellStyle name="Normal 5 5 4 2" xfId="3172" xr:uid="{00000000-0005-0000-0000-00008A1B0000}"/>
    <cellStyle name="Normal 5 5 4 2 2" xfId="7394" xr:uid="{00000000-0005-0000-0000-00008B1B0000}"/>
    <cellStyle name="Normal 5 5 4 2 2 2" xfId="15844" xr:uid="{9A9BB14C-3313-40A9-B8B4-DAB65E1959A0}"/>
    <cellStyle name="Normal 5 5 4 2 3" xfId="11626" xr:uid="{A21E3ABF-2AFD-494B-B037-5D981B2FF0D9}"/>
    <cellStyle name="Normal 5 5 4 3" xfId="5249" xr:uid="{00000000-0005-0000-0000-00008C1B0000}"/>
    <cellStyle name="Normal 5 5 4 3 2" xfId="13699" xr:uid="{09E78006-F18D-43F6-AE27-83F1DD557CF4}"/>
    <cellStyle name="Normal 5 5 4 4" xfId="9481" xr:uid="{266FCC26-ACEC-4DE7-B64E-06FFF4D28071}"/>
    <cellStyle name="Normal 5 5 5" xfId="1355" xr:uid="{00000000-0005-0000-0000-00008D1B0000}"/>
    <cellStyle name="Normal 5 5 5 2" xfId="3585" xr:uid="{00000000-0005-0000-0000-00008E1B0000}"/>
    <cellStyle name="Normal 5 5 5 2 2" xfId="7807" xr:uid="{00000000-0005-0000-0000-00008F1B0000}"/>
    <cellStyle name="Normal 5 5 5 2 2 2" xfId="16257" xr:uid="{B01F5FA3-24D6-4E5D-81D3-2B79A5B22C8E}"/>
    <cellStyle name="Normal 5 5 5 2 3" xfId="12039" xr:uid="{4A31313B-5DBE-4658-95AA-358AC6028546}"/>
    <cellStyle name="Normal 5 5 5 3" xfId="5662" xr:uid="{00000000-0005-0000-0000-0000901B0000}"/>
    <cellStyle name="Normal 5 5 5 3 2" xfId="14112" xr:uid="{431604FC-C69E-445C-ABF2-AA1BE3342A18}"/>
    <cellStyle name="Normal 5 5 5 4" xfId="9894" xr:uid="{F282E685-8324-4C70-B4C1-2B0B8508610D}"/>
    <cellStyle name="Normal 5 5 6" xfId="1768" xr:uid="{00000000-0005-0000-0000-0000911B0000}"/>
    <cellStyle name="Normal 5 5 6 2" xfId="3998" xr:uid="{00000000-0005-0000-0000-0000921B0000}"/>
    <cellStyle name="Normal 5 5 6 2 2" xfId="8220" xr:uid="{00000000-0005-0000-0000-0000931B0000}"/>
    <cellStyle name="Normal 5 5 6 2 2 2" xfId="16670" xr:uid="{1AFB98BD-EAF7-41DF-8CE2-43EF3C45B308}"/>
    <cellStyle name="Normal 5 5 6 2 3" xfId="12452" xr:uid="{275E530A-A1A2-413F-A2D5-C24BEC861E9B}"/>
    <cellStyle name="Normal 5 5 6 3" xfId="6075" xr:uid="{00000000-0005-0000-0000-0000941B0000}"/>
    <cellStyle name="Normal 5 5 6 3 2" xfId="14525" xr:uid="{428394E9-6F4C-49F3-A85A-6D6494BBF8DA}"/>
    <cellStyle name="Normal 5 5 6 4" xfId="10307" xr:uid="{B776B9DB-664B-4A2A-8FFB-A84C5DA4BE4F}"/>
    <cellStyle name="Normal 5 5 7" xfId="2182" xr:uid="{00000000-0005-0000-0000-0000951B0000}"/>
    <cellStyle name="Normal 5 5 7 2" xfId="4411" xr:uid="{00000000-0005-0000-0000-0000961B0000}"/>
    <cellStyle name="Normal 5 5 7 2 2" xfId="8633" xr:uid="{00000000-0005-0000-0000-0000971B0000}"/>
    <cellStyle name="Normal 5 5 7 2 2 2" xfId="17083" xr:uid="{7530E9D7-0A23-46A9-B61E-40F84895CCED}"/>
    <cellStyle name="Normal 5 5 7 2 3" xfId="12865" xr:uid="{F6D25D20-BB86-40A8-84B3-B84610B51859}"/>
    <cellStyle name="Normal 5 5 7 3" xfId="6488" xr:uid="{00000000-0005-0000-0000-0000981B0000}"/>
    <cellStyle name="Normal 5 5 7 3 2" xfId="14938" xr:uid="{E31A92EA-D505-4D8F-82D6-1823FB3F6EA6}"/>
    <cellStyle name="Normal 5 5 7 4" xfId="10720" xr:uid="{E0527A82-CA99-466D-A25E-0447AA2D6F20}"/>
    <cellStyle name="Normal 5 5 8" xfId="2618" xr:uid="{00000000-0005-0000-0000-0000991B0000}"/>
    <cellStyle name="Normal 5 5 8 2" xfId="6901" xr:uid="{00000000-0005-0000-0000-00009A1B0000}"/>
    <cellStyle name="Normal 5 5 8 2 2" xfId="15351" xr:uid="{958E8C21-8AF8-47B3-941D-465E8B6B6413}"/>
    <cellStyle name="Normal 5 5 8 3" xfId="11133" xr:uid="{5587921D-C433-408C-89A8-096C4B3E94F5}"/>
    <cellStyle name="Normal 5 5 9" xfId="4836" xr:uid="{00000000-0005-0000-0000-00009B1B0000}"/>
    <cellStyle name="Normal 5 5 9 2" xfId="13286" xr:uid="{253E66E8-AECE-4013-8AA9-C7EDA5E7C211}"/>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BF85DE33-6265-4A40-84CE-D350C45182B0}"/>
    <cellStyle name="Normal 5 6 2 2 2 3" xfId="11631" xr:uid="{17D5CF88-9522-4391-BAEB-B068F33EEF44}"/>
    <cellStyle name="Normal 5 6 2 2 3" xfId="5254" xr:uid="{00000000-0005-0000-0000-0000A11B0000}"/>
    <cellStyle name="Normal 5 6 2 2 3 2" xfId="13704" xr:uid="{CA2FB7D1-B34E-4E84-B40D-6E32CCFFE15B}"/>
    <cellStyle name="Normal 5 6 2 2 4" xfId="9486" xr:uid="{47F720F8-A918-41E9-BD8E-EC4BE8CCA3B8}"/>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C9D771FA-9ACF-42C2-A053-A2F77A0697A9}"/>
    <cellStyle name="Normal 5 6 2 3 2 3" xfId="12044" xr:uid="{D0B17662-9B11-4B90-8393-943250D923AF}"/>
    <cellStyle name="Normal 5 6 2 3 3" xfId="5667" xr:uid="{00000000-0005-0000-0000-0000A51B0000}"/>
    <cellStyle name="Normal 5 6 2 3 3 2" xfId="14117" xr:uid="{0F73BB88-F309-48D5-8F05-BD737352DDC7}"/>
    <cellStyle name="Normal 5 6 2 3 4" xfId="9899" xr:uid="{3074136E-EFCE-4DC6-9165-5E2689282BA7}"/>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CAEA03E9-6511-4AA0-B5B8-9DD0A7079E45}"/>
    <cellStyle name="Normal 5 6 2 4 2 3" xfId="12457" xr:uid="{85D7EB42-8BAF-4BB3-9ECB-93F922D96B57}"/>
    <cellStyle name="Normal 5 6 2 4 3" xfId="6080" xr:uid="{00000000-0005-0000-0000-0000A91B0000}"/>
    <cellStyle name="Normal 5 6 2 4 3 2" xfId="14530" xr:uid="{3AE1211E-52CB-4A3B-B871-36D216BF2684}"/>
    <cellStyle name="Normal 5 6 2 4 4" xfId="10312" xr:uid="{4E0AED45-6A40-4CA2-946E-14E7017A1209}"/>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E0AEEF00-C1B4-4162-916A-8BD932DB20D6}"/>
    <cellStyle name="Normal 5 6 2 5 2 3" xfId="12870" xr:uid="{5BF2D356-1CBA-4242-B204-AE959FFD17A2}"/>
    <cellStyle name="Normal 5 6 2 5 3" xfId="6493" xr:uid="{00000000-0005-0000-0000-0000AD1B0000}"/>
    <cellStyle name="Normal 5 6 2 5 3 2" xfId="14943" xr:uid="{6820478E-9721-4555-BEC7-C5C714578708}"/>
    <cellStyle name="Normal 5 6 2 5 4" xfId="10725" xr:uid="{6FFDC551-E01B-4951-828F-88D6D2F542F1}"/>
    <cellStyle name="Normal 5 6 2 6" xfId="2623" xr:uid="{00000000-0005-0000-0000-0000AE1B0000}"/>
    <cellStyle name="Normal 5 6 2 6 2" xfId="6906" xr:uid="{00000000-0005-0000-0000-0000AF1B0000}"/>
    <cellStyle name="Normal 5 6 2 6 2 2" xfId="15356" xr:uid="{4E1003FB-DBB9-46C7-A371-7EE4976A2A8A}"/>
    <cellStyle name="Normal 5 6 2 6 3" xfId="11138" xr:uid="{A5E3639C-5258-4B31-967E-43017ED51B18}"/>
    <cellStyle name="Normal 5 6 2 7" xfId="4841" xr:uid="{00000000-0005-0000-0000-0000B01B0000}"/>
    <cellStyle name="Normal 5 6 2 7 2" xfId="13291" xr:uid="{E1A55EE9-BD65-4A37-80EE-783129FC8879}"/>
    <cellStyle name="Normal 5 6 2 8" xfId="9073" xr:uid="{10165CED-4CD1-44C9-8B41-211DBABC0441}"/>
    <cellStyle name="Normal 5 6 3" xfId="942" xr:uid="{00000000-0005-0000-0000-0000B11B0000}"/>
    <cellStyle name="Normal 5 6 3 2" xfId="3176" xr:uid="{00000000-0005-0000-0000-0000B21B0000}"/>
    <cellStyle name="Normal 5 6 3 2 2" xfId="7398" xr:uid="{00000000-0005-0000-0000-0000B31B0000}"/>
    <cellStyle name="Normal 5 6 3 2 2 2" xfId="15848" xr:uid="{127EC12D-582A-4303-B9A7-470741F5000C}"/>
    <cellStyle name="Normal 5 6 3 2 3" xfId="11630" xr:uid="{83ABB939-3320-4A1D-8DAB-0D4DC6BC0B75}"/>
    <cellStyle name="Normal 5 6 3 3" xfId="5253" xr:uid="{00000000-0005-0000-0000-0000B41B0000}"/>
    <cellStyle name="Normal 5 6 3 3 2" xfId="13703" xr:uid="{C7368527-6797-4780-B629-698D84187D3F}"/>
    <cellStyle name="Normal 5 6 3 4" xfId="9485" xr:uid="{93E1E731-C2E3-4439-BF34-8E4614761287}"/>
    <cellStyle name="Normal 5 6 4" xfId="1359" xr:uid="{00000000-0005-0000-0000-0000B51B0000}"/>
    <cellStyle name="Normal 5 6 4 2" xfId="3589" xr:uid="{00000000-0005-0000-0000-0000B61B0000}"/>
    <cellStyle name="Normal 5 6 4 2 2" xfId="7811" xr:uid="{00000000-0005-0000-0000-0000B71B0000}"/>
    <cellStyle name="Normal 5 6 4 2 2 2" xfId="16261" xr:uid="{EA2F03B1-E111-4AAC-A3FD-A320BEDB66A5}"/>
    <cellStyle name="Normal 5 6 4 2 3" xfId="12043" xr:uid="{E981CD19-9E44-466D-BCD4-A0AC48B871B0}"/>
    <cellStyle name="Normal 5 6 4 3" xfId="5666" xr:uid="{00000000-0005-0000-0000-0000B81B0000}"/>
    <cellStyle name="Normal 5 6 4 3 2" xfId="14116" xr:uid="{BC062FC7-6F5C-4548-ACAF-876EA102AC15}"/>
    <cellStyle name="Normal 5 6 4 4" xfId="9898" xr:uid="{608F95E0-537D-4E36-8695-68F4A89A7164}"/>
    <cellStyle name="Normal 5 6 5" xfId="1772" xr:uid="{00000000-0005-0000-0000-0000B91B0000}"/>
    <cellStyle name="Normal 5 6 5 2" xfId="4002" xr:uid="{00000000-0005-0000-0000-0000BA1B0000}"/>
    <cellStyle name="Normal 5 6 5 2 2" xfId="8224" xr:uid="{00000000-0005-0000-0000-0000BB1B0000}"/>
    <cellStyle name="Normal 5 6 5 2 2 2" xfId="16674" xr:uid="{2454FA8F-2BD8-4EE4-B9AA-9F2DE6DB01F4}"/>
    <cellStyle name="Normal 5 6 5 2 3" xfId="12456" xr:uid="{4AF546B8-8837-4117-B9DF-5C7469465B4E}"/>
    <cellStyle name="Normal 5 6 5 3" xfId="6079" xr:uid="{00000000-0005-0000-0000-0000BC1B0000}"/>
    <cellStyle name="Normal 5 6 5 3 2" xfId="14529" xr:uid="{3CC8CEDE-0F85-42D8-A7CF-5AEB6C90CAF3}"/>
    <cellStyle name="Normal 5 6 5 4" xfId="10311" xr:uid="{F5B21BAC-93EB-4B9B-A622-337BA1DE6B8A}"/>
    <cellStyle name="Normal 5 6 6" xfId="2186" xr:uid="{00000000-0005-0000-0000-0000BD1B0000}"/>
    <cellStyle name="Normal 5 6 6 2" xfId="4415" xr:uid="{00000000-0005-0000-0000-0000BE1B0000}"/>
    <cellStyle name="Normal 5 6 6 2 2" xfId="8637" xr:uid="{00000000-0005-0000-0000-0000BF1B0000}"/>
    <cellStyle name="Normal 5 6 6 2 2 2" xfId="17087" xr:uid="{DAF5727F-89B0-438A-8076-E9DAE234AD3F}"/>
    <cellStyle name="Normal 5 6 6 2 3" xfId="12869" xr:uid="{38EDD9E7-C36B-4924-B2DE-DFC3A6F5DCA5}"/>
    <cellStyle name="Normal 5 6 6 3" xfId="6492" xr:uid="{00000000-0005-0000-0000-0000C01B0000}"/>
    <cellStyle name="Normal 5 6 6 3 2" xfId="14942" xr:uid="{AEDCD627-9D24-4263-A78C-662F35A6FF4E}"/>
    <cellStyle name="Normal 5 6 6 4" xfId="10724" xr:uid="{B34B0419-742E-42EA-9B7F-A76B9E784A68}"/>
    <cellStyle name="Normal 5 6 7" xfId="2622" xr:uid="{00000000-0005-0000-0000-0000C11B0000}"/>
    <cellStyle name="Normal 5 6 7 2" xfId="6905" xr:uid="{00000000-0005-0000-0000-0000C21B0000}"/>
    <cellStyle name="Normal 5 6 7 2 2" xfId="15355" xr:uid="{702B1488-A23E-41DC-91BD-33473CCF8F05}"/>
    <cellStyle name="Normal 5 6 7 3" xfId="11137" xr:uid="{8488EBC3-819A-4E65-A185-B629DDC40D16}"/>
    <cellStyle name="Normal 5 6 8" xfId="4840" xr:uid="{00000000-0005-0000-0000-0000C31B0000}"/>
    <cellStyle name="Normal 5 6 8 2" xfId="13290" xr:uid="{FCE8C17B-51DD-4AD4-8B2C-93F6F427C6CB}"/>
    <cellStyle name="Normal 5 6 9" xfId="9072" xr:uid="{03D0998F-1AA9-4FF0-8875-96685E581A57}"/>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C4557B12-8B1A-4AEF-8954-CFFFBDCAA0E9}"/>
    <cellStyle name="Normal 5 7 2 2 3" xfId="11632" xr:uid="{DFE61ADB-D0A3-4630-8C33-F04B58A04047}"/>
    <cellStyle name="Normal 5 7 2 3" xfId="5255" xr:uid="{00000000-0005-0000-0000-0000C81B0000}"/>
    <cellStyle name="Normal 5 7 2 3 2" xfId="13705" xr:uid="{F6B96431-7437-4BA7-860A-4F57E937101F}"/>
    <cellStyle name="Normal 5 7 2 4" xfId="9487" xr:uid="{ACEFE05B-3493-4E0D-8685-01C045DF0331}"/>
    <cellStyle name="Normal 5 7 3" xfId="1361" xr:uid="{00000000-0005-0000-0000-0000C91B0000}"/>
    <cellStyle name="Normal 5 7 3 2" xfId="3591" xr:uid="{00000000-0005-0000-0000-0000CA1B0000}"/>
    <cellStyle name="Normal 5 7 3 2 2" xfId="7813" xr:uid="{00000000-0005-0000-0000-0000CB1B0000}"/>
    <cellStyle name="Normal 5 7 3 2 2 2" xfId="16263" xr:uid="{42D8F12F-9E45-403D-A2CF-A21A4D84106D}"/>
    <cellStyle name="Normal 5 7 3 2 3" xfId="12045" xr:uid="{847FA5AC-F440-44B6-8D92-4095733B7204}"/>
    <cellStyle name="Normal 5 7 3 3" xfId="5668" xr:uid="{00000000-0005-0000-0000-0000CC1B0000}"/>
    <cellStyle name="Normal 5 7 3 3 2" xfId="14118" xr:uid="{0D728C63-4E9E-4985-AAFB-0C44253BB116}"/>
    <cellStyle name="Normal 5 7 3 4" xfId="9900" xr:uid="{14C6A760-8607-418D-98D6-0FC3E2D513F3}"/>
    <cellStyle name="Normal 5 7 4" xfId="1774" xr:uid="{00000000-0005-0000-0000-0000CD1B0000}"/>
    <cellStyle name="Normal 5 7 4 2" xfId="4004" xr:uid="{00000000-0005-0000-0000-0000CE1B0000}"/>
    <cellStyle name="Normal 5 7 4 2 2" xfId="8226" xr:uid="{00000000-0005-0000-0000-0000CF1B0000}"/>
    <cellStyle name="Normal 5 7 4 2 2 2" xfId="16676" xr:uid="{92E4A686-30DE-47C3-9F31-81EA686E0CBF}"/>
    <cellStyle name="Normal 5 7 4 2 3" xfId="12458" xr:uid="{BCEB66E8-3B7A-40D2-B985-29FA10AEB7CB}"/>
    <cellStyle name="Normal 5 7 4 3" xfId="6081" xr:uid="{00000000-0005-0000-0000-0000D01B0000}"/>
    <cellStyle name="Normal 5 7 4 3 2" xfId="14531" xr:uid="{2F0F92DB-8405-4630-95CF-8394CE0F720E}"/>
    <cellStyle name="Normal 5 7 4 4" xfId="10313" xr:uid="{42EFA0DD-2586-490E-A2DC-00B8AC107C02}"/>
    <cellStyle name="Normal 5 7 5" xfId="2188" xr:uid="{00000000-0005-0000-0000-0000D11B0000}"/>
    <cellStyle name="Normal 5 7 5 2" xfId="4417" xr:uid="{00000000-0005-0000-0000-0000D21B0000}"/>
    <cellStyle name="Normal 5 7 5 2 2" xfId="8639" xr:uid="{00000000-0005-0000-0000-0000D31B0000}"/>
    <cellStyle name="Normal 5 7 5 2 2 2" xfId="17089" xr:uid="{337D47EB-A24C-4BCE-9FCE-52361A74E39C}"/>
    <cellStyle name="Normal 5 7 5 2 3" xfId="12871" xr:uid="{910169D9-D929-44FF-A450-5B93DAEC92CB}"/>
    <cellStyle name="Normal 5 7 5 3" xfId="6494" xr:uid="{00000000-0005-0000-0000-0000D41B0000}"/>
    <cellStyle name="Normal 5 7 5 3 2" xfId="14944" xr:uid="{7D2E0017-28EA-4868-961D-191C93910ECA}"/>
    <cellStyle name="Normal 5 7 5 4" xfId="10726" xr:uid="{F51EC5C3-F770-4898-8179-D63270B8474B}"/>
    <cellStyle name="Normal 5 7 6" xfId="2624" xr:uid="{00000000-0005-0000-0000-0000D51B0000}"/>
    <cellStyle name="Normal 5 7 6 2" xfId="6907" xr:uid="{00000000-0005-0000-0000-0000D61B0000}"/>
    <cellStyle name="Normal 5 7 6 2 2" xfId="15357" xr:uid="{5EA34EE0-56D2-4505-9BFE-E32A0670472D}"/>
    <cellStyle name="Normal 5 7 6 3" xfId="11139" xr:uid="{2827458E-B7FE-4E74-8D09-5D0D23BEF4B1}"/>
    <cellStyle name="Normal 5 7 7" xfId="4842" xr:uid="{00000000-0005-0000-0000-0000D71B0000}"/>
    <cellStyle name="Normal 5 7 7 2" xfId="13292" xr:uid="{64811FDB-8DE6-4C73-9D37-F4418DFBCFD4}"/>
    <cellStyle name="Normal 5 7 8" xfId="9074" xr:uid="{4569C607-C84C-42E3-ADC6-EA39CC2685ED}"/>
    <cellStyle name="Normal 5 8" xfId="880" xr:uid="{00000000-0005-0000-0000-0000D81B0000}"/>
    <cellStyle name="Normal 5 8 2" xfId="3115" xr:uid="{00000000-0005-0000-0000-0000D91B0000}"/>
    <cellStyle name="Normal 5 8 2 2" xfId="7337" xr:uid="{00000000-0005-0000-0000-0000DA1B0000}"/>
    <cellStyle name="Normal 5 8 2 2 2" xfId="15787" xr:uid="{1E2F62C6-7743-4B13-8A5B-46D7392D6900}"/>
    <cellStyle name="Normal 5 8 2 3" xfId="11569" xr:uid="{7109DB86-7B6C-48C1-8D4A-70B4AC7C4F37}"/>
    <cellStyle name="Normal 5 8 3" xfId="5192" xr:uid="{00000000-0005-0000-0000-0000DB1B0000}"/>
    <cellStyle name="Normal 5 8 3 2" xfId="13642" xr:uid="{5107F143-60D1-4276-87FB-8712F15C2D65}"/>
    <cellStyle name="Normal 5 8 4" xfId="9424" xr:uid="{907AC8F0-4BA8-4264-BFAB-9C233BFC2018}"/>
    <cellStyle name="Normal 5 9" xfId="1298" xr:uid="{00000000-0005-0000-0000-0000DC1B0000}"/>
    <cellStyle name="Normal 5 9 2" xfId="3528" xr:uid="{00000000-0005-0000-0000-0000DD1B0000}"/>
    <cellStyle name="Normal 5 9 2 2" xfId="7750" xr:uid="{00000000-0005-0000-0000-0000DE1B0000}"/>
    <cellStyle name="Normal 5 9 2 2 2" xfId="16200" xr:uid="{D3DF587C-05FA-4251-8C7A-63CB1F75ADC1}"/>
    <cellStyle name="Normal 5 9 2 3" xfId="11982" xr:uid="{163A74DE-B0BE-46B6-84AE-87FAD9378653}"/>
    <cellStyle name="Normal 5 9 3" xfId="5605" xr:uid="{00000000-0005-0000-0000-0000DF1B0000}"/>
    <cellStyle name="Normal 5 9 3 2" xfId="14055" xr:uid="{9F8CD2C7-1B2D-4BF0-81D7-A6C53676B83C}"/>
    <cellStyle name="Normal 5 9 4" xfId="9837" xr:uid="{FA54F568-186D-48F2-B8E5-5DEEEE9677C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DC92E4B1-8F10-4BA2-AE90-DE5080036F93}"/>
    <cellStyle name="Normal 8 10 2 3" xfId="12872" xr:uid="{01BADCCD-694F-44E2-A72B-BD3CC2FF947F}"/>
    <cellStyle name="Normal 8 10 3" xfId="6495" xr:uid="{00000000-0005-0000-0000-0000EB1B0000}"/>
    <cellStyle name="Normal 8 10 3 2" xfId="14945" xr:uid="{DAA0562F-A481-4928-961C-F0D03598D04D}"/>
    <cellStyle name="Normal 8 10 4" xfId="10727" xr:uid="{2F5A73CE-E508-450B-8DAE-F1936FC69571}"/>
    <cellStyle name="Normal 8 11" xfId="2625" xr:uid="{00000000-0005-0000-0000-0000EC1B0000}"/>
    <cellStyle name="Normal 8 11 2" xfId="6908" xr:uid="{00000000-0005-0000-0000-0000ED1B0000}"/>
    <cellStyle name="Normal 8 11 2 2" xfId="15358" xr:uid="{7316BDE3-8669-4037-BEBA-BF1CC6FFC4CD}"/>
    <cellStyle name="Normal 8 11 3" xfId="11140" xr:uid="{DF63DEC3-2E60-436A-B75E-7BA89DFC61D0}"/>
    <cellStyle name="Normal 8 12" xfId="4843" xr:uid="{00000000-0005-0000-0000-0000EE1B0000}"/>
    <cellStyle name="Normal 8 12 2" xfId="13293" xr:uid="{76287E88-0436-4237-83B4-7A8741E0AAA0}"/>
    <cellStyle name="Normal 8 13" xfId="9075" xr:uid="{121F773E-A965-47CB-8F36-0B8349C54815}"/>
    <cellStyle name="Normal 8 2" xfId="479" xr:uid="{00000000-0005-0000-0000-0000EF1B0000}"/>
    <cellStyle name="Normal 8 2 10" xfId="2626" xr:uid="{00000000-0005-0000-0000-0000F01B0000}"/>
    <cellStyle name="Normal 8 2 10 2" xfId="6909" xr:uid="{00000000-0005-0000-0000-0000F11B0000}"/>
    <cellStyle name="Normal 8 2 10 2 2" xfId="15359" xr:uid="{BAE6E7AD-B3DB-4E96-984F-16C44CF49E0E}"/>
    <cellStyle name="Normal 8 2 10 3" xfId="11141" xr:uid="{119A22E6-DE35-4381-83E6-FBAEDB242BD2}"/>
    <cellStyle name="Normal 8 2 11" xfId="4844" xr:uid="{00000000-0005-0000-0000-0000F21B0000}"/>
    <cellStyle name="Normal 8 2 11 2" xfId="13294" xr:uid="{91A39B2C-E2F3-4589-B034-C8AAAC30EC3A}"/>
    <cellStyle name="Normal 8 2 12" xfId="9076" xr:uid="{C5B38A34-B5FC-4A5C-97F2-6794F631C87D}"/>
    <cellStyle name="Normal 8 2 2" xfId="480" xr:uid="{00000000-0005-0000-0000-0000F31B0000}"/>
    <cellStyle name="Normal 8 2 2 10" xfId="4845" xr:uid="{00000000-0005-0000-0000-0000F41B0000}"/>
    <cellStyle name="Normal 8 2 2 10 2" xfId="13295" xr:uid="{BA7C4C2E-4D30-4DDD-A74E-2617A9A140CB}"/>
    <cellStyle name="Normal 8 2 2 11" xfId="9077" xr:uid="{562F41AA-B3BD-4206-931B-A2C1CE67BA2F}"/>
    <cellStyle name="Normal 8 2 2 2" xfId="481" xr:uid="{00000000-0005-0000-0000-0000F51B0000}"/>
    <cellStyle name="Normal 8 2 2 2 10" xfId="9078" xr:uid="{B4FBCD30-66B3-4838-A14B-711D167DFDA9}"/>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D13651B0-83A0-4129-9BEB-50C83A69625E}"/>
    <cellStyle name="Normal 8 2 2 2 2 2 2 2 3" xfId="11638" xr:uid="{865F7E57-4314-4797-B32A-3DBE7A024E76}"/>
    <cellStyle name="Normal 8 2 2 2 2 2 2 3" xfId="5261" xr:uid="{00000000-0005-0000-0000-0000FB1B0000}"/>
    <cellStyle name="Normal 8 2 2 2 2 2 2 3 2" xfId="13711" xr:uid="{BEB8DD0C-5A0D-49AB-B54C-86AE8F358C63}"/>
    <cellStyle name="Normal 8 2 2 2 2 2 2 4" xfId="9493" xr:uid="{68CC5940-4779-48CC-A2AD-E9CAD53ACB15}"/>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0BBC17CD-60C6-4B2B-90F6-A33D868A4B92}"/>
    <cellStyle name="Normal 8 2 2 2 2 2 3 2 3" xfId="12051" xr:uid="{9B82C244-5815-42DA-9BD7-65A7D1B137EC}"/>
    <cellStyle name="Normal 8 2 2 2 2 2 3 3" xfId="5674" xr:uid="{00000000-0005-0000-0000-0000FF1B0000}"/>
    <cellStyle name="Normal 8 2 2 2 2 2 3 3 2" xfId="14124" xr:uid="{0FED8634-F8B5-47D4-B02C-7FE5ACB2C923}"/>
    <cellStyle name="Normal 8 2 2 2 2 2 3 4" xfId="9906" xr:uid="{DB2AFDA9-3D46-42BA-92E4-E7EEB603954F}"/>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EAFC1585-C86B-46AE-A981-02411D6BC75F}"/>
    <cellStyle name="Normal 8 2 2 2 2 2 4 2 3" xfId="12464" xr:uid="{DC86572A-77E2-420E-BEA8-6D2003D496AC}"/>
    <cellStyle name="Normal 8 2 2 2 2 2 4 3" xfId="6087" xr:uid="{00000000-0005-0000-0000-0000031C0000}"/>
    <cellStyle name="Normal 8 2 2 2 2 2 4 3 2" xfId="14537" xr:uid="{EB4C6ACE-5941-40D2-830B-765101681953}"/>
    <cellStyle name="Normal 8 2 2 2 2 2 4 4" xfId="10319" xr:uid="{CC5A97CB-8CD7-4E8B-842C-B7B1E379AEA2}"/>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27491660-BCB2-4E3B-93D3-B0F3E7D4B113}"/>
    <cellStyle name="Normal 8 2 2 2 2 2 5 2 3" xfId="12877" xr:uid="{CF7B0501-DA32-40BC-8C74-4010516A291C}"/>
    <cellStyle name="Normal 8 2 2 2 2 2 5 3" xfId="6500" xr:uid="{00000000-0005-0000-0000-0000071C0000}"/>
    <cellStyle name="Normal 8 2 2 2 2 2 5 3 2" xfId="14950" xr:uid="{14523CA6-3BF2-46EF-9809-C4ADF2EC27E1}"/>
    <cellStyle name="Normal 8 2 2 2 2 2 5 4" xfId="10732" xr:uid="{81DC33C5-7DA0-4A6F-BDE2-9F46F6C1C033}"/>
    <cellStyle name="Normal 8 2 2 2 2 2 6" xfId="2630" xr:uid="{00000000-0005-0000-0000-0000081C0000}"/>
    <cellStyle name="Normal 8 2 2 2 2 2 6 2" xfId="6913" xr:uid="{00000000-0005-0000-0000-0000091C0000}"/>
    <cellStyle name="Normal 8 2 2 2 2 2 6 2 2" xfId="15363" xr:uid="{B88A5269-7BE5-48A5-9FC5-A960D8EB229B}"/>
    <cellStyle name="Normal 8 2 2 2 2 2 6 3" xfId="11145" xr:uid="{B0C0C87E-320F-4698-BB70-9D2CFA0FED6F}"/>
    <cellStyle name="Normal 8 2 2 2 2 2 7" xfId="4848" xr:uid="{00000000-0005-0000-0000-00000A1C0000}"/>
    <cellStyle name="Normal 8 2 2 2 2 2 7 2" xfId="13298" xr:uid="{AF0B7A17-EA9A-4DF0-8E8C-9C4B44BAED11}"/>
    <cellStyle name="Normal 8 2 2 2 2 2 8" xfId="9080" xr:uid="{A64B6952-0146-45CA-92CB-17379751C0A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ACBF5D81-2FDB-4004-B3B5-F7F77B6D84C9}"/>
    <cellStyle name="Normal 8 2 2 2 2 3 2 3" xfId="11637" xr:uid="{14F51BCA-8D38-4FBE-B99D-FDBEF82220C8}"/>
    <cellStyle name="Normal 8 2 2 2 2 3 3" xfId="5260" xr:uid="{00000000-0005-0000-0000-00000E1C0000}"/>
    <cellStyle name="Normal 8 2 2 2 2 3 3 2" xfId="13710" xr:uid="{4E5B4707-6CFE-4939-9897-D33A53633800}"/>
    <cellStyle name="Normal 8 2 2 2 2 3 4" xfId="9492" xr:uid="{6608CCFF-8C71-415C-8139-9BE32CB678DB}"/>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CA5DDC9A-0F61-44C5-A463-3BAAE3A11AB6}"/>
    <cellStyle name="Normal 8 2 2 2 2 4 2 3" xfId="12050" xr:uid="{8B8BF78D-A9F9-4F28-A8DB-39DD0D2963FD}"/>
    <cellStyle name="Normal 8 2 2 2 2 4 3" xfId="5673" xr:uid="{00000000-0005-0000-0000-0000121C0000}"/>
    <cellStyle name="Normal 8 2 2 2 2 4 3 2" xfId="14123" xr:uid="{1F6916D4-4437-4489-B340-E151C2508024}"/>
    <cellStyle name="Normal 8 2 2 2 2 4 4" xfId="9905" xr:uid="{2EFA6A9C-FB97-4042-8998-44D201A21BD4}"/>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306FC902-3FB4-4F6A-9170-311E39A0F610}"/>
    <cellStyle name="Normal 8 2 2 2 2 5 2 3" xfId="12463" xr:uid="{2CF6A077-3AC2-4C64-9BC1-484E530C83DC}"/>
    <cellStyle name="Normal 8 2 2 2 2 5 3" xfId="6086" xr:uid="{00000000-0005-0000-0000-0000161C0000}"/>
    <cellStyle name="Normal 8 2 2 2 2 5 3 2" xfId="14536" xr:uid="{9CA29CA7-CCC2-4D80-A90A-3E8B7FC4DD56}"/>
    <cellStyle name="Normal 8 2 2 2 2 5 4" xfId="10318" xr:uid="{E1DEFE09-FFAD-4962-9D78-76F39D2045B9}"/>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8316367F-C150-4FEE-AAC2-923204061D80}"/>
    <cellStyle name="Normal 8 2 2 2 2 6 2 3" xfId="12876" xr:uid="{C4F19AD9-1387-454F-BFF6-D59CA9FCED89}"/>
    <cellStyle name="Normal 8 2 2 2 2 6 3" xfId="6499" xr:uid="{00000000-0005-0000-0000-00001A1C0000}"/>
    <cellStyle name="Normal 8 2 2 2 2 6 3 2" xfId="14949" xr:uid="{844162CF-A403-4F69-A322-BEFB8339B895}"/>
    <cellStyle name="Normal 8 2 2 2 2 6 4" xfId="10731" xr:uid="{40DD99A2-DA50-4F9B-8F67-7EA5FB564A20}"/>
    <cellStyle name="Normal 8 2 2 2 2 7" xfId="2629" xr:uid="{00000000-0005-0000-0000-00001B1C0000}"/>
    <cellStyle name="Normal 8 2 2 2 2 7 2" xfId="6912" xr:uid="{00000000-0005-0000-0000-00001C1C0000}"/>
    <cellStyle name="Normal 8 2 2 2 2 7 2 2" xfId="15362" xr:uid="{11238AE6-6707-49E6-9ECB-BA6983018BB9}"/>
    <cellStyle name="Normal 8 2 2 2 2 7 3" xfId="11144" xr:uid="{727A21E0-97EF-4CA2-9FD5-AEE53A620F1D}"/>
    <cellStyle name="Normal 8 2 2 2 2 8" xfId="4847" xr:uid="{00000000-0005-0000-0000-00001D1C0000}"/>
    <cellStyle name="Normal 8 2 2 2 2 8 2" xfId="13297" xr:uid="{980E6E33-110B-489D-8DA4-7F0A67592311}"/>
    <cellStyle name="Normal 8 2 2 2 2 9" xfId="9079" xr:uid="{317CCF66-289A-47F3-B1CD-B9A37CE96828}"/>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A3D7A2F2-3C08-40C3-BA30-7A83AF0B8AEB}"/>
    <cellStyle name="Normal 8 2 2 2 3 2 2 3" xfId="11639" xr:uid="{69A9B5F0-F10A-4DF5-8387-B4CADE791A55}"/>
    <cellStyle name="Normal 8 2 2 2 3 2 3" xfId="5262" xr:uid="{00000000-0005-0000-0000-0000221C0000}"/>
    <cellStyle name="Normal 8 2 2 2 3 2 3 2" xfId="13712" xr:uid="{B8F719D9-F4C6-4574-AE77-4809C4FF6C97}"/>
    <cellStyle name="Normal 8 2 2 2 3 2 4" xfId="9494" xr:uid="{F2B688A4-C513-41E0-82BB-79B190E282A9}"/>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90389A57-89AD-4433-9917-1097A04C4C7D}"/>
    <cellStyle name="Normal 8 2 2 2 3 3 2 3" xfId="12052" xr:uid="{81F06443-0991-4383-BD16-B1AA29D4837D}"/>
    <cellStyle name="Normal 8 2 2 2 3 3 3" xfId="5675" xr:uid="{00000000-0005-0000-0000-0000261C0000}"/>
    <cellStyle name="Normal 8 2 2 2 3 3 3 2" xfId="14125" xr:uid="{2FA70571-59EC-4E4E-98D4-08301D855604}"/>
    <cellStyle name="Normal 8 2 2 2 3 3 4" xfId="9907" xr:uid="{0390BAEC-E712-4358-B286-3E58571B52DA}"/>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7644C3A5-1DED-4D53-8317-2B10173AB669}"/>
    <cellStyle name="Normal 8 2 2 2 3 4 2 3" xfId="12465" xr:uid="{C259F12F-6056-4A9F-9464-11AE78923B7B}"/>
    <cellStyle name="Normal 8 2 2 2 3 4 3" xfId="6088" xr:uid="{00000000-0005-0000-0000-00002A1C0000}"/>
    <cellStyle name="Normal 8 2 2 2 3 4 3 2" xfId="14538" xr:uid="{9D48C6E2-62E2-426C-B0A2-FC43E174E5AA}"/>
    <cellStyle name="Normal 8 2 2 2 3 4 4" xfId="10320" xr:uid="{7EA26A29-AFAB-4911-930F-B83CDD0CF733}"/>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DCF50788-F54D-4379-A340-550D2FA18880}"/>
    <cellStyle name="Normal 8 2 2 2 3 5 2 3" xfId="12878" xr:uid="{E2C665D3-D5AE-47E4-9387-2E4F44690BBA}"/>
    <cellStyle name="Normal 8 2 2 2 3 5 3" xfId="6501" xr:uid="{00000000-0005-0000-0000-00002E1C0000}"/>
    <cellStyle name="Normal 8 2 2 2 3 5 3 2" xfId="14951" xr:uid="{33B3528F-E4F9-4F4A-B859-C3E11B43BCC7}"/>
    <cellStyle name="Normal 8 2 2 2 3 5 4" xfId="10733" xr:uid="{D41AD5D3-19CC-4618-B7D9-20969DA22355}"/>
    <cellStyle name="Normal 8 2 2 2 3 6" xfId="2631" xr:uid="{00000000-0005-0000-0000-00002F1C0000}"/>
    <cellStyle name="Normal 8 2 2 2 3 6 2" xfId="6914" xr:uid="{00000000-0005-0000-0000-0000301C0000}"/>
    <cellStyle name="Normal 8 2 2 2 3 6 2 2" xfId="15364" xr:uid="{C80EFECF-4514-42D2-815A-4F9ACDDECB79}"/>
    <cellStyle name="Normal 8 2 2 2 3 6 3" xfId="11146" xr:uid="{B66018C8-7B54-499A-A2C5-82075768EF25}"/>
    <cellStyle name="Normal 8 2 2 2 3 7" xfId="4849" xr:uid="{00000000-0005-0000-0000-0000311C0000}"/>
    <cellStyle name="Normal 8 2 2 2 3 7 2" xfId="13299" xr:uid="{74C84634-370D-4B5A-9543-D82F1A6E1BA0}"/>
    <cellStyle name="Normal 8 2 2 2 3 8" xfId="9081" xr:uid="{C98A07A5-251D-4988-A6BC-3E78086F2DB5}"/>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F129027E-691C-4B72-84CE-ED329EEC7717}"/>
    <cellStyle name="Normal 8 2 2 2 4 2 3" xfId="11636" xr:uid="{70E498BD-F49F-4907-828D-A4AAF62B5BC4}"/>
    <cellStyle name="Normal 8 2 2 2 4 3" xfId="5259" xr:uid="{00000000-0005-0000-0000-0000351C0000}"/>
    <cellStyle name="Normal 8 2 2 2 4 3 2" xfId="13709" xr:uid="{EA0DA31F-F937-4AED-B1F5-B536604B7901}"/>
    <cellStyle name="Normal 8 2 2 2 4 4" xfId="9491" xr:uid="{FF4B61B6-130A-4401-B852-B5E57B71D5B7}"/>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F4D28C69-3E9E-443F-AABC-DD2881796749}"/>
    <cellStyle name="Normal 8 2 2 2 5 2 3" xfId="12049" xr:uid="{2E0CA8F3-4CD4-407C-BA17-076C0895A004}"/>
    <cellStyle name="Normal 8 2 2 2 5 3" xfId="5672" xr:uid="{00000000-0005-0000-0000-0000391C0000}"/>
    <cellStyle name="Normal 8 2 2 2 5 3 2" xfId="14122" xr:uid="{47CFA963-99FF-49ED-AA24-773FD7D32EF9}"/>
    <cellStyle name="Normal 8 2 2 2 5 4" xfId="9904" xr:uid="{6BD2566C-71F2-43CA-9FBF-705C8E96B095}"/>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19211EDE-7D17-484B-BB7C-F2AC1065ACBD}"/>
    <cellStyle name="Normal 8 2 2 2 6 2 3" xfId="12462" xr:uid="{C4952065-7A43-44E0-BF50-6F05C2FC1F60}"/>
    <cellStyle name="Normal 8 2 2 2 6 3" xfId="6085" xr:uid="{00000000-0005-0000-0000-00003D1C0000}"/>
    <cellStyle name="Normal 8 2 2 2 6 3 2" xfId="14535" xr:uid="{A5CE508D-82D1-4754-8B46-4AED3AA06959}"/>
    <cellStyle name="Normal 8 2 2 2 6 4" xfId="10317" xr:uid="{BB773EEC-8E4E-4002-8A9E-E76A34B672D7}"/>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6DD0802C-FC9F-4FD3-AC07-CFE5EE2E974E}"/>
    <cellStyle name="Normal 8 2 2 2 7 2 3" xfId="12875" xr:uid="{EA133399-5738-4AAB-9E9E-FBDA162180D6}"/>
    <cellStyle name="Normal 8 2 2 2 7 3" xfId="6498" xr:uid="{00000000-0005-0000-0000-0000411C0000}"/>
    <cellStyle name="Normal 8 2 2 2 7 3 2" xfId="14948" xr:uid="{43AAB2F8-6578-4CD9-B331-E146B9CC7B6B}"/>
    <cellStyle name="Normal 8 2 2 2 7 4" xfId="10730" xr:uid="{6F1A57CD-D9B0-49DB-9464-5A1B15A905CB}"/>
    <cellStyle name="Normal 8 2 2 2 8" xfId="2628" xr:uid="{00000000-0005-0000-0000-0000421C0000}"/>
    <cellStyle name="Normal 8 2 2 2 8 2" xfId="6911" xr:uid="{00000000-0005-0000-0000-0000431C0000}"/>
    <cellStyle name="Normal 8 2 2 2 8 2 2" xfId="15361" xr:uid="{E4E18610-3984-47DD-B89A-256CEF13608B}"/>
    <cellStyle name="Normal 8 2 2 2 8 3" xfId="11143" xr:uid="{1E60B55A-43B8-431F-AEFE-1B119B0C98CF}"/>
    <cellStyle name="Normal 8 2 2 2 9" xfId="4846" xr:uid="{00000000-0005-0000-0000-0000441C0000}"/>
    <cellStyle name="Normal 8 2 2 2 9 2" xfId="13296" xr:uid="{0E1C4B41-95C7-4365-A71F-9C62239FDEAE}"/>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93CFE996-A3B5-4307-B845-82AA2B7376E4}"/>
    <cellStyle name="Normal 8 2 2 3 2 2 2 3" xfId="11641" xr:uid="{178C4AA5-748B-4F9C-B145-FE2B0E4D6BD1}"/>
    <cellStyle name="Normal 8 2 2 3 2 2 3" xfId="5264" xr:uid="{00000000-0005-0000-0000-00004A1C0000}"/>
    <cellStyle name="Normal 8 2 2 3 2 2 3 2" xfId="13714" xr:uid="{9C250853-3ED6-4261-9A74-72A03E8B5191}"/>
    <cellStyle name="Normal 8 2 2 3 2 2 4" xfId="9496" xr:uid="{8943E740-50DD-45AC-979D-F183BF72D892}"/>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D9CDED18-6BED-4668-AE30-D18063821C69}"/>
    <cellStyle name="Normal 8 2 2 3 2 3 2 3" xfId="12054" xr:uid="{F109946A-7FAD-49CA-8025-92C0E2B18239}"/>
    <cellStyle name="Normal 8 2 2 3 2 3 3" xfId="5677" xr:uid="{00000000-0005-0000-0000-00004E1C0000}"/>
    <cellStyle name="Normal 8 2 2 3 2 3 3 2" xfId="14127" xr:uid="{7FF75D4B-9502-42A8-AAFE-2DAD28346966}"/>
    <cellStyle name="Normal 8 2 2 3 2 3 4" xfId="9909" xr:uid="{EAE53D09-AD27-4CD4-8FD9-6C68FA39947A}"/>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020052DD-0F7D-4DB4-B230-7F6ABE8DF159}"/>
    <cellStyle name="Normal 8 2 2 3 2 4 2 3" xfId="12467" xr:uid="{FBE130E7-0F9B-4FA1-9D2A-9CC31B5A9CFF}"/>
    <cellStyle name="Normal 8 2 2 3 2 4 3" xfId="6090" xr:uid="{00000000-0005-0000-0000-0000521C0000}"/>
    <cellStyle name="Normal 8 2 2 3 2 4 3 2" xfId="14540" xr:uid="{15DCA66A-B2D1-40E1-A1DD-5049B61D92FD}"/>
    <cellStyle name="Normal 8 2 2 3 2 4 4" xfId="10322" xr:uid="{B424FBA6-3F34-4DCB-A4A2-2E3A2F5599E9}"/>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32CBE7A8-BAF4-4653-9A7E-A8FC096A88EB}"/>
    <cellStyle name="Normal 8 2 2 3 2 5 2 3" xfId="12880" xr:uid="{07B573EC-266F-4B62-BB16-3E23AAD51925}"/>
    <cellStyle name="Normal 8 2 2 3 2 5 3" xfId="6503" xr:uid="{00000000-0005-0000-0000-0000561C0000}"/>
    <cellStyle name="Normal 8 2 2 3 2 5 3 2" xfId="14953" xr:uid="{777C25D9-7386-4E49-8D40-446D8DA258A7}"/>
    <cellStyle name="Normal 8 2 2 3 2 5 4" xfId="10735" xr:uid="{AE5799EC-0DFB-4B3E-B671-E0069E9C0A1E}"/>
    <cellStyle name="Normal 8 2 2 3 2 6" xfId="2633" xr:uid="{00000000-0005-0000-0000-0000571C0000}"/>
    <cellStyle name="Normal 8 2 2 3 2 6 2" xfId="6916" xr:uid="{00000000-0005-0000-0000-0000581C0000}"/>
    <cellStyle name="Normal 8 2 2 3 2 6 2 2" xfId="15366" xr:uid="{17D0BDEA-135C-4FD0-AC67-043B684C5C0E}"/>
    <cellStyle name="Normal 8 2 2 3 2 6 3" xfId="11148" xr:uid="{DBB46DCE-CD13-4CD3-BF4A-4ADEDB8922F0}"/>
    <cellStyle name="Normal 8 2 2 3 2 7" xfId="4851" xr:uid="{00000000-0005-0000-0000-0000591C0000}"/>
    <cellStyle name="Normal 8 2 2 3 2 7 2" xfId="13301" xr:uid="{2AF83721-C14A-411C-988A-0A9EDCB07D2D}"/>
    <cellStyle name="Normal 8 2 2 3 2 8" xfId="9083" xr:uid="{0FAE3E97-DFE3-43B3-8E6B-F30E79887E7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0592FAA5-698A-402F-ADAB-892E1889EE4B}"/>
    <cellStyle name="Normal 8 2 2 3 3 2 3" xfId="11640" xr:uid="{731DD39F-ADB4-45D3-897F-238EEB6BBE9C}"/>
    <cellStyle name="Normal 8 2 2 3 3 3" xfId="5263" xr:uid="{00000000-0005-0000-0000-00005D1C0000}"/>
    <cellStyle name="Normal 8 2 2 3 3 3 2" xfId="13713" xr:uid="{C6440F55-53D6-4470-919D-BF500D38D78F}"/>
    <cellStyle name="Normal 8 2 2 3 3 4" xfId="9495" xr:uid="{4DEAA65B-7247-4674-9FB8-087A1070EFE2}"/>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BA500C94-2A10-4265-A3E6-B30FCBC09443}"/>
    <cellStyle name="Normal 8 2 2 3 4 2 3" xfId="12053" xr:uid="{9E6BB1FC-D8B9-4F89-A6C9-4BC5464E5E1A}"/>
    <cellStyle name="Normal 8 2 2 3 4 3" xfId="5676" xr:uid="{00000000-0005-0000-0000-0000611C0000}"/>
    <cellStyle name="Normal 8 2 2 3 4 3 2" xfId="14126" xr:uid="{FAE5D291-87CA-4203-8F84-82E65E6AFD02}"/>
    <cellStyle name="Normal 8 2 2 3 4 4" xfId="9908" xr:uid="{7FC5DA1E-3301-4A75-BAB0-8D858F6C970C}"/>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A91EC067-19B6-43E8-8578-DC2AA2BEA324}"/>
    <cellStyle name="Normal 8 2 2 3 5 2 3" xfId="12466" xr:uid="{4E5B3159-93C1-4332-A077-BE63C6A2EDEA}"/>
    <cellStyle name="Normal 8 2 2 3 5 3" xfId="6089" xr:uid="{00000000-0005-0000-0000-0000651C0000}"/>
    <cellStyle name="Normal 8 2 2 3 5 3 2" xfId="14539" xr:uid="{401CD7FB-2E3C-4E2F-B322-623068B8A60A}"/>
    <cellStyle name="Normal 8 2 2 3 5 4" xfId="10321" xr:uid="{44048B54-EF13-4A1F-B77E-C38CB1EB941D}"/>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D8ECAEFD-DE17-40E0-9D10-CBBB2025F0B3}"/>
    <cellStyle name="Normal 8 2 2 3 6 2 3" xfId="12879" xr:uid="{399CCEED-AB76-466D-ADC4-827E5A12717D}"/>
    <cellStyle name="Normal 8 2 2 3 6 3" xfId="6502" xr:uid="{00000000-0005-0000-0000-0000691C0000}"/>
    <cellStyle name="Normal 8 2 2 3 6 3 2" xfId="14952" xr:uid="{C323FC6C-8401-4766-9381-D071ADDAF957}"/>
    <cellStyle name="Normal 8 2 2 3 6 4" xfId="10734" xr:uid="{73AC334E-0146-4B10-883C-28B4B63CB281}"/>
    <cellStyle name="Normal 8 2 2 3 7" xfId="2632" xr:uid="{00000000-0005-0000-0000-00006A1C0000}"/>
    <cellStyle name="Normal 8 2 2 3 7 2" xfId="6915" xr:uid="{00000000-0005-0000-0000-00006B1C0000}"/>
    <cellStyle name="Normal 8 2 2 3 7 2 2" xfId="15365" xr:uid="{3369337B-9C6A-4482-AA40-E6966DCB9E30}"/>
    <cellStyle name="Normal 8 2 2 3 7 3" xfId="11147" xr:uid="{1201C7F5-139A-40F5-B5B4-B950E4D591CE}"/>
    <cellStyle name="Normal 8 2 2 3 8" xfId="4850" xr:uid="{00000000-0005-0000-0000-00006C1C0000}"/>
    <cellStyle name="Normal 8 2 2 3 8 2" xfId="13300" xr:uid="{191DA88D-A1F1-4774-B18C-04F633FCABB0}"/>
    <cellStyle name="Normal 8 2 2 3 9" xfId="9082" xr:uid="{4F535474-9336-4CEB-8FEF-45F9F270D1FA}"/>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D4A58993-025C-4194-8C29-2EEDF948BEA3}"/>
    <cellStyle name="Normal 8 2 2 4 2 2 3" xfId="11642" xr:uid="{48CDCC41-554E-482B-B714-C755E5A5462B}"/>
    <cellStyle name="Normal 8 2 2 4 2 3" xfId="5265" xr:uid="{00000000-0005-0000-0000-0000711C0000}"/>
    <cellStyle name="Normal 8 2 2 4 2 3 2" xfId="13715" xr:uid="{59BC5662-1F59-4918-946A-E96858BC6E32}"/>
    <cellStyle name="Normal 8 2 2 4 2 4" xfId="9497" xr:uid="{1C78039B-E493-438A-9827-05770812EF19}"/>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D59F22FF-4B33-40E3-903B-A0A19426C48B}"/>
    <cellStyle name="Normal 8 2 2 4 3 2 3" xfId="12055" xr:uid="{3D8FFEA7-E02D-40E1-A723-E55DC200EFF8}"/>
    <cellStyle name="Normal 8 2 2 4 3 3" xfId="5678" xr:uid="{00000000-0005-0000-0000-0000751C0000}"/>
    <cellStyle name="Normal 8 2 2 4 3 3 2" xfId="14128" xr:uid="{8D2CB85D-801F-4270-AB0D-FED254CB9265}"/>
    <cellStyle name="Normal 8 2 2 4 3 4" xfId="9910" xr:uid="{78FDA785-C73B-445E-AE81-6C575B5FAB9B}"/>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A8207573-BF81-43D5-B8E9-960F4BE7B3D2}"/>
    <cellStyle name="Normal 8 2 2 4 4 2 3" xfId="12468" xr:uid="{B964C24E-B49E-49DA-982F-F220A596A3CB}"/>
    <cellStyle name="Normal 8 2 2 4 4 3" xfId="6091" xr:uid="{00000000-0005-0000-0000-0000791C0000}"/>
    <cellStyle name="Normal 8 2 2 4 4 3 2" xfId="14541" xr:uid="{6AB86A7D-9E5C-47A4-BEB0-1F56F9D8A3B6}"/>
    <cellStyle name="Normal 8 2 2 4 4 4" xfId="10323" xr:uid="{7186EA7C-CB80-4EEE-83D0-D8F6BBD5CD85}"/>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96B9E573-798D-40D1-8738-F1F5E55ADCA7}"/>
    <cellStyle name="Normal 8 2 2 4 5 2 3" xfId="12881" xr:uid="{B3BC9EA9-64FB-48A9-B672-0B418C22A484}"/>
    <cellStyle name="Normal 8 2 2 4 5 3" xfId="6504" xr:uid="{00000000-0005-0000-0000-00007D1C0000}"/>
    <cellStyle name="Normal 8 2 2 4 5 3 2" xfId="14954" xr:uid="{D5124E75-8E3E-446C-886D-2F5455E73897}"/>
    <cellStyle name="Normal 8 2 2 4 5 4" xfId="10736" xr:uid="{7EDC56BC-4F49-4F18-BB13-BED1BA79D83B}"/>
    <cellStyle name="Normal 8 2 2 4 6" xfId="2634" xr:uid="{00000000-0005-0000-0000-00007E1C0000}"/>
    <cellStyle name="Normal 8 2 2 4 6 2" xfId="6917" xr:uid="{00000000-0005-0000-0000-00007F1C0000}"/>
    <cellStyle name="Normal 8 2 2 4 6 2 2" xfId="15367" xr:uid="{80DE9B69-4411-4FF6-AC65-8FDF6213E9BB}"/>
    <cellStyle name="Normal 8 2 2 4 6 3" xfId="11149" xr:uid="{6F1B2B15-D8B4-445C-AACB-2ABE70649385}"/>
    <cellStyle name="Normal 8 2 2 4 7" xfId="4852" xr:uid="{00000000-0005-0000-0000-0000801C0000}"/>
    <cellStyle name="Normal 8 2 2 4 7 2" xfId="13302" xr:uid="{952A41C4-FC13-464D-B77E-98A19B614BDC}"/>
    <cellStyle name="Normal 8 2 2 4 8" xfId="9084" xr:uid="{7BC23AAD-C9A6-4E0F-941C-FB61CC4015D2}"/>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DCA4865D-B3C2-4724-AEA5-B22C9F206309}"/>
    <cellStyle name="Normal 8 2 2 5 2 3" xfId="11635" xr:uid="{19880D2A-E1E3-4A19-8EE9-AE011CA1991C}"/>
    <cellStyle name="Normal 8 2 2 5 3" xfId="5258" xr:uid="{00000000-0005-0000-0000-0000841C0000}"/>
    <cellStyle name="Normal 8 2 2 5 3 2" xfId="13708" xr:uid="{BE642763-EBB7-48AD-9DFF-DC699E46F607}"/>
    <cellStyle name="Normal 8 2 2 5 4" xfId="9490" xr:uid="{50A586EA-2CE7-4889-BCB6-ACF7099E6C2D}"/>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86CB43A1-C340-40CA-AED7-0AC3B51A0678}"/>
    <cellStyle name="Normal 8 2 2 6 2 3" xfId="12048" xr:uid="{57809BA6-912C-4F5E-BEA9-6A02865B9805}"/>
    <cellStyle name="Normal 8 2 2 6 3" xfId="5671" xr:uid="{00000000-0005-0000-0000-0000881C0000}"/>
    <cellStyle name="Normal 8 2 2 6 3 2" xfId="14121" xr:uid="{286DFB00-23A4-4B78-B990-422370E5D908}"/>
    <cellStyle name="Normal 8 2 2 6 4" xfId="9903" xr:uid="{7CDC12DF-3C6F-42EC-9F93-2E4DDDC38C78}"/>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8FFF48CC-FE89-4B26-A363-51E12E61BD0B}"/>
    <cellStyle name="Normal 8 2 2 7 2 3" xfId="12461" xr:uid="{B52D864B-3CE2-4C5B-9284-834DE29817BB}"/>
    <cellStyle name="Normal 8 2 2 7 3" xfId="6084" xr:uid="{00000000-0005-0000-0000-00008C1C0000}"/>
    <cellStyle name="Normal 8 2 2 7 3 2" xfId="14534" xr:uid="{234BFFE5-9961-4516-A2BC-6C265C3CC752}"/>
    <cellStyle name="Normal 8 2 2 7 4" xfId="10316" xr:uid="{AF525645-8692-478C-A34B-2FDA18D644D8}"/>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1E533471-C372-49A0-9F61-0CE36AF0F8EA}"/>
    <cellStyle name="Normal 8 2 2 8 2 3" xfId="12874" xr:uid="{12B5805C-C20F-44B3-8F5E-E60AB5802715}"/>
    <cellStyle name="Normal 8 2 2 8 3" xfId="6497" xr:uid="{00000000-0005-0000-0000-0000901C0000}"/>
    <cellStyle name="Normal 8 2 2 8 3 2" xfId="14947" xr:uid="{1FB79497-4E69-4729-9456-1B9015A8EB4E}"/>
    <cellStyle name="Normal 8 2 2 8 4" xfId="10729" xr:uid="{03AE5D3B-8317-467A-B9B2-136FEB248920}"/>
    <cellStyle name="Normal 8 2 2 9" xfId="2627" xr:uid="{00000000-0005-0000-0000-0000911C0000}"/>
    <cellStyle name="Normal 8 2 2 9 2" xfId="6910" xr:uid="{00000000-0005-0000-0000-0000921C0000}"/>
    <cellStyle name="Normal 8 2 2 9 2 2" xfId="15360" xr:uid="{3CBFE1C9-CF87-4706-B29D-8B51C1AB56C8}"/>
    <cellStyle name="Normal 8 2 2 9 3" xfId="11142" xr:uid="{E39EEFD3-BBE2-47BB-ABCA-7F0DA07830EB}"/>
    <cellStyle name="Normal 8 2 3" xfId="488" xr:uid="{00000000-0005-0000-0000-0000931C0000}"/>
    <cellStyle name="Normal 8 2 3 10" xfId="9085" xr:uid="{4F29187A-E6D2-4A3B-9E5D-A4806789F5F9}"/>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F3395760-EBAB-4E9F-8BAD-2096C8911CC9}"/>
    <cellStyle name="Normal 8 2 3 2 2 2 2 3" xfId="11645" xr:uid="{79ACDCCB-9898-44A6-BAD9-E19096E515F8}"/>
    <cellStyle name="Normal 8 2 3 2 2 2 3" xfId="5268" xr:uid="{00000000-0005-0000-0000-0000991C0000}"/>
    <cellStyle name="Normal 8 2 3 2 2 2 3 2" xfId="13718" xr:uid="{51416B36-0BAB-4DB8-96FC-57BDCB7FF288}"/>
    <cellStyle name="Normal 8 2 3 2 2 2 4" xfId="9500" xr:uid="{4B8DF251-E818-450F-8512-309AB2980978}"/>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A7131D19-A305-4D41-A676-312F68DF94EA}"/>
    <cellStyle name="Normal 8 2 3 2 2 3 2 3" xfId="12058" xr:uid="{9CC36CC5-E271-4BEA-ABB1-560B5CCA9675}"/>
    <cellStyle name="Normal 8 2 3 2 2 3 3" xfId="5681" xr:uid="{00000000-0005-0000-0000-00009D1C0000}"/>
    <cellStyle name="Normal 8 2 3 2 2 3 3 2" xfId="14131" xr:uid="{A1C99A6A-B60B-44A9-BDA3-505A1C8DB7D7}"/>
    <cellStyle name="Normal 8 2 3 2 2 3 4" xfId="9913" xr:uid="{67DA2D12-035D-4497-BD99-9626F4037213}"/>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50B2DFB9-A099-4C96-821C-222E56E6CC83}"/>
    <cellStyle name="Normal 8 2 3 2 2 4 2 3" xfId="12471" xr:uid="{C977B0E3-FF05-4B1B-8BBF-705C6432B7AA}"/>
    <cellStyle name="Normal 8 2 3 2 2 4 3" xfId="6094" xr:uid="{00000000-0005-0000-0000-0000A11C0000}"/>
    <cellStyle name="Normal 8 2 3 2 2 4 3 2" xfId="14544" xr:uid="{3F9296BA-E651-4BE6-9F63-5A3983125644}"/>
    <cellStyle name="Normal 8 2 3 2 2 4 4" xfId="10326" xr:uid="{974EF48F-8FAA-4D88-8343-6A36607BE56A}"/>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794A96B3-12B1-45B1-BCBE-FA3288B72C43}"/>
    <cellStyle name="Normal 8 2 3 2 2 5 2 3" xfId="12884" xr:uid="{47E6C8C1-8B91-41CB-A6AC-3F4371784542}"/>
    <cellStyle name="Normal 8 2 3 2 2 5 3" xfId="6507" xr:uid="{00000000-0005-0000-0000-0000A51C0000}"/>
    <cellStyle name="Normal 8 2 3 2 2 5 3 2" xfId="14957" xr:uid="{5A6A1929-066A-4F16-B10B-89D09AACDD0C}"/>
    <cellStyle name="Normal 8 2 3 2 2 5 4" xfId="10739" xr:uid="{9B038585-E081-44D9-A251-6F654588FB6E}"/>
    <cellStyle name="Normal 8 2 3 2 2 6" xfId="2637" xr:uid="{00000000-0005-0000-0000-0000A61C0000}"/>
    <cellStyle name="Normal 8 2 3 2 2 6 2" xfId="6920" xr:uid="{00000000-0005-0000-0000-0000A71C0000}"/>
    <cellStyle name="Normal 8 2 3 2 2 6 2 2" xfId="15370" xr:uid="{994079C6-5827-464A-A91E-DFAA63FD36D8}"/>
    <cellStyle name="Normal 8 2 3 2 2 6 3" xfId="11152" xr:uid="{C38A3D54-426C-4092-B7B4-5B93ACFFC61F}"/>
    <cellStyle name="Normal 8 2 3 2 2 7" xfId="4855" xr:uid="{00000000-0005-0000-0000-0000A81C0000}"/>
    <cellStyle name="Normal 8 2 3 2 2 7 2" xfId="13305" xr:uid="{DA7BDBF9-37D4-4F01-A166-01F145E47FE6}"/>
    <cellStyle name="Normal 8 2 3 2 2 8" xfId="9087" xr:uid="{92B9947F-9C11-4D2B-B5B7-292EB271EF2A}"/>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95D5438F-AE9C-45E0-AED4-265F021F85F1}"/>
    <cellStyle name="Normal 8 2 3 2 3 2 3" xfId="11644" xr:uid="{6DD11613-F476-4D01-B8AD-24776477EA13}"/>
    <cellStyle name="Normal 8 2 3 2 3 3" xfId="5267" xr:uid="{00000000-0005-0000-0000-0000AC1C0000}"/>
    <cellStyle name="Normal 8 2 3 2 3 3 2" xfId="13717" xr:uid="{C5B174A4-29CF-4409-B8C5-4691477704B5}"/>
    <cellStyle name="Normal 8 2 3 2 3 4" xfId="9499" xr:uid="{518819FE-C235-451E-B552-20C67B10E059}"/>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92DCCCAE-4F15-44C4-9583-65AAF884E6A3}"/>
    <cellStyle name="Normal 8 2 3 2 4 2 3" xfId="12057" xr:uid="{26A51686-70C3-4B18-8BF6-92D625838595}"/>
    <cellStyle name="Normal 8 2 3 2 4 3" xfId="5680" xr:uid="{00000000-0005-0000-0000-0000B01C0000}"/>
    <cellStyle name="Normal 8 2 3 2 4 3 2" xfId="14130" xr:uid="{A6A7EEB3-3762-4441-98A7-946DEF33546A}"/>
    <cellStyle name="Normal 8 2 3 2 4 4" xfId="9912" xr:uid="{37E15C39-65F5-45A2-BB83-B3A9AC4AE1F1}"/>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6B5308F4-EE8D-4F91-81AF-1E61907C7957}"/>
    <cellStyle name="Normal 8 2 3 2 5 2 3" xfId="12470" xr:uid="{7F7C98B3-0AE6-4240-A288-C9A44707B09B}"/>
    <cellStyle name="Normal 8 2 3 2 5 3" xfId="6093" xr:uid="{00000000-0005-0000-0000-0000B41C0000}"/>
    <cellStyle name="Normal 8 2 3 2 5 3 2" xfId="14543" xr:uid="{AF82F7E5-2776-4BA9-9C86-DD1A53871F0F}"/>
    <cellStyle name="Normal 8 2 3 2 5 4" xfId="10325" xr:uid="{BF345171-0CAE-4385-8C83-C0861C95B64A}"/>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7B4734EC-2159-4D24-83C0-8AD1FBAAD548}"/>
    <cellStyle name="Normal 8 2 3 2 6 2 3" xfId="12883" xr:uid="{588FD77A-E273-41E1-8D9F-8C4B7FE81F2B}"/>
    <cellStyle name="Normal 8 2 3 2 6 3" xfId="6506" xr:uid="{00000000-0005-0000-0000-0000B81C0000}"/>
    <cellStyle name="Normal 8 2 3 2 6 3 2" xfId="14956" xr:uid="{1DED8EDB-3211-4AEE-9E21-EBA3039A5185}"/>
    <cellStyle name="Normal 8 2 3 2 6 4" xfId="10738" xr:uid="{79181F59-9325-428B-84D2-7900980906C2}"/>
    <cellStyle name="Normal 8 2 3 2 7" xfId="2636" xr:uid="{00000000-0005-0000-0000-0000B91C0000}"/>
    <cellStyle name="Normal 8 2 3 2 7 2" xfId="6919" xr:uid="{00000000-0005-0000-0000-0000BA1C0000}"/>
    <cellStyle name="Normal 8 2 3 2 7 2 2" xfId="15369" xr:uid="{C7160618-62FE-404E-A62C-561567A8836F}"/>
    <cellStyle name="Normal 8 2 3 2 7 3" xfId="11151" xr:uid="{183342AD-EC2F-49E2-953E-F58972981868}"/>
    <cellStyle name="Normal 8 2 3 2 8" xfId="4854" xr:uid="{00000000-0005-0000-0000-0000BB1C0000}"/>
    <cellStyle name="Normal 8 2 3 2 8 2" xfId="13304" xr:uid="{A0BE8052-99A1-443C-9AE0-9880A8479F63}"/>
    <cellStyle name="Normal 8 2 3 2 9" xfId="9086" xr:uid="{D03BB74B-D413-4D04-BE78-D882C25E592F}"/>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47811910-5E3A-4571-84D3-D1445AA97E08}"/>
    <cellStyle name="Normal 8 2 3 3 2 2 3" xfId="11646" xr:uid="{9CE9FF71-A401-48F3-9D81-7B43A24C2A18}"/>
    <cellStyle name="Normal 8 2 3 3 2 3" xfId="5269" xr:uid="{00000000-0005-0000-0000-0000C01C0000}"/>
    <cellStyle name="Normal 8 2 3 3 2 3 2" xfId="13719" xr:uid="{02C436A0-8CFD-4FFC-A19B-12E3A0B4E301}"/>
    <cellStyle name="Normal 8 2 3 3 2 4" xfId="9501" xr:uid="{70AEC6D0-1180-4F4C-9B50-CF43EFE111B5}"/>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9B5C5563-4A24-4B24-8B81-F6F66B6579A4}"/>
    <cellStyle name="Normal 8 2 3 3 3 2 3" xfId="12059" xr:uid="{A8A2A4C1-0FE3-4821-854B-69DAE80E1C74}"/>
    <cellStyle name="Normal 8 2 3 3 3 3" xfId="5682" xr:uid="{00000000-0005-0000-0000-0000C41C0000}"/>
    <cellStyle name="Normal 8 2 3 3 3 3 2" xfId="14132" xr:uid="{BDDC7E98-748D-480D-91A4-BDB2C0ACBFFB}"/>
    <cellStyle name="Normal 8 2 3 3 3 4" xfId="9914" xr:uid="{4203EBAD-2D54-48F4-A950-2E51CDAA52B8}"/>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966EB8D3-664E-4795-941B-F3B26E99025C}"/>
    <cellStyle name="Normal 8 2 3 3 4 2 3" xfId="12472" xr:uid="{08636D4D-9E18-4814-B92C-BC3864F89602}"/>
    <cellStyle name="Normal 8 2 3 3 4 3" xfId="6095" xr:uid="{00000000-0005-0000-0000-0000C81C0000}"/>
    <cellStyle name="Normal 8 2 3 3 4 3 2" xfId="14545" xr:uid="{0D65D87D-EA9F-47F6-87D1-37AF40EF3E70}"/>
    <cellStyle name="Normal 8 2 3 3 4 4" xfId="10327" xr:uid="{E5FBE1EC-66CC-4038-89E6-A399286F11FB}"/>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17CE044B-AAD7-458D-8F04-234FAB24FB67}"/>
    <cellStyle name="Normal 8 2 3 3 5 2 3" xfId="12885" xr:uid="{EECE73C9-7EB4-4A06-A8F3-F0CF270AEE07}"/>
    <cellStyle name="Normal 8 2 3 3 5 3" xfId="6508" xr:uid="{00000000-0005-0000-0000-0000CC1C0000}"/>
    <cellStyle name="Normal 8 2 3 3 5 3 2" xfId="14958" xr:uid="{C3AB7EE9-34DC-4F3F-977A-044B1BA3226B}"/>
    <cellStyle name="Normal 8 2 3 3 5 4" xfId="10740" xr:uid="{3C2B2E3C-6800-4A5D-BFAA-F7A3CDF8934E}"/>
    <cellStyle name="Normal 8 2 3 3 6" xfId="2638" xr:uid="{00000000-0005-0000-0000-0000CD1C0000}"/>
    <cellStyle name="Normal 8 2 3 3 6 2" xfId="6921" xr:uid="{00000000-0005-0000-0000-0000CE1C0000}"/>
    <cellStyle name="Normal 8 2 3 3 6 2 2" xfId="15371" xr:uid="{F51EB3C7-465D-4444-A965-5E5277D8E211}"/>
    <cellStyle name="Normal 8 2 3 3 6 3" xfId="11153" xr:uid="{785E23DE-3159-43F3-B07D-628475A4C355}"/>
    <cellStyle name="Normal 8 2 3 3 7" xfId="4856" xr:uid="{00000000-0005-0000-0000-0000CF1C0000}"/>
    <cellStyle name="Normal 8 2 3 3 7 2" xfId="13306" xr:uid="{11ED9C22-4544-4CEF-A3AF-CD6D8A7383A2}"/>
    <cellStyle name="Normal 8 2 3 3 8" xfId="9088" xr:uid="{9C6C9CE8-08AE-4922-9F92-D08E44E01D74}"/>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0C5BDD81-8E98-4E37-AFA9-6BAA1BC3624C}"/>
    <cellStyle name="Normal 8 2 3 4 2 3" xfId="11643" xr:uid="{A5069045-A616-4601-A434-2D515C459ADB}"/>
    <cellStyle name="Normal 8 2 3 4 3" xfId="5266" xr:uid="{00000000-0005-0000-0000-0000D31C0000}"/>
    <cellStyle name="Normal 8 2 3 4 3 2" xfId="13716" xr:uid="{5B25E401-20F1-4BD5-83FA-482CADEA03C6}"/>
    <cellStyle name="Normal 8 2 3 4 4" xfId="9498" xr:uid="{72F8749F-5F91-489E-BAAC-500E28A72CA7}"/>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E7181819-AACD-46F9-9EBE-C1C48B531521}"/>
    <cellStyle name="Normal 8 2 3 5 2 3" xfId="12056" xr:uid="{8FDE4980-CF7C-42E0-89CA-D0231F2F2663}"/>
    <cellStyle name="Normal 8 2 3 5 3" xfId="5679" xr:uid="{00000000-0005-0000-0000-0000D71C0000}"/>
    <cellStyle name="Normal 8 2 3 5 3 2" xfId="14129" xr:uid="{0E1C070E-7CAC-48FB-8229-6EAEF1DDD16A}"/>
    <cellStyle name="Normal 8 2 3 5 4" xfId="9911" xr:uid="{710C1A0C-3936-4A8D-A1D9-5EBE04239F50}"/>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986A2FC0-3CCE-4D07-80A1-C07795E9D5F0}"/>
    <cellStyle name="Normal 8 2 3 6 2 3" xfId="12469" xr:uid="{99F4A302-CEDA-4767-BD41-82032F382B65}"/>
    <cellStyle name="Normal 8 2 3 6 3" xfId="6092" xr:uid="{00000000-0005-0000-0000-0000DB1C0000}"/>
    <cellStyle name="Normal 8 2 3 6 3 2" xfId="14542" xr:uid="{D54453B2-C8DB-483D-AD7A-4C1FCED7BE0C}"/>
    <cellStyle name="Normal 8 2 3 6 4" xfId="10324" xr:uid="{92C099C0-A016-4D00-9182-0ED46FEB9B2D}"/>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0730D050-1271-4151-8143-403A4E8668D8}"/>
    <cellStyle name="Normal 8 2 3 7 2 3" xfId="12882" xr:uid="{09F338C5-F7A0-4E31-B0BF-FA3779C90EB5}"/>
    <cellStyle name="Normal 8 2 3 7 3" xfId="6505" xr:uid="{00000000-0005-0000-0000-0000DF1C0000}"/>
    <cellStyle name="Normal 8 2 3 7 3 2" xfId="14955" xr:uid="{7819940A-1154-4D0B-8EAF-9D758AAA8A72}"/>
    <cellStyle name="Normal 8 2 3 7 4" xfId="10737" xr:uid="{1140BE17-9241-4B28-8256-72AE99BD6740}"/>
    <cellStyle name="Normal 8 2 3 8" xfId="2635" xr:uid="{00000000-0005-0000-0000-0000E01C0000}"/>
    <cellStyle name="Normal 8 2 3 8 2" xfId="6918" xr:uid="{00000000-0005-0000-0000-0000E11C0000}"/>
    <cellStyle name="Normal 8 2 3 8 2 2" xfId="15368" xr:uid="{F2B0E865-5FBC-46DF-AC01-E2C8371556B5}"/>
    <cellStyle name="Normal 8 2 3 8 3" xfId="11150" xr:uid="{F866C71A-8BA6-4434-A584-33355C990D87}"/>
    <cellStyle name="Normal 8 2 3 9" xfId="4853" xr:uid="{00000000-0005-0000-0000-0000E21C0000}"/>
    <cellStyle name="Normal 8 2 3 9 2" xfId="13303" xr:uid="{C01429B4-E614-4729-9C79-8703FE26066B}"/>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E0EBBAA2-925B-4126-BB5F-8477B5545F33}"/>
    <cellStyle name="Normal 8 2 4 2 2 2 3" xfId="11648" xr:uid="{2C242C04-6128-48FD-9C07-8D8F5C1971F8}"/>
    <cellStyle name="Normal 8 2 4 2 2 3" xfId="5271" xr:uid="{00000000-0005-0000-0000-0000E81C0000}"/>
    <cellStyle name="Normal 8 2 4 2 2 3 2" xfId="13721" xr:uid="{1A0950DB-B54E-490F-9C9A-01402665C9B8}"/>
    <cellStyle name="Normal 8 2 4 2 2 4" xfId="9503" xr:uid="{12FCF240-E73B-4397-9F16-5DFC3AAB6D34}"/>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6F60C14B-1844-4E50-8583-7E09673A6A4D}"/>
    <cellStyle name="Normal 8 2 4 2 3 2 3" xfId="12061" xr:uid="{AEF81B6C-C05E-4ECE-A9A9-85D72A58C76D}"/>
    <cellStyle name="Normal 8 2 4 2 3 3" xfId="5684" xr:uid="{00000000-0005-0000-0000-0000EC1C0000}"/>
    <cellStyle name="Normal 8 2 4 2 3 3 2" xfId="14134" xr:uid="{6EAB204C-F111-4EBF-B7A4-FDA829A6C8E8}"/>
    <cellStyle name="Normal 8 2 4 2 3 4" xfId="9916" xr:uid="{8163B01E-C7BD-467A-BE1B-B563D1CE4F7F}"/>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DEA81DC6-24F9-430F-AB46-0F01063EC870}"/>
    <cellStyle name="Normal 8 2 4 2 4 2 3" xfId="12474" xr:uid="{20C98C73-CBA9-4267-8F4C-C53F0EF65984}"/>
    <cellStyle name="Normal 8 2 4 2 4 3" xfId="6097" xr:uid="{00000000-0005-0000-0000-0000F01C0000}"/>
    <cellStyle name="Normal 8 2 4 2 4 3 2" xfId="14547" xr:uid="{522AB951-72ED-41A3-9CAC-E470F4EBC0A1}"/>
    <cellStyle name="Normal 8 2 4 2 4 4" xfId="10329" xr:uid="{3F6CF463-1317-40E2-8F16-75176CE41E79}"/>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CF252887-2640-4E97-8D90-4DF28C373E5E}"/>
    <cellStyle name="Normal 8 2 4 2 5 2 3" xfId="12887" xr:uid="{586AB9BB-CA5E-4B0B-915F-05BFAF359EC5}"/>
    <cellStyle name="Normal 8 2 4 2 5 3" xfId="6510" xr:uid="{00000000-0005-0000-0000-0000F41C0000}"/>
    <cellStyle name="Normal 8 2 4 2 5 3 2" xfId="14960" xr:uid="{1A835066-DB80-4F09-976F-FB3A608B4336}"/>
    <cellStyle name="Normal 8 2 4 2 5 4" xfId="10742" xr:uid="{43AF04E4-958C-4207-B631-2F3DF0C8CFA9}"/>
    <cellStyle name="Normal 8 2 4 2 6" xfId="2640" xr:uid="{00000000-0005-0000-0000-0000F51C0000}"/>
    <cellStyle name="Normal 8 2 4 2 6 2" xfId="6923" xr:uid="{00000000-0005-0000-0000-0000F61C0000}"/>
    <cellStyle name="Normal 8 2 4 2 6 2 2" xfId="15373" xr:uid="{E2AB7DFA-2F7C-4BBD-9C4C-7852BBBAB95E}"/>
    <cellStyle name="Normal 8 2 4 2 6 3" xfId="11155" xr:uid="{F1AFC107-789B-415F-AE46-3E8BB2FFF377}"/>
    <cellStyle name="Normal 8 2 4 2 7" xfId="4858" xr:uid="{00000000-0005-0000-0000-0000F71C0000}"/>
    <cellStyle name="Normal 8 2 4 2 7 2" xfId="13308" xr:uid="{209601C7-5F7B-4604-AF54-F746D54D6FC3}"/>
    <cellStyle name="Normal 8 2 4 2 8" xfId="9090" xr:uid="{E976ACFD-D097-4706-8423-FD477AC52FBB}"/>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0BF50769-064B-44C2-9D06-BD9F287D4831}"/>
    <cellStyle name="Normal 8 2 4 3 2 3" xfId="11647" xr:uid="{F8BB1011-6631-4011-B4A1-3A8B2C23B3FD}"/>
    <cellStyle name="Normal 8 2 4 3 3" xfId="5270" xr:uid="{00000000-0005-0000-0000-0000FB1C0000}"/>
    <cellStyle name="Normal 8 2 4 3 3 2" xfId="13720" xr:uid="{69646721-0269-4239-BEF9-50447151D86D}"/>
    <cellStyle name="Normal 8 2 4 3 4" xfId="9502" xr:uid="{2EAD8E50-A373-4AC3-9F8F-9F45F31D0FBA}"/>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BC42410B-B064-4449-8919-090684FFDBF4}"/>
    <cellStyle name="Normal 8 2 4 4 2 3" xfId="12060" xr:uid="{14A0F72E-3999-458C-9A55-106ACF135F72}"/>
    <cellStyle name="Normal 8 2 4 4 3" xfId="5683" xr:uid="{00000000-0005-0000-0000-0000FF1C0000}"/>
    <cellStyle name="Normal 8 2 4 4 3 2" xfId="14133" xr:uid="{938F9EB9-3950-4953-8FF6-EC174D7316C9}"/>
    <cellStyle name="Normal 8 2 4 4 4" xfId="9915" xr:uid="{AC904C37-1920-4406-B18B-CA58F097955B}"/>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9B17B93E-8BB1-410A-BE60-F644AFA72220}"/>
    <cellStyle name="Normal 8 2 4 5 2 3" xfId="12473" xr:uid="{2335AD1B-AC55-4910-AA29-CCBF18CE61C1}"/>
    <cellStyle name="Normal 8 2 4 5 3" xfId="6096" xr:uid="{00000000-0005-0000-0000-0000031D0000}"/>
    <cellStyle name="Normal 8 2 4 5 3 2" xfId="14546" xr:uid="{3BDBE980-7347-4E85-99A7-C72AA903B1A8}"/>
    <cellStyle name="Normal 8 2 4 5 4" xfId="10328" xr:uid="{AD07F91E-BAAE-4710-8B5D-A1E09E61C78F}"/>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AE3170A5-24E0-40EA-BD53-0C4A4E21FC7E}"/>
    <cellStyle name="Normal 8 2 4 6 2 3" xfId="12886" xr:uid="{BEE92DE6-2353-474F-B751-FD3398F9A514}"/>
    <cellStyle name="Normal 8 2 4 6 3" xfId="6509" xr:uid="{00000000-0005-0000-0000-0000071D0000}"/>
    <cellStyle name="Normal 8 2 4 6 3 2" xfId="14959" xr:uid="{79D0427C-7566-4CB7-88A9-1A44C824B499}"/>
    <cellStyle name="Normal 8 2 4 6 4" xfId="10741" xr:uid="{DCDC5674-7B98-43C7-A755-D1716667E95D}"/>
    <cellStyle name="Normal 8 2 4 7" xfId="2639" xr:uid="{00000000-0005-0000-0000-0000081D0000}"/>
    <cellStyle name="Normal 8 2 4 7 2" xfId="6922" xr:uid="{00000000-0005-0000-0000-0000091D0000}"/>
    <cellStyle name="Normal 8 2 4 7 2 2" xfId="15372" xr:uid="{3CFAC7B3-81CA-4B97-A887-A0C8FCFD70E6}"/>
    <cellStyle name="Normal 8 2 4 7 3" xfId="11154" xr:uid="{8F7C46BB-EBC0-4613-B6AE-131AD94D4392}"/>
    <cellStyle name="Normal 8 2 4 8" xfId="4857" xr:uid="{00000000-0005-0000-0000-00000A1D0000}"/>
    <cellStyle name="Normal 8 2 4 8 2" xfId="13307" xr:uid="{5BDF5448-2FD9-48FA-A963-CF62472E979B}"/>
    <cellStyle name="Normal 8 2 4 9" xfId="9089" xr:uid="{9C7DE98A-5851-4D6E-9502-C6CD60C3081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AE4E5DD7-35AF-48D9-B3BF-AFC22B45E8BA}"/>
    <cellStyle name="Normal 8 2 5 2 2 3" xfId="11649" xr:uid="{35B4B516-C40B-4CE9-AABC-255AB7339BE9}"/>
    <cellStyle name="Normal 8 2 5 2 3" xfId="5272" xr:uid="{00000000-0005-0000-0000-00000F1D0000}"/>
    <cellStyle name="Normal 8 2 5 2 3 2" xfId="13722" xr:uid="{CFF1C3A4-4D26-4DD6-9929-014C8053E591}"/>
    <cellStyle name="Normal 8 2 5 2 4" xfId="9504" xr:uid="{75CA456D-2411-4053-BF95-8B723091F066}"/>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6B6A98A4-9D86-4ED3-9429-3CDF450BCC26}"/>
    <cellStyle name="Normal 8 2 5 3 2 3" xfId="12062" xr:uid="{8BCC6F72-3633-4795-A92A-F5AC920B8EC6}"/>
    <cellStyle name="Normal 8 2 5 3 3" xfId="5685" xr:uid="{00000000-0005-0000-0000-0000131D0000}"/>
    <cellStyle name="Normal 8 2 5 3 3 2" xfId="14135" xr:uid="{B9AD05C9-7603-496B-BDBC-AF64F840C900}"/>
    <cellStyle name="Normal 8 2 5 3 4" xfId="9917" xr:uid="{2C1E46C3-57D2-40A7-98C2-75F3AA9A2196}"/>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1AD4BC69-9A3F-40FB-A62F-FAE6823738C2}"/>
    <cellStyle name="Normal 8 2 5 4 2 3" xfId="12475" xr:uid="{7F56E578-E2AB-43A1-BDCA-6918095988B6}"/>
    <cellStyle name="Normal 8 2 5 4 3" xfId="6098" xr:uid="{00000000-0005-0000-0000-0000171D0000}"/>
    <cellStyle name="Normal 8 2 5 4 3 2" xfId="14548" xr:uid="{3F5D285D-CCAE-4D8F-8FD2-A8E969BE1D75}"/>
    <cellStyle name="Normal 8 2 5 4 4" xfId="10330" xr:uid="{ED5456EE-FE9D-46DA-AF07-701AF03FA996}"/>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5859BB6E-83F8-464B-869A-D9BDAF7BFF9E}"/>
    <cellStyle name="Normal 8 2 5 5 2 3" xfId="12888" xr:uid="{96799AFB-0E9C-497E-B5B0-629D97C31A46}"/>
    <cellStyle name="Normal 8 2 5 5 3" xfId="6511" xr:uid="{00000000-0005-0000-0000-00001B1D0000}"/>
    <cellStyle name="Normal 8 2 5 5 3 2" xfId="14961" xr:uid="{7BBFC241-7FEA-41DB-BC45-4B813C5A48B8}"/>
    <cellStyle name="Normal 8 2 5 5 4" xfId="10743" xr:uid="{E4E3FE8D-A89D-4E9B-A19B-C44006B80CF2}"/>
    <cellStyle name="Normal 8 2 5 6" xfId="2641" xr:uid="{00000000-0005-0000-0000-00001C1D0000}"/>
    <cellStyle name="Normal 8 2 5 6 2" xfId="6924" xr:uid="{00000000-0005-0000-0000-00001D1D0000}"/>
    <cellStyle name="Normal 8 2 5 6 2 2" xfId="15374" xr:uid="{6D6A484A-663B-4ADE-B214-F436FDCDB78C}"/>
    <cellStyle name="Normal 8 2 5 6 3" xfId="11156" xr:uid="{680CA25A-470D-4F87-ADF3-39B301266354}"/>
    <cellStyle name="Normal 8 2 5 7" xfId="4859" xr:uid="{00000000-0005-0000-0000-00001E1D0000}"/>
    <cellStyle name="Normal 8 2 5 7 2" xfId="13309" xr:uid="{786BD71D-A97C-4B8A-B32D-3B3FCE01806F}"/>
    <cellStyle name="Normal 8 2 5 8" xfId="9091" xr:uid="{432B06A1-0A93-4E4D-A59A-35A367247E21}"/>
    <cellStyle name="Normal 8 2 6" xfId="946" xr:uid="{00000000-0005-0000-0000-00001F1D0000}"/>
    <cellStyle name="Normal 8 2 6 2" xfId="3180" xr:uid="{00000000-0005-0000-0000-0000201D0000}"/>
    <cellStyle name="Normal 8 2 6 2 2" xfId="7402" xr:uid="{00000000-0005-0000-0000-0000211D0000}"/>
    <cellStyle name="Normal 8 2 6 2 2 2" xfId="15852" xr:uid="{C060E4D8-AEE7-4487-B5F1-05F57B51C5CF}"/>
    <cellStyle name="Normal 8 2 6 2 3" xfId="11634" xr:uid="{9187CA44-244F-41AC-9CD4-7BE4034549A8}"/>
    <cellStyle name="Normal 8 2 6 3" xfId="5257" xr:uid="{00000000-0005-0000-0000-0000221D0000}"/>
    <cellStyle name="Normal 8 2 6 3 2" xfId="13707" xr:uid="{979EF9A9-62F9-4311-9901-838A3BBB188E}"/>
    <cellStyle name="Normal 8 2 6 4" xfId="9489" xr:uid="{71A9C42F-3EEF-4547-A793-E88CEF46AF92}"/>
    <cellStyle name="Normal 8 2 7" xfId="1363" xr:uid="{00000000-0005-0000-0000-0000231D0000}"/>
    <cellStyle name="Normal 8 2 7 2" xfId="3593" xr:uid="{00000000-0005-0000-0000-0000241D0000}"/>
    <cellStyle name="Normal 8 2 7 2 2" xfId="7815" xr:uid="{00000000-0005-0000-0000-0000251D0000}"/>
    <cellStyle name="Normal 8 2 7 2 2 2" xfId="16265" xr:uid="{DDB2D0AC-8AC0-4748-AC78-F2351B10C843}"/>
    <cellStyle name="Normal 8 2 7 2 3" xfId="12047" xr:uid="{883B7FD1-A542-4A5D-B8D8-66B03790373E}"/>
    <cellStyle name="Normal 8 2 7 3" xfId="5670" xr:uid="{00000000-0005-0000-0000-0000261D0000}"/>
    <cellStyle name="Normal 8 2 7 3 2" xfId="14120" xr:uid="{CA680B18-C805-4483-8673-DF843FC32A91}"/>
    <cellStyle name="Normal 8 2 7 4" xfId="9902" xr:uid="{39DE0A99-E6D9-46EC-98EE-21C639AC8D1D}"/>
    <cellStyle name="Normal 8 2 8" xfId="1776" xr:uid="{00000000-0005-0000-0000-0000271D0000}"/>
    <cellStyle name="Normal 8 2 8 2" xfId="4006" xr:uid="{00000000-0005-0000-0000-0000281D0000}"/>
    <cellStyle name="Normal 8 2 8 2 2" xfId="8228" xr:uid="{00000000-0005-0000-0000-0000291D0000}"/>
    <cellStyle name="Normal 8 2 8 2 2 2" xfId="16678" xr:uid="{A9CDBCD5-3578-489A-8C73-4D022FBC480F}"/>
    <cellStyle name="Normal 8 2 8 2 3" xfId="12460" xr:uid="{F732D709-FB45-4EE7-B892-318A03E8F85E}"/>
    <cellStyle name="Normal 8 2 8 3" xfId="6083" xr:uid="{00000000-0005-0000-0000-00002A1D0000}"/>
    <cellStyle name="Normal 8 2 8 3 2" xfId="14533" xr:uid="{1EBAAE06-F192-4EBA-A7D2-12B0437D8ECA}"/>
    <cellStyle name="Normal 8 2 8 4" xfId="10315" xr:uid="{3E082036-0FCE-481C-8F6D-475CF7F5DE7A}"/>
    <cellStyle name="Normal 8 2 9" xfId="2190" xr:uid="{00000000-0005-0000-0000-00002B1D0000}"/>
    <cellStyle name="Normal 8 2 9 2" xfId="4419" xr:uid="{00000000-0005-0000-0000-00002C1D0000}"/>
    <cellStyle name="Normal 8 2 9 2 2" xfId="8641" xr:uid="{00000000-0005-0000-0000-00002D1D0000}"/>
    <cellStyle name="Normal 8 2 9 2 2 2" xfId="17091" xr:uid="{788AA76B-BA33-47D6-BD09-9C0DC5D916B2}"/>
    <cellStyle name="Normal 8 2 9 2 3" xfId="12873" xr:uid="{4BD39141-7A48-4D6D-9940-169AF96744B9}"/>
    <cellStyle name="Normal 8 2 9 3" xfId="6496" xr:uid="{00000000-0005-0000-0000-00002E1D0000}"/>
    <cellStyle name="Normal 8 2 9 3 2" xfId="14946" xr:uid="{A9281E9D-6478-4B67-99F7-1DAF098A7AAE}"/>
    <cellStyle name="Normal 8 2 9 4" xfId="10728" xr:uid="{65B20AF6-FFB1-49EB-BBDD-A18E0B8A2987}"/>
    <cellStyle name="Normal 8 3" xfId="495" xr:uid="{00000000-0005-0000-0000-00002F1D0000}"/>
    <cellStyle name="Normal 8 3 10" xfId="4860" xr:uid="{00000000-0005-0000-0000-0000301D0000}"/>
    <cellStyle name="Normal 8 3 10 2" xfId="13310" xr:uid="{1A7B7F29-9E24-4826-AB3C-0505A70E233F}"/>
    <cellStyle name="Normal 8 3 11" xfId="9092" xr:uid="{0A928FC7-DA7D-495E-A085-8A09570D4F30}"/>
    <cellStyle name="Normal 8 3 2" xfId="496" xr:uid="{00000000-0005-0000-0000-0000311D0000}"/>
    <cellStyle name="Normal 8 3 2 10" xfId="9093" xr:uid="{CC35EDBE-33A9-43BB-8D64-12353FC8831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BECA79FB-428C-4FCB-9AA9-5F0802221507}"/>
    <cellStyle name="Normal 8 3 2 2 2 2 2 3" xfId="11653" xr:uid="{8E77F3F4-A6E8-4FAF-A91E-8DCE549B9A25}"/>
    <cellStyle name="Normal 8 3 2 2 2 2 3" xfId="5276" xr:uid="{00000000-0005-0000-0000-0000371D0000}"/>
    <cellStyle name="Normal 8 3 2 2 2 2 3 2" xfId="13726" xr:uid="{7A9082FF-1E89-436F-87A9-F2DDC97F89E3}"/>
    <cellStyle name="Normal 8 3 2 2 2 2 4" xfId="9508" xr:uid="{FD64D2A5-9AB5-49CA-A5FD-20AB5BCABD0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CCB0EB67-0EBD-44F6-AA73-D7F3FA33C4BD}"/>
    <cellStyle name="Normal 8 3 2 2 2 3 2 3" xfId="12066" xr:uid="{A0AADCFA-805E-493F-A1D3-B84D292A0FCD}"/>
    <cellStyle name="Normal 8 3 2 2 2 3 3" xfId="5689" xr:uid="{00000000-0005-0000-0000-00003B1D0000}"/>
    <cellStyle name="Normal 8 3 2 2 2 3 3 2" xfId="14139" xr:uid="{330EBAC5-DE4D-4FA9-9B28-D482079BA7AC}"/>
    <cellStyle name="Normal 8 3 2 2 2 3 4" xfId="9921" xr:uid="{FB63A048-DF97-4319-AFCD-B7C4B57220A4}"/>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C9B15860-D27E-4929-823D-4D83C0526A1C}"/>
    <cellStyle name="Normal 8 3 2 2 2 4 2 3" xfId="12479" xr:uid="{24B55256-649C-4454-9EC9-346594FA0462}"/>
    <cellStyle name="Normal 8 3 2 2 2 4 3" xfId="6102" xr:uid="{00000000-0005-0000-0000-00003F1D0000}"/>
    <cellStyle name="Normal 8 3 2 2 2 4 3 2" xfId="14552" xr:uid="{81F7699A-D990-420C-8EAF-6DAC0E055E9D}"/>
    <cellStyle name="Normal 8 3 2 2 2 4 4" xfId="10334" xr:uid="{16C60215-EC00-40FA-840B-6C17D8DA983C}"/>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13CBAEB6-5072-46EF-AC2F-4C4E4E74B5AA}"/>
    <cellStyle name="Normal 8 3 2 2 2 5 2 3" xfId="12892" xr:uid="{626DAD36-E5AA-4346-A4AB-BB09EF39BF98}"/>
    <cellStyle name="Normal 8 3 2 2 2 5 3" xfId="6515" xr:uid="{00000000-0005-0000-0000-0000431D0000}"/>
    <cellStyle name="Normal 8 3 2 2 2 5 3 2" xfId="14965" xr:uid="{D6D799F7-63B8-49C4-BE31-0BFF1A88EFAF}"/>
    <cellStyle name="Normal 8 3 2 2 2 5 4" xfId="10747" xr:uid="{F4F754BE-B80A-41E3-9684-D6AC78848DCF}"/>
    <cellStyle name="Normal 8 3 2 2 2 6" xfId="2645" xr:uid="{00000000-0005-0000-0000-0000441D0000}"/>
    <cellStyle name="Normal 8 3 2 2 2 6 2" xfId="6928" xr:uid="{00000000-0005-0000-0000-0000451D0000}"/>
    <cellStyle name="Normal 8 3 2 2 2 6 2 2" xfId="15378" xr:uid="{F7DD7649-B77E-4140-9093-B0C18C88DE0D}"/>
    <cellStyle name="Normal 8 3 2 2 2 6 3" xfId="11160" xr:uid="{95B61BBF-A6FF-4B3E-97B4-FD24353DD9B1}"/>
    <cellStyle name="Normal 8 3 2 2 2 7" xfId="4863" xr:uid="{00000000-0005-0000-0000-0000461D0000}"/>
    <cellStyle name="Normal 8 3 2 2 2 7 2" xfId="13313" xr:uid="{DA7663D7-0A0F-4A4D-BD34-D8E4F971C647}"/>
    <cellStyle name="Normal 8 3 2 2 2 8" xfId="9095" xr:uid="{AE71E21A-2F89-44D5-86C1-B691785860DF}"/>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03FFE02C-0FEC-401C-BCE0-A8DB785EED44}"/>
    <cellStyle name="Normal 8 3 2 2 3 2 3" xfId="11652" xr:uid="{13AD63FF-F4A5-4906-9AD5-F15CB3CB93CE}"/>
    <cellStyle name="Normal 8 3 2 2 3 3" xfId="5275" xr:uid="{00000000-0005-0000-0000-00004A1D0000}"/>
    <cellStyle name="Normal 8 3 2 2 3 3 2" xfId="13725" xr:uid="{8B6ADF7D-2242-4B4E-A3E8-C7883E1C14D9}"/>
    <cellStyle name="Normal 8 3 2 2 3 4" xfId="9507" xr:uid="{1B9BA7CC-F6C0-4892-8E58-2D4DBFAF2B2B}"/>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08728F15-6F45-48FC-B740-E6754BC99862}"/>
    <cellStyle name="Normal 8 3 2 2 4 2 3" xfId="12065" xr:uid="{9B6C01FE-770D-4292-B3CC-4BCBDEB4BE99}"/>
    <cellStyle name="Normal 8 3 2 2 4 3" xfId="5688" xr:uid="{00000000-0005-0000-0000-00004E1D0000}"/>
    <cellStyle name="Normal 8 3 2 2 4 3 2" xfId="14138" xr:uid="{A273EE42-07F6-4FCB-A168-1624B1941A1C}"/>
    <cellStyle name="Normal 8 3 2 2 4 4" xfId="9920" xr:uid="{6FBF2B62-31F1-4AA4-BD67-E932F361018F}"/>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D945F6F5-78DF-4AD7-82C7-000E0A2AD78A}"/>
    <cellStyle name="Normal 8 3 2 2 5 2 3" xfId="12478" xr:uid="{18473C56-9D7E-4E77-BEDE-8EEFAF4D7A57}"/>
    <cellStyle name="Normal 8 3 2 2 5 3" xfId="6101" xr:uid="{00000000-0005-0000-0000-0000521D0000}"/>
    <cellStyle name="Normal 8 3 2 2 5 3 2" xfId="14551" xr:uid="{F2244BBF-FA4C-432C-9F73-8D662451832D}"/>
    <cellStyle name="Normal 8 3 2 2 5 4" xfId="10333" xr:uid="{47D7A399-9B41-4A8B-9C96-9C1A051BB1AA}"/>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99B072FE-1EAC-4CFF-BBFB-AD5EEB011040}"/>
    <cellStyle name="Normal 8 3 2 2 6 2 3" xfId="12891" xr:uid="{FFA75125-6204-48F7-B00B-9AAD1CA22094}"/>
    <cellStyle name="Normal 8 3 2 2 6 3" xfId="6514" xr:uid="{00000000-0005-0000-0000-0000561D0000}"/>
    <cellStyle name="Normal 8 3 2 2 6 3 2" xfId="14964" xr:uid="{73045310-5678-4ED0-AF5F-9F3BA2D7F5D8}"/>
    <cellStyle name="Normal 8 3 2 2 6 4" xfId="10746" xr:uid="{7B3329FD-22FC-4ADD-9D8C-D9F873E1E547}"/>
    <cellStyle name="Normal 8 3 2 2 7" xfId="2644" xr:uid="{00000000-0005-0000-0000-0000571D0000}"/>
    <cellStyle name="Normal 8 3 2 2 7 2" xfId="6927" xr:uid="{00000000-0005-0000-0000-0000581D0000}"/>
    <cellStyle name="Normal 8 3 2 2 7 2 2" xfId="15377" xr:uid="{F2C65E0B-53F4-4681-897A-FA5749C15711}"/>
    <cellStyle name="Normal 8 3 2 2 7 3" xfId="11159" xr:uid="{DC84E1E7-D7EF-4564-9A75-2730934D0E3D}"/>
    <cellStyle name="Normal 8 3 2 2 8" xfId="4862" xr:uid="{00000000-0005-0000-0000-0000591D0000}"/>
    <cellStyle name="Normal 8 3 2 2 8 2" xfId="13312" xr:uid="{4EA51F90-F478-41B6-9081-31D02F8ADB79}"/>
    <cellStyle name="Normal 8 3 2 2 9" xfId="9094" xr:uid="{36D9A2A3-1160-4301-A542-C0CD1E7D8047}"/>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B1F25F7D-B982-4A0B-AC25-DD1C5F228656}"/>
    <cellStyle name="Normal 8 3 2 3 2 2 3" xfId="11654" xr:uid="{4A7A4655-AD50-4FCD-BBA4-67C188181AAD}"/>
    <cellStyle name="Normal 8 3 2 3 2 3" xfId="5277" xr:uid="{00000000-0005-0000-0000-00005E1D0000}"/>
    <cellStyle name="Normal 8 3 2 3 2 3 2" xfId="13727" xr:uid="{B551E7F2-6242-4BB9-9D49-1DEFA0977C8B}"/>
    <cellStyle name="Normal 8 3 2 3 2 4" xfId="9509" xr:uid="{22AD9CD3-B878-4ABD-B24E-1E3F97B880CC}"/>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B65331E8-F460-44D5-A542-5E3427BB2329}"/>
    <cellStyle name="Normal 8 3 2 3 3 2 3" xfId="12067" xr:uid="{9919D89E-7293-4B33-ADE6-0AAE89E08996}"/>
    <cellStyle name="Normal 8 3 2 3 3 3" xfId="5690" xr:uid="{00000000-0005-0000-0000-0000621D0000}"/>
    <cellStyle name="Normal 8 3 2 3 3 3 2" xfId="14140" xr:uid="{2A29BA21-48C3-498F-BD45-D768AA703499}"/>
    <cellStyle name="Normal 8 3 2 3 3 4" xfId="9922" xr:uid="{480C6773-E2C5-4EEE-8CB3-A552994626FC}"/>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A6017E82-B546-4915-94E2-25560D471BF2}"/>
    <cellStyle name="Normal 8 3 2 3 4 2 3" xfId="12480" xr:uid="{326AA3CE-6D9E-4F86-92C2-455C3D73D1AC}"/>
    <cellStyle name="Normal 8 3 2 3 4 3" xfId="6103" xr:uid="{00000000-0005-0000-0000-0000661D0000}"/>
    <cellStyle name="Normal 8 3 2 3 4 3 2" xfId="14553" xr:uid="{10A6BE70-68F8-497B-9F2D-21D4ADB32A71}"/>
    <cellStyle name="Normal 8 3 2 3 4 4" xfId="10335" xr:uid="{CC49089A-87D4-4BB0-B369-C3E5D9EB80F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F6252BE8-817D-441A-B02A-8147DB80C54B}"/>
    <cellStyle name="Normal 8 3 2 3 5 2 3" xfId="12893" xr:uid="{991F3535-2793-40B1-BEE3-ECAF466BABE7}"/>
    <cellStyle name="Normal 8 3 2 3 5 3" xfId="6516" xr:uid="{00000000-0005-0000-0000-00006A1D0000}"/>
    <cellStyle name="Normal 8 3 2 3 5 3 2" xfId="14966" xr:uid="{89A08313-79F8-4FA7-960F-003FD02D9D53}"/>
    <cellStyle name="Normal 8 3 2 3 5 4" xfId="10748" xr:uid="{2514A3DC-D462-42AF-86E3-C8A533A51768}"/>
    <cellStyle name="Normal 8 3 2 3 6" xfId="2646" xr:uid="{00000000-0005-0000-0000-00006B1D0000}"/>
    <cellStyle name="Normal 8 3 2 3 6 2" xfId="6929" xr:uid="{00000000-0005-0000-0000-00006C1D0000}"/>
    <cellStyle name="Normal 8 3 2 3 6 2 2" xfId="15379" xr:uid="{95EFA238-E2D9-45CD-95A5-37828D0683BB}"/>
    <cellStyle name="Normal 8 3 2 3 6 3" xfId="11161" xr:uid="{3636B477-8096-4ACF-A427-B82B35090349}"/>
    <cellStyle name="Normal 8 3 2 3 7" xfId="4864" xr:uid="{00000000-0005-0000-0000-00006D1D0000}"/>
    <cellStyle name="Normal 8 3 2 3 7 2" xfId="13314" xr:uid="{57595092-BC53-41EE-9383-44F2BBE7825E}"/>
    <cellStyle name="Normal 8 3 2 3 8" xfId="9096" xr:uid="{C702A91C-4595-4A6B-9D97-30D4441DFA80}"/>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A5554E61-9CF9-443E-BA00-ECC0C84DCA50}"/>
    <cellStyle name="Normal 8 3 2 4 2 3" xfId="11651" xr:uid="{FA0302BE-CEE1-4ADE-AD3D-9BF567768D9D}"/>
    <cellStyle name="Normal 8 3 2 4 3" xfId="5274" xr:uid="{00000000-0005-0000-0000-0000711D0000}"/>
    <cellStyle name="Normal 8 3 2 4 3 2" xfId="13724" xr:uid="{CC361C71-93A4-4FCA-B9F4-1EEA31DE808F}"/>
    <cellStyle name="Normal 8 3 2 4 4" xfId="9506" xr:uid="{38FDA786-C2A8-44DA-B57B-82E57F9CCF13}"/>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3966A9E0-1026-497D-831A-B27021384628}"/>
    <cellStyle name="Normal 8 3 2 5 2 3" xfId="12064" xr:uid="{7E0996D2-2320-4FC6-8F53-0D4A31A39036}"/>
    <cellStyle name="Normal 8 3 2 5 3" xfId="5687" xr:uid="{00000000-0005-0000-0000-0000751D0000}"/>
    <cellStyle name="Normal 8 3 2 5 3 2" xfId="14137" xr:uid="{90AA0EAC-A2BD-4724-87CC-80FC465573A0}"/>
    <cellStyle name="Normal 8 3 2 5 4" xfId="9919" xr:uid="{95336325-DE93-4772-95F7-43524A4D8833}"/>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B1BDB526-4199-4B7A-B098-BAF4E80D36D6}"/>
    <cellStyle name="Normal 8 3 2 6 2 3" xfId="12477" xr:uid="{88CFF599-FA1A-4737-AED6-E7BD545FE6AB}"/>
    <cellStyle name="Normal 8 3 2 6 3" xfId="6100" xr:uid="{00000000-0005-0000-0000-0000791D0000}"/>
    <cellStyle name="Normal 8 3 2 6 3 2" xfId="14550" xr:uid="{8962265A-B493-4D82-AD0C-8D8995930C0A}"/>
    <cellStyle name="Normal 8 3 2 6 4" xfId="10332" xr:uid="{7EFAC497-E713-4DA5-928F-AEF06B09371A}"/>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D4DDDE80-C7F6-48C1-9949-A2C8517B6E7E}"/>
    <cellStyle name="Normal 8 3 2 7 2 3" xfId="12890" xr:uid="{7C39AD4B-34B0-452F-9B7C-499C59EEA480}"/>
    <cellStyle name="Normal 8 3 2 7 3" xfId="6513" xr:uid="{00000000-0005-0000-0000-00007D1D0000}"/>
    <cellStyle name="Normal 8 3 2 7 3 2" xfId="14963" xr:uid="{EA8BA77A-10F3-414A-82F2-CB3FCF06D3BB}"/>
    <cellStyle name="Normal 8 3 2 7 4" xfId="10745" xr:uid="{11FEBC9A-CD99-49F8-87B1-8F0B16EB7693}"/>
    <cellStyle name="Normal 8 3 2 8" xfId="2643" xr:uid="{00000000-0005-0000-0000-00007E1D0000}"/>
    <cellStyle name="Normal 8 3 2 8 2" xfId="6926" xr:uid="{00000000-0005-0000-0000-00007F1D0000}"/>
    <cellStyle name="Normal 8 3 2 8 2 2" xfId="15376" xr:uid="{864C8229-B2D5-47D6-8FEA-E2003910962E}"/>
    <cellStyle name="Normal 8 3 2 8 3" xfId="11158" xr:uid="{29D13D8F-D908-4C7C-877B-FDA08DD68824}"/>
    <cellStyle name="Normal 8 3 2 9" xfId="4861" xr:uid="{00000000-0005-0000-0000-0000801D0000}"/>
    <cellStyle name="Normal 8 3 2 9 2" xfId="13311" xr:uid="{116CB0D6-2347-4694-B70C-F18F5E4DD4AF}"/>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2AF2472A-0F74-4567-9D47-602430332459}"/>
    <cellStyle name="Normal 8 3 3 2 2 2 3" xfId="11656" xr:uid="{4C01F650-7381-4E28-9F2B-5C84ED5A0D00}"/>
    <cellStyle name="Normal 8 3 3 2 2 3" xfId="5279" xr:uid="{00000000-0005-0000-0000-0000861D0000}"/>
    <cellStyle name="Normal 8 3 3 2 2 3 2" xfId="13729" xr:uid="{8216B54A-F78D-4151-A21B-5A6E77909AB9}"/>
    <cellStyle name="Normal 8 3 3 2 2 4" xfId="9511" xr:uid="{C0C6495B-F3E6-40C7-904A-5A2E50026B88}"/>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8C537DC4-22CA-4890-942B-D18E1F0F87EA}"/>
    <cellStyle name="Normal 8 3 3 2 3 2 3" xfId="12069" xr:uid="{D9DB0AE9-EE1F-444F-9DF0-B7D1E619369E}"/>
    <cellStyle name="Normal 8 3 3 2 3 3" xfId="5692" xr:uid="{00000000-0005-0000-0000-00008A1D0000}"/>
    <cellStyle name="Normal 8 3 3 2 3 3 2" xfId="14142" xr:uid="{D374B5FE-CFF0-4CDD-BE2E-B39E1674C4E5}"/>
    <cellStyle name="Normal 8 3 3 2 3 4" xfId="9924" xr:uid="{8E38C66C-C785-4AE3-9429-67DF8853B26B}"/>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B9A78EC5-C5CE-4D13-BDE0-3EAE8701670B}"/>
    <cellStyle name="Normal 8 3 3 2 4 2 3" xfId="12482" xr:uid="{E44B0338-A08F-4807-8A24-F468C4D349A6}"/>
    <cellStyle name="Normal 8 3 3 2 4 3" xfId="6105" xr:uid="{00000000-0005-0000-0000-00008E1D0000}"/>
    <cellStyle name="Normal 8 3 3 2 4 3 2" xfId="14555" xr:uid="{8ACFF491-D518-469F-BB7F-2B36CB55B00A}"/>
    <cellStyle name="Normal 8 3 3 2 4 4" xfId="10337" xr:uid="{289CB340-24CE-4348-ADF1-A9789F96A56B}"/>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8AF47085-E110-4512-9E79-B0095CBDCE29}"/>
    <cellStyle name="Normal 8 3 3 2 5 2 3" xfId="12895" xr:uid="{54858DEC-9668-4094-A757-4FB601EDC908}"/>
    <cellStyle name="Normal 8 3 3 2 5 3" xfId="6518" xr:uid="{00000000-0005-0000-0000-0000921D0000}"/>
    <cellStyle name="Normal 8 3 3 2 5 3 2" xfId="14968" xr:uid="{51748CD3-2738-4096-899C-FCA89C8D9C5F}"/>
    <cellStyle name="Normal 8 3 3 2 5 4" xfId="10750" xr:uid="{F8061CF3-5823-4C6E-8350-A181CC28E863}"/>
    <cellStyle name="Normal 8 3 3 2 6" xfId="2648" xr:uid="{00000000-0005-0000-0000-0000931D0000}"/>
    <cellStyle name="Normal 8 3 3 2 6 2" xfId="6931" xr:uid="{00000000-0005-0000-0000-0000941D0000}"/>
    <cellStyle name="Normal 8 3 3 2 6 2 2" xfId="15381" xr:uid="{39690A72-F843-4F02-A234-96FB777E2543}"/>
    <cellStyle name="Normal 8 3 3 2 6 3" xfId="11163" xr:uid="{4A64D384-8438-428F-BED5-18886D90A52D}"/>
    <cellStyle name="Normal 8 3 3 2 7" xfId="4866" xr:uid="{00000000-0005-0000-0000-0000951D0000}"/>
    <cellStyle name="Normal 8 3 3 2 7 2" xfId="13316" xr:uid="{47513409-10F0-4DFD-9E7F-12C75E910BFC}"/>
    <cellStyle name="Normal 8 3 3 2 8" xfId="9098" xr:uid="{57434CE4-2C67-48CC-8EAD-4E313DF3675F}"/>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587CBEF5-0AB8-4888-9770-9D5236F74138}"/>
    <cellStyle name="Normal 8 3 3 3 2 3" xfId="11655" xr:uid="{EC486943-6BA1-4FC1-96B8-0746AE6F3D45}"/>
    <cellStyle name="Normal 8 3 3 3 3" xfId="5278" xr:uid="{00000000-0005-0000-0000-0000991D0000}"/>
    <cellStyle name="Normal 8 3 3 3 3 2" xfId="13728" xr:uid="{6F2FC5D7-E3E6-4109-8093-C52FB9219077}"/>
    <cellStyle name="Normal 8 3 3 3 4" xfId="9510" xr:uid="{57FA27DA-78C2-4D5B-889B-AF4553B347D2}"/>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94A9BFB4-F7F3-4E4A-81BF-59B9709AAA98}"/>
    <cellStyle name="Normal 8 3 3 4 2 3" xfId="12068" xr:uid="{C272931A-4771-4252-9B03-198970E2D3D3}"/>
    <cellStyle name="Normal 8 3 3 4 3" xfId="5691" xr:uid="{00000000-0005-0000-0000-00009D1D0000}"/>
    <cellStyle name="Normal 8 3 3 4 3 2" xfId="14141" xr:uid="{9825825C-8BF8-4B98-B2ED-5BAD4571AF10}"/>
    <cellStyle name="Normal 8 3 3 4 4" xfId="9923" xr:uid="{226C44B3-444B-4B05-9BC0-B0A70D69D76C}"/>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E13E8EC8-2F4C-4DFC-A07A-7CC780AD9385}"/>
    <cellStyle name="Normal 8 3 3 5 2 3" xfId="12481" xr:uid="{65D888C8-36D3-428A-BA20-AE52A27D9DB9}"/>
    <cellStyle name="Normal 8 3 3 5 3" xfId="6104" xr:uid="{00000000-0005-0000-0000-0000A11D0000}"/>
    <cellStyle name="Normal 8 3 3 5 3 2" xfId="14554" xr:uid="{6A5CEC4F-92E5-4D2E-85B5-A8512F3D2EB5}"/>
    <cellStyle name="Normal 8 3 3 5 4" xfId="10336" xr:uid="{BD770FE9-B59A-44F0-8154-E76DA78BBEF0}"/>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640C2402-FAB9-45E0-9B06-8667D32D747F}"/>
    <cellStyle name="Normal 8 3 3 6 2 3" xfId="12894" xr:uid="{4CA42F08-C74B-4402-93AB-873DCA29B7FE}"/>
    <cellStyle name="Normal 8 3 3 6 3" xfId="6517" xr:uid="{00000000-0005-0000-0000-0000A51D0000}"/>
    <cellStyle name="Normal 8 3 3 6 3 2" xfId="14967" xr:uid="{353D1B8C-02FE-4AC5-8EF1-9DEC502BE114}"/>
    <cellStyle name="Normal 8 3 3 6 4" xfId="10749" xr:uid="{82F67312-2F43-4195-8563-FA112E50B05C}"/>
    <cellStyle name="Normal 8 3 3 7" xfId="2647" xr:uid="{00000000-0005-0000-0000-0000A61D0000}"/>
    <cellStyle name="Normal 8 3 3 7 2" xfId="6930" xr:uid="{00000000-0005-0000-0000-0000A71D0000}"/>
    <cellStyle name="Normal 8 3 3 7 2 2" xfId="15380" xr:uid="{7E4F0738-E6B7-47B7-AE72-83DDB63D2DE7}"/>
    <cellStyle name="Normal 8 3 3 7 3" xfId="11162" xr:uid="{E730B7FD-C5AF-43D2-B9D1-E42AB81E449F}"/>
    <cellStyle name="Normal 8 3 3 8" xfId="4865" xr:uid="{00000000-0005-0000-0000-0000A81D0000}"/>
    <cellStyle name="Normal 8 3 3 8 2" xfId="13315" xr:uid="{6370BE15-B55F-4371-9954-3960AAE9C40F}"/>
    <cellStyle name="Normal 8 3 3 9" xfId="9097" xr:uid="{172653BB-0CD0-49D2-8094-4606D6423E9A}"/>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42679C71-6476-4EDD-8A4E-FEE997B697A3}"/>
    <cellStyle name="Normal 8 3 4 2 2 3" xfId="11657" xr:uid="{6FEF8AD2-4AC3-413E-9632-3421671D6638}"/>
    <cellStyle name="Normal 8 3 4 2 3" xfId="5280" xr:uid="{00000000-0005-0000-0000-0000AD1D0000}"/>
    <cellStyle name="Normal 8 3 4 2 3 2" xfId="13730" xr:uid="{F08EAD58-B9DC-4080-BF9E-44DCA7523765}"/>
    <cellStyle name="Normal 8 3 4 2 4" xfId="9512" xr:uid="{F8D0D83D-FC2A-4F0F-B886-8857F3BA3E29}"/>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FA148AD6-E10D-4FB9-86A6-C4FCFFAD8FB2}"/>
    <cellStyle name="Normal 8 3 4 3 2 3" xfId="12070" xr:uid="{AF38DFA1-B173-4D16-85B1-94424E0655C7}"/>
    <cellStyle name="Normal 8 3 4 3 3" xfId="5693" xr:uid="{00000000-0005-0000-0000-0000B11D0000}"/>
    <cellStyle name="Normal 8 3 4 3 3 2" xfId="14143" xr:uid="{507A657B-4770-470A-8A7A-C11824DEFA71}"/>
    <cellStyle name="Normal 8 3 4 3 4" xfId="9925" xr:uid="{C03FD4C6-B9A9-4F34-A848-0BB5C0978F43}"/>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2A0BFAB0-56F8-4C71-8A2D-C9B0BBC69172}"/>
    <cellStyle name="Normal 8 3 4 4 2 3" xfId="12483" xr:uid="{D997E738-B93C-49CD-B612-325D60103810}"/>
    <cellStyle name="Normal 8 3 4 4 3" xfId="6106" xr:uid="{00000000-0005-0000-0000-0000B51D0000}"/>
    <cellStyle name="Normal 8 3 4 4 3 2" xfId="14556" xr:uid="{A32C27B5-CCDA-4ACE-9F3D-C05A4BC2E4D5}"/>
    <cellStyle name="Normal 8 3 4 4 4" xfId="10338" xr:uid="{B176A26A-E67F-4620-94AF-3C528065E313}"/>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56A34158-368B-468A-BE0C-A54BB2FA01BF}"/>
    <cellStyle name="Normal 8 3 4 5 2 3" xfId="12896" xr:uid="{3EF532C3-20B2-465C-8534-2CB032616800}"/>
    <cellStyle name="Normal 8 3 4 5 3" xfId="6519" xr:uid="{00000000-0005-0000-0000-0000B91D0000}"/>
    <cellStyle name="Normal 8 3 4 5 3 2" xfId="14969" xr:uid="{3C9BBB04-65AB-4C67-886B-A9BDDF0ECE60}"/>
    <cellStyle name="Normal 8 3 4 5 4" xfId="10751" xr:uid="{87CC7B1E-3697-43B3-ACF8-2FE21C594DA7}"/>
    <cellStyle name="Normal 8 3 4 6" xfId="2649" xr:uid="{00000000-0005-0000-0000-0000BA1D0000}"/>
    <cellStyle name="Normal 8 3 4 6 2" xfId="6932" xr:uid="{00000000-0005-0000-0000-0000BB1D0000}"/>
    <cellStyle name="Normal 8 3 4 6 2 2" xfId="15382" xr:uid="{0496E499-EDA5-48D1-9FF3-B3B8C002C7E8}"/>
    <cellStyle name="Normal 8 3 4 6 3" xfId="11164" xr:uid="{6D012E39-CFBE-45DD-A731-7AE0F1C54CDE}"/>
    <cellStyle name="Normal 8 3 4 7" xfId="4867" xr:uid="{00000000-0005-0000-0000-0000BC1D0000}"/>
    <cellStyle name="Normal 8 3 4 7 2" xfId="13317" xr:uid="{E17B3328-CBAA-4A5E-877E-8CE20A0370E2}"/>
    <cellStyle name="Normal 8 3 4 8" xfId="9099" xr:uid="{C737D786-5991-48FC-BBC2-3AAA628B79BC}"/>
    <cellStyle name="Normal 8 3 5" xfId="962" xr:uid="{00000000-0005-0000-0000-0000BD1D0000}"/>
    <cellStyle name="Normal 8 3 5 2" xfId="3196" xr:uid="{00000000-0005-0000-0000-0000BE1D0000}"/>
    <cellStyle name="Normal 8 3 5 2 2" xfId="7418" xr:uid="{00000000-0005-0000-0000-0000BF1D0000}"/>
    <cellStyle name="Normal 8 3 5 2 2 2" xfId="15868" xr:uid="{D09FD297-5A74-4435-B939-4C805E4F1680}"/>
    <cellStyle name="Normal 8 3 5 2 3" xfId="11650" xr:uid="{994ADC26-1573-4C54-B71F-79704D653EC0}"/>
    <cellStyle name="Normal 8 3 5 3" xfId="5273" xr:uid="{00000000-0005-0000-0000-0000C01D0000}"/>
    <cellStyle name="Normal 8 3 5 3 2" xfId="13723" xr:uid="{942DFE6E-6D82-4AE7-AA61-1BA705F6FC30}"/>
    <cellStyle name="Normal 8 3 5 4" xfId="9505" xr:uid="{A50A1F39-4E60-474F-A231-EBB6493C017C}"/>
    <cellStyle name="Normal 8 3 6" xfId="1379" xr:uid="{00000000-0005-0000-0000-0000C11D0000}"/>
    <cellStyle name="Normal 8 3 6 2" xfId="3609" xr:uid="{00000000-0005-0000-0000-0000C21D0000}"/>
    <cellStyle name="Normal 8 3 6 2 2" xfId="7831" xr:uid="{00000000-0005-0000-0000-0000C31D0000}"/>
    <cellStyle name="Normal 8 3 6 2 2 2" xfId="16281" xr:uid="{018ACC71-1E75-4D14-B1D4-1592042EF5FE}"/>
    <cellStyle name="Normal 8 3 6 2 3" xfId="12063" xr:uid="{33EDB3B4-5C78-45A5-B617-C1A5ABA4B0D5}"/>
    <cellStyle name="Normal 8 3 6 3" xfId="5686" xr:uid="{00000000-0005-0000-0000-0000C41D0000}"/>
    <cellStyle name="Normal 8 3 6 3 2" xfId="14136" xr:uid="{AE73A601-E2F8-4243-952B-A648F04223F4}"/>
    <cellStyle name="Normal 8 3 6 4" xfId="9918" xr:uid="{BF7888D7-925B-475D-BA6E-D2C9AA2300C0}"/>
    <cellStyle name="Normal 8 3 7" xfId="1792" xr:uid="{00000000-0005-0000-0000-0000C51D0000}"/>
    <cellStyle name="Normal 8 3 7 2" xfId="4022" xr:uid="{00000000-0005-0000-0000-0000C61D0000}"/>
    <cellStyle name="Normal 8 3 7 2 2" xfId="8244" xr:uid="{00000000-0005-0000-0000-0000C71D0000}"/>
    <cellStyle name="Normal 8 3 7 2 2 2" xfId="16694" xr:uid="{2AE1FA98-DDF7-4B99-859B-6F0431CEA214}"/>
    <cellStyle name="Normal 8 3 7 2 3" xfId="12476" xr:uid="{295BF4A8-C48F-4877-A104-521729F822AA}"/>
    <cellStyle name="Normal 8 3 7 3" xfId="6099" xr:uid="{00000000-0005-0000-0000-0000C81D0000}"/>
    <cellStyle name="Normal 8 3 7 3 2" xfId="14549" xr:uid="{33CACAF3-2A6B-4DE2-948D-15C2BF6436C7}"/>
    <cellStyle name="Normal 8 3 7 4" xfId="10331" xr:uid="{F1D99666-0142-4AB1-9FAF-3466B73363D5}"/>
    <cellStyle name="Normal 8 3 8" xfId="2206" xr:uid="{00000000-0005-0000-0000-0000C91D0000}"/>
    <cellStyle name="Normal 8 3 8 2" xfId="4435" xr:uid="{00000000-0005-0000-0000-0000CA1D0000}"/>
    <cellStyle name="Normal 8 3 8 2 2" xfId="8657" xr:uid="{00000000-0005-0000-0000-0000CB1D0000}"/>
    <cellStyle name="Normal 8 3 8 2 2 2" xfId="17107" xr:uid="{3D7234FD-3D44-475A-8855-E5283707AB99}"/>
    <cellStyle name="Normal 8 3 8 2 3" xfId="12889" xr:uid="{B14655EE-7D68-452A-A46F-A0549C2B9F21}"/>
    <cellStyle name="Normal 8 3 8 3" xfId="6512" xr:uid="{00000000-0005-0000-0000-0000CC1D0000}"/>
    <cellStyle name="Normal 8 3 8 3 2" xfId="14962" xr:uid="{EF5F8FA6-4E73-4C4F-B8A4-27F240EBB6F7}"/>
    <cellStyle name="Normal 8 3 8 4" xfId="10744" xr:uid="{A8616416-29C0-4410-A6CA-1195CF8CBD9E}"/>
    <cellStyle name="Normal 8 3 9" xfId="2642" xr:uid="{00000000-0005-0000-0000-0000CD1D0000}"/>
    <cellStyle name="Normal 8 3 9 2" xfId="6925" xr:uid="{00000000-0005-0000-0000-0000CE1D0000}"/>
    <cellStyle name="Normal 8 3 9 2 2" xfId="15375" xr:uid="{FA4DBF41-8363-439F-91C0-D2A10B893D02}"/>
    <cellStyle name="Normal 8 3 9 3" xfId="11157" xr:uid="{4768E50D-5A4E-4F6C-9903-0319895DE401}"/>
    <cellStyle name="Normal 8 4" xfId="503" xr:uid="{00000000-0005-0000-0000-0000CF1D0000}"/>
    <cellStyle name="Normal 8 4 10" xfId="9100" xr:uid="{EF6A9111-0280-482D-96F8-10C1E85C3249}"/>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FEAB77DD-2E87-4BE2-ABBB-4158FE634A99}"/>
    <cellStyle name="Normal 8 4 2 2 2 2 3" xfId="11660" xr:uid="{CE009989-0EF9-4821-83F3-AE43B7E2CF15}"/>
    <cellStyle name="Normal 8 4 2 2 2 3" xfId="5283" xr:uid="{00000000-0005-0000-0000-0000D51D0000}"/>
    <cellStyle name="Normal 8 4 2 2 2 3 2" xfId="13733" xr:uid="{298D5BBD-F1F8-4740-9922-DCA796B2D366}"/>
    <cellStyle name="Normal 8 4 2 2 2 4" xfId="9515" xr:uid="{A68B7118-5672-480D-A667-7326B5B858B9}"/>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FD58C08D-E8A8-4362-836B-1DD0604A9419}"/>
    <cellStyle name="Normal 8 4 2 2 3 2 3" xfId="12073" xr:uid="{05BFB09F-275D-4539-B148-829FD6FD6A7C}"/>
    <cellStyle name="Normal 8 4 2 2 3 3" xfId="5696" xr:uid="{00000000-0005-0000-0000-0000D91D0000}"/>
    <cellStyle name="Normal 8 4 2 2 3 3 2" xfId="14146" xr:uid="{47BCAEC3-4B30-4B9E-B478-3500168ECEA8}"/>
    <cellStyle name="Normal 8 4 2 2 3 4" xfId="9928" xr:uid="{C3C78436-D86E-4A9B-AC7F-9672F5C65F37}"/>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D222F74B-8ED8-41DD-BDB2-2ED25CBDA077}"/>
    <cellStyle name="Normal 8 4 2 2 4 2 3" xfId="12486" xr:uid="{241BE559-D198-4027-8D1A-3B5312102F2D}"/>
    <cellStyle name="Normal 8 4 2 2 4 3" xfId="6109" xr:uid="{00000000-0005-0000-0000-0000DD1D0000}"/>
    <cellStyle name="Normal 8 4 2 2 4 3 2" xfId="14559" xr:uid="{BD4E4672-C68A-48F5-8A02-41341527F625}"/>
    <cellStyle name="Normal 8 4 2 2 4 4" xfId="10341" xr:uid="{1FFDBAB3-2AAD-47EB-8C1A-4F104498F5B8}"/>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B32F66FD-69DD-4A33-A751-43383C35A6C1}"/>
    <cellStyle name="Normal 8 4 2 2 5 2 3" xfId="12899" xr:uid="{B8B23F4C-45D5-4391-8A60-8211D42B2BD8}"/>
    <cellStyle name="Normal 8 4 2 2 5 3" xfId="6522" xr:uid="{00000000-0005-0000-0000-0000E11D0000}"/>
    <cellStyle name="Normal 8 4 2 2 5 3 2" xfId="14972" xr:uid="{78218881-45B2-477E-BB97-D5A35BEB8FD7}"/>
    <cellStyle name="Normal 8 4 2 2 5 4" xfId="10754" xr:uid="{27986DDE-A3E1-4E89-BDB5-600286216F70}"/>
    <cellStyle name="Normal 8 4 2 2 6" xfId="2652" xr:uid="{00000000-0005-0000-0000-0000E21D0000}"/>
    <cellStyle name="Normal 8 4 2 2 6 2" xfId="6935" xr:uid="{00000000-0005-0000-0000-0000E31D0000}"/>
    <cellStyle name="Normal 8 4 2 2 6 2 2" xfId="15385" xr:uid="{E29467B2-65BB-44B5-AE65-67FA7C15D391}"/>
    <cellStyle name="Normal 8 4 2 2 6 3" xfId="11167" xr:uid="{0FF196B2-F436-458F-8EFC-B07D69810B72}"/>
    <cellStyle name="Normal 8 4 2 2 7" xfId="4870" xr:uid="{00000000-0005-0000-0000-0000E41D0000}"/>
    <cellStyle name="Normal 8 4 2 2 7 2" xfId="13320" xr:uid="{44249026-500B-44E3-BFA4-D4AF56363838}"/>
    <cellStyle name="Normal 8 4 2 2 8" xfId="9102" xr:uid="{4F0C9D09-AE96-4E7C-B5A0-0052A166115F}"/>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6B00D41F-5844-403C-A90F-9505F1767DAA}"/>
    <cellStyle name="Normal 8 4 2 3 2 3" xfId="11659" xr:uid="{F648E920-C5FD-4272-AACE-7805C34964BE}"/>
    <cellStyle name="Normal 8 4 2 3 3" xfId="5282" xr:uid="{00000000-0005-0000-0000-0000E81D0000}"/>
    <cellStyle name="Normal 8 4 2 3 3 2" xfId="13732" xr:uid="{85A698EE-2EEC-4461-B199-5A97CE9315E2}"/>
    <cellStyle name="Normal 8 4 2 3 4" xfId="9514" xr:uid="{A5D5CB47-26AA-4A6B-BF55-9B4E1D2533C3}"/>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3DB7C3D1-BB1F-490B-9452-0F232CE95EFC}"/>
    <cellStyle name="Normal 8 4 2 4 2 3" xfId="12072" xr:uid="{B73A2741-0E09-429D-AB91-A9E82219C723}"/>
    <cellStyle name="Normal 8 4 2 4 3" xfId="5695" xr:uid="{00000000-0005-0000-0000-0000EC1D0000}"/>
    <cellStyle name="Normal 8 4 2 4 3 2" xfId="14145" xr:uid="{59363E54-A388-4322-9959-F3FC12A8A12E}"/>
    <cellStyle name="Normal 8 4 2 4 4" xfId="9927" xr:uid="{A683F5BF-7D82-41A3-9A70-1E6DA079D867}"/>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47685E04-CAFA-4E9C-8CF8-D6E89892C1C3}"/>
    <cellStyle name="Normal 8 4 2 5 2 3" xfId="12485" xr:uid="{D92228BD-7440-44C0-B3D8-F6757EF061DC}"/>
    <cellStyle name="Normal 8 4 2 5 3" xfId="6108" xr:uid="{00000000-0005-0000-0000-0000F01D0000}"/>
    <cellStyle name="Normal 8 4 2 5 3 2" xfId="14558" xr:uid="{52B7B93B-7E65-4D54-B197-41DF1D7B7032}"/>
    <cellStyle name="Normal 8 4 2 5 4" xfId="10340" xr:uid="{A8A066FA-50C4-4B9F-9B9A-0802EC9FCC02}"/>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82357ECF-B57B-4C87-9D43-8FA9626233D4}"/>
    <cellStyle name="Normal 8 4 2 6 2 3" xfId="12898" xr:uid="{7B18EB62-AA11-4A7D-9492-6D270F4C7DE8}"/>
    <cellStyle name="Normal 8 4 2 6 3" xfId="6521" xr:uid="{00000000-0005-0000-0000-0000F41D0000}"/>
    <cellStyle name="Normal 8 4 2 6 3 2" xfId="14971" xr:uid="{275723C4-895E-46B4-A11C-272F56D24751}"/>
    <cellStyle name="Normal 8 4 2 6 4" xfId="10753" xr:uid="{91B97AEA-F40A-4C37-A2C0-B89AA5F5473A}"/>
    <cellStyle name="Normal 8 4 2 7" xfId="2651" xr:uid="{00000000-0005-0000-0000-0000F51D0000}"/>
    <cellStyle name="Normal 8 4 2 7 2" xfId="6934" xr:uid="{00000000-0005-0000-0000-0000F61D0000}"/>
    <cellStyle name="Normal 8 4 2 7 2 2" xfId="15384" xr:uid="{980DF8F2-67C0-4AA5-8F4B-BC6ED4B55808}"/>
    <cellStyle name="Normal 8 4 2 7 3" xfId="11166" xr:uid="{C4071FD6-EDE7-4253-A5C9-B9E68FF9570F}"/>
    <cellStyle name="Normal 8 4 2 8" xfId="4869" xr:uid="{00000000-0005-0000-0000-0000F71D0000}"/>
    <cellStyle name="Normal 8 4 2 8 2" xfId="13319" xr:uid="{9EEF0763-82C1-467E-8687-96843405D1ED}"/>
    <cellStyle name="Normal 8 4 2 9" xfId="9101" xr:uid="{24278ED5-3F23-4ECD-A9D9-B81C697465E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D0B55A97-1AB0-44B4-AA00-2543141219A2}"/>
    <cellStyle name="Normal 8 4 3 2 2 3" xfId="11661" xr:uid="{50272CAA-712F-42A0-8125-F50570B873FD}"/>
    <cellStyle name="Normal 8 4 3 2 3" xfId="5284" xr:uid="{00000000-0005-0000-0000-0000FC1D0000}"/>
    <cellStyle name="Normal 8 4 3 2 3 2" xfId="13734" xr:uid="{C4870CFC-5AE2-41FE-BDCF-FDB049963172}"/>
    <cellStyle name="Normal 8 4 3 2 4" xfId="9516" xr:uid="{672D70D1-1F8F-4A97-B10B-818432C306E8}"/>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1560F16E-408C-425A-999C-15AB289C0132}"/>
    <cellStyle name="Normal 8 4 3 3 2 3" xfId="12074" xr:uid="{163693EF-D661-4548-A86B-A5E9AF6E48D9}"/>
    <cellStyle name="Normal 8 4 3 3 3" xfId="5697" xr:uid="{00000000-0005-0000-0000-0000001E0000}"/>
    <cellStyle name="Normal 8 4 3 3 3 2" xfId="14147" xr:uid="{56FA6988-21C7-4DF1-809D-766E8D789566}"/>
    <cellStyle name="Normal 8 4 3 3 4" xfId="9929" xr:uid="{196E0127-3193-4FBC-82E2-70D08E8F3852}"/>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8C523DEA-BA6E-4FF9-9A5B-88850CE57789}"/>
    <cellStyle name="Normal 8 4 3 4 2 3" xfId="12487" xr:uid="{EDC5D92B-5247-4875-9654-2D10EE357489}"/>
    <cellStyle name="Normal 8 4 3 4 3" xfId="6110" xr:uid="{00000000-0005-0000-0000-0000041E0000}"/>
    <cellStyle name="Normal 8 4 3 4 3 2" xfId="14560" xr:uid="{F924433C-9D7A-432B-81C1-44284AA6D9A7}"/>
    <cellStyle name="Normal 8 4 3 4 4" xfId="10342" xr:uid="{8C168DCA-EAF7-4F3A-A448-03D433AF0261}"/>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E6B135A5-74C7-462C-9103-40CB5DE09AB5}"/>
    <cellStyle name="Normal 8 4 3 5 2 3" xfId="12900" xr:uid="{91498FF2-8ACB-4183-9E5C-DA61FF2E3803}"/>
    <cellStyle name="Normal 8 4 3 5 3" xfId="6523" xr:uid="{00000000-0005-0000-0000-0000081E0000}"/>
    <cellStyle name="Normal 8 4 3 5 3 2" xfId="14973" xr:uid="{88D14B7F-CC59-49F1-A5E7-BD41F205B35C}"/>
    <cellStyle name="Normal 8 4 3 5 4" xfId="10755" xr:uid="{1521138E-552C-4AF5-BB6D-ABDAF7C0D98B}"/>
    <cellStyle name="Normal 8 4 3 6" xfId="2653" xr:uid="{00000000-0005-0000-0000-0000091E0000}"/>
    <cellStyle name="Normal 8 4 3 6 2" xfId="6936" xr:uid="{00000000-0005-0000-0000-00000A1E0000}"/>
    <cellStyle name="Normal 8 4 3 6 2 2" xfId="15386" xr:uid="{0F69FEC3-4B3A-4DB1-8D3F-092DB8193D9C}"/>
    <cellStyle name="Normal 8 4 3 6 3" xfId="11168" xr:uid="{FBC7F2C4-C82D-4C8B-98D5-D576914898D5}"/>
    <cellStyle name="Normal 8 4 3 7" xfId="4871" xr:uid="{00000000-0005-0000-0000-00000B1E0000}"/>
    <cellStyle name="Normal 8 4 3 7 2" xfId="13321" xr:uid="{AE2B2640-CC7A-441D-B844-8A02A5A1F57C}"/>
    <cellStyle name="Normal 8 4 3 8" xfId="9103" xr:uid="{2299C3F4-F333-4013-B320-5C7D510EF1FE}"/>
    <cellStyle name="Normal 8 4 4" xfId="970" xr:uid="{00000000-0005-0000-0000-00000C1E0000}"/>
    <cellStyle name="Normal 8 4 4 2" xfId="3204" xr:uid="{00000000-0005-0000-0000-00000D1E0000}"/>
    <cellStyle name="Normal 8 4 4 2 2" xfId="7426" xr:uid="{00000000-0005-0000-0000-00000E1E0000}"/>
    <cellStyle name="Normal 8 4 4 2 2 2" xfId="15876" xr:uid="{E38FE79E-A426-41C8-9ACB-0A78F6EAE7F6}"/>
    <cellStyle name="Normal 8 4 4 2 3" xfId="11658" xr:uid="{C8A2EE0C-1461-4C40-A5A6-6BFAA05DA07B}"/>
    <cellStyle name="Normal 8 4 4 3" xfId="5281" xr:uid="{00000000-0005-0000-0000-00000F1E0000}"/>
    <cellStyle name="Normal 8 4 4 3 2" xfId="13731" xr:uid="{177CE345-FBBD-4803-B541-33C40322424B}"/>
    <cellStyle name="Normal 8 4 4 4" xfId="9513" xr:uid="{7C18F512-ABD0-406E-96FA-74A543D4229F}"/>
    <cellStyle name="Normal 8 4 5" xfId="1387" xr:uid="{00000000-0005-0000-0000-0000101E0000}"/>
    <cellStyle name="Normal 8 4 5 2" xfId="3617" xr:uid="{00000000-0005-0000-0000-0000111E0000}"/>
    <cellStyle name="Normal 8 4 5 2 2" xfId="7839" xr:uid="{00000000-0005-0000-0000-0000121E0000}"/>
    <cellStyle name="Normal 8 4 5 2 2 2" xfId="16289" xr:uid="{BEEDB285-7BBF-42B3-9D0A-3F425B430A3B}"/>
    <cellStyle name="Normal 8 4 5 2 3" xfId="12071" xr:uid="{CE8C0492-AA98-4D91-93AA-4DF8A200DB50}"/>
    <cellStyle name="Normal 8 4 5 3" xfId="5694" xr:uid="{00000000-0005-0000-0000-0000131E0000}"/>
    <cellStyle name="Normal 8 4 5 3 2" xfId="14144" xr:uid="{D9B3AD1E-D8F5-419E-B030-368D805B0F08}"/>
    <cellStyle name="Normal 8 4 5 4" xfId="9926" xr:uid="{3BA61709-D9D2-40DA-AC3D-73CA3F21040E}"/>
    <cellStyle name="Normal 8 4 6" xfId="1800" xr:uid="{00000000-0005-0000-0000-0000141E0000}"/>
    <cellStyle name="Normal 8 4 6 2" xfId="4030" xr:uid="{00000000-0005-0000-0000-0000151E0000}"/>
    <cellStyle name="Normal 8 4 6 2 2" xfId="8252" xr:uid="{00000000-0005-0000-0000-0000161E0000}"/>
    <cellStyle name="Normal 8 4 6 2 2 2" xfId="16702" xr:uid="{FE3B9F48-AB29-4012-AE39-62C4EC91B3AA}"/>
    <cellStyle name="Normal 8 4 6 2 3" xfId="12484" xr:uid="{4E3E8A5E-46F9-4C2D-93F8-A5142852CB8F}"/>
    <cellStyle name="Normal 8 4 6 3" xfId="6107" xr:uid="{00000000-0005-0000-0000-0000171E0000}"/>
    <cellStyle name="Normal 8 4 6 3 2" xfId="14557" xr:uid="{DF4D7457-6CF3-4304-B467-8A7BD7E1E875}"/>
    <cellStyle name="Normal 8 4 6 4" xfId="10339" xr:uid="{E895BA24-9C94-44E0-B930-385CF492C96D}"/>
    <cellStyle name="Normal 8 4 7" xfId="2214" xr:uid="{00000000-0005-0000-0000-0000181E0000}"/>
    <cellStyle name="Normal 8 4 7 2" xfId="4443" xr:uid="{00000000-0005-0000-0000-0000191E0000}"/>
    <cellStyle name="Normal 8 4 7 2 2" xfId="8665" xr:uid="{00000000-0005-0000-0000-00001A1E0000}"/>
    <cellStyle name="Normal 8 4 7 2 2 2" xfId="17115" xr:uid="{241ECA4E-7E66-4D59-8E61-BE6CDF6C74BE}"/>
    <cellStyle name="Normal 8 4 7 2 3" xfId="12897" xr:uid="{63C2EC0B-39E4-489B-B5D7-EB65089A463E}"/>
    <cellStyle name="Normal 8 4 7 3" xfId="6520" xr:uid="{00000000-0005-0000-0000-00001B1E0000}"/>
    <cellStyle name="Normal 8 4 7 3 2" xfId="14970" xr:uid="{38A7483B-3863-4401-B2FD-959C089E0CFD}"/>
    <cellStyle name="Normal 8 4 7 4" xfId="10752" xr:uid="{B9AF728B-C3DA-41C9-BD5E-FBB5BB997A27}"/>
    <cellStyle name="Normal 8 4 8" xfId="2650" xr:uid="{00000000-0005-0000-0000-00001C1E0000}"/>
    <cellStyle name="Normal 8 4 8 2" xfId="6933" xr:uid="{00000000-0005-0000-0000-00001D1E0000}"/>
    <cellStyle name="Normal 8 4 8 2 2" xfId="15383" xr:uid="{58789EC4-86E3-40EA-845A-704D692A3220}"/>
    <cellStyle name="Normal 8 4 8 3" xfId="11165" xr:uid="{8061F005-78C3-4224-AA87-1BB373D56180}"/>
    <cellStyle name="Normal 8 4 9" xfId="4868" xr:uid="{00000000-0005-0000-0000-00001E1E0000}"/>
    <cellStyle name="Normal 8 4 9 2" xfId="13318" xr:uid="{A2746BFA-F548-4F71-B24F-5ABD4F0A1629}"/>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498B0F36-5F97-49B2-AA95-5543C898B5FD}"/>
    <cellStyle name="Normal 8 5 2 2 2 3" xfId="11663" xr:uid="{7190F434-1831-40BB-88FF-F5115016D15B}"/>
    <cellStyle name="Normal 8 5 2 2 3" xfId="5286" xr:uid="{00000000-0005-0000-0000-0000241E0000}"/>
    <cellStyle name="Normal 8 5 2 2 3 2" xfId="13736" xr:uid="{80FF1B9B-7165-4E04-A007-AF0C3E0D1635}"/>
    <cellStyle name="Normal 8 5 2 2 4" xfId="9518" xr:uid="{5521458A-2BAF-4950-94A2-B4C092197123}"/>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7145C192-2108-4BDF-A825-9D01D4D98191}"/>
    <cellStyle name="Normal 8 5 2 3 2 3" xfId="12076" xr:uid="{185147D6-64DC-4D3A-A058-43446B419E25}"/>
    <cellStyle name="Normal 8 5 2 3 3" xfId="5699" xr:uid="{00000000-0005-0000-0000-0000281E0000}"/>
    <cellStyle name="Normal 8 5 2 3 3 2" xfId="14149" xr:uid="{079EB2F3-86B9-4F58-8B79-9650CFED020C}"/>
    <cellStyle name="Normal 8 5 2 3 4" xfId="9931" xr:uid="{58ECA9F6-CCF4-4C38-A0EB-E78B0B1F8064}"/>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E05AA119-A0D1-4CB8-978A-F3B0448EBF06}"/>
    <cellStyle name="Normal 8 5 2 4 2 3" xfId="12489" xr:uid="{FBE4728C-EDC0-48C0-9DC3-75C42D22A8D5}"/>
    <cellStyle name="Normal 8 5 2 4 3" xfId="6112" xr:uid="{00000000-0005-0000-0000-00002C1E0000}"/>
    <cellStyle name="Normal 8 5 2 4 3 2" xfId="14562" xr:uid="{C957841A-4639-4999-A3AA-7551FB0A3C36}"/>
    <cellStyle name="Normal 8 5 2 4 4" xfId="10344" xr:uid="{AFB389AF-3A63-4DD9-A418-F602393EEC79}"/>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5FB6522D-FA3E-4E95-92D0-ED1ACD16603F}"/>
    <cellStyle name="Normal 8 5 2 5 2 3" xfId="12902" xr:uid="{720CA1D5-DD28-42EB-A03C-985F28AA8198}"/>
    <cellStyle name="Normal 8 5 2 5 3" xfId="6525" xr:uid="{00000000-0005-0000-0000-0000301E0000}"/>
    <cellStyle name="Normal 8 5 2 5 3 2" xfId="14975" xr:uid="{DC00B0FF-41CC-48B8-A988-A7BB09A1C16D}"/>
    <cellStyle name="Normal 8 5 2 5 4" xfId="10757" xr:uid="{81FC6E20-D846-464D-B760-F9BFC3D94F0C}"/>
    <cellStyle name="Normal 8 5 2 6" xfId="2655" xr:uid="{00000000-0005-0000-0000-0000311E0000}"/>
    <cellStyle name="Normal 8 5 2 6 2" xfId="6938" xr:uid="{00000000-0005-0000-0000-0000321E0000}"/>
    <cellStyle name="Normal 8 5 2 6 2 2" xfId="15388" xr:uid="{94A36C99-E4AD-4877-A6F9-8046985F24A3}"/>
    <cellStyle name="Normal 8 5 2 6 3" xfId="11170" xr:uid="{865BEB8F-BB79-4359-B76F-3824333001BA}"/>
    <cellStyle name="Normal 8 5 2 7" xfId="4873" xr:uid="{00000000-0005-0000-0000-0000331E0000}"/>
    <cellStyle name="Normal 8 5 2 7 2" xfId="13323" xr:uid="{42F4F9B2-2E0C-4170-BBF2-E52E39D07CE2}"/>
    <cellStyle name="Normal 8 5 2 8" xfId="9105" xr:uid="{64C5CBF0-C90E-4F5C-8986-0016274ADD67}"/>
    <cellStyle name="Normal 8 5 3" xfId="974" xr:uid="{00000000-0005-0000-0000-0000341E0000}"/>
    <cellStyle name="Normal 8 5 3 2" xfId="3208" xr:uid="{00000000-0005-0000-0000-0000351E0000}"/>
    <cellStyle name="Normal 8 5 3 2 2" xfId="7430" xr:uid="{00000000-0005-0000-0000-0000361E0000}"/>
    <cellStyle name="Normal 8 5 3 2 2 2" xfId="15880" xr:uid="{207D61F3-8F0F-42EA-8CD0-5435C2B035CC}"/>
    <cellStyle name="Normal 8 5 3 2 3" xfId="11662" xr:uid="{AD791BB0-63D4-40F4-8FD1-0D4D8C576CDC}"/>
    <cellStyle name="Normal 8 5 3 3" xfId="5285" xr:uid="{00000000-0005-0000-0000-0000371E0000}"/>
    <cellStyle name="Normal 8 5 3 3 2" xfId="13735" xr:uid="{48CAD993-4E95-49E3-973E-9475B49195A5}"/>
    <cellStyle name="Normal 8 5 3 4" xfId="9517" xr:uid="{BDA1FD07-8944-4727-891D-69D518E8E88B}"/>
    <cellStyle name="Normal 8 5 4" xfId="1391" xr:uid="{00000000-0005-0000-0000-0000381E0000}"/>
    <cellStyle name="Normal 8 5 4 2" xfId="3621" xr:uid="{00000000-0005-0000-0000-0000391E0000}"/>
    <cellStyle name="Normal 8 5 4 2 2" xfId="7843" xr:uid="{00000000-0005-0000-0000-00003A1E0000}"/>
    <cellStyle name="Normal 8 5 4 2 2 2" xfId="16293" xr:uid="{CB3C5E45-729E-47CA-9AE0-DA50B3B2C76F}"/>
    <cellStyle name="Normal 8 5 4 2 3" xfId="12075" xr:uid="{79267B65-4306-41C4-9E11-3ADA46C79A1F}"/>
    <cellStyle name="Normal 8 5 4 3" xfId="5698" xr:uid="{00000000-0005-0000-0000-00003B1E0000}"/>
    <cellStyle name="Normal 8 5 4 3 2" xfId="14148" xr:uid="{89AA6FBE-5201-4CE7-80DB-7A68073775A3}"/>
    <cellStyle name="Normal 8 5 4 4" xfId="9930" xr:uid="{383EA4B9-B3CE-4D25-9FC8-5D5FD56EE318}"/>
    <cellStyle name="Normal 8 5 5" xfId="1804" xr:uid="{00000000-0005-0000-0000-00003C1E0000}"/>
    <cellStyle name="Normal 8 5 5 2" xfId="4034" xr:uid="{00000000-0005-0000-0000-00003D1E0000}"/>
    <cellStyle name="Normal 8 5 5 2 2" xfId="8256" xr:uid="{00000000-0005-0000-0000-00003E1E0000}"/>
    <cellStyle name="Normal 8 5 5 2 2 2" xfId="16706" xr:uid="{C508B707-5ABB-4C40-AB4C-C76E1696BD39}"/>
    <cellStyle name="Normal 8 5 5 2 3" xfId="12488" xr:uid="{9F422CB1-5B52-4319-BAEA-DCCF14BABDA6}"/>
    <cellStyle name="Normal 8 5 5 3" xfId="6111" xr:uid="{00000000-0005-0000-0000-00003F1E0000}"/>
    <cellStyle name="Normal 8 5 5 3 2" xfId="14561" xr:uid="{E7E527EF-D231-4818-939D-99950C0A8162}"/>
    <cellStyle name="Normal 8 5 5 4" xfId="10343" xr:uid="{49498DE7-6117-4A3F-9C32-3CD0E9E92BE2}"/>
    <cellStyle name="Normal 8 5 6" xfId="2218" xr:uid="{00000000-0005-0000-0000-0000401E0000}"/>
    <cellStyle name="Normal 8 5 6 2" xfId="4447" xr:uid="{00000000-0005-0000-0000-0000411E0000}"/>
    <cellStyle name="Normal 8 5 6 2 2" xfId="8669" xr:uid="{00000000-0005-0000-0000-0000421E0000}"/>
    <cellStyle name="Normal 8 5 6 2 2 2" xfId="17119" xr:uid="{0121EFFB-A7EE-4058-9841-6F51B547FBE3}"/>
    <cellStyle name="Normal 8 5 6 2 3" xfId="12901" xr:uid="{FD6EBE66-CC8D-44B6-A1B6-AC576B5697AB}"/>
    <cellStyle name="Normal 8 5 6 3" xfId="6524" xr:uid="{00000000-0005-0000-0000-0000431E0000}"/>
    <cellStyle name="Normal 8 5 6 3 2" xfId="14974" xr:uid="{EF3FC8C8-FC71-478E-BD86-5DBFDAD33683}"/>
    <cellStyle name="Normal 8 5 6 4" xfId="10756" xr:uid="{38279C5D-B9E8-4D9B-ABDA-AD36A58311A1}"/>
    <cellStyle name="Normal 8 5 7" xfId="2654" xr:uid="{00000000-0005-0000-0000-0000441E0000}"/>
    <cellStyle name="Normal 8 5 7 2" xfId="6937" xr:uid="{00000000-0005-0000-0000-0000451E0000}"/>
    <cellStyle name="Normal 8 5 7 2 2" xfId="15387" xr:uid="{6551117D-46EF-4D6C-9A52-53583CD577FD}"/>
    <cellStyle name="Normal 8 5 7 3" xfId="11169" xr:uid="{F25D75CE-19F2-4D8D-8B29-E813302EDA23}"/>
    <cellStyle name="Normal 8 5 8" xfId="4872" xr:uid="{00000000-0005-0000-0000-0000461E0000}"/>
    <cellStyle name="Normal 8 5 8 2" xfId="13322" xr:uid="{1A150199-B4F4-4FBD-99AD-BB1E9E9495C9}"/>
    <cellStyle name="Normal 8 5 9" xfId="9104" xr:uid="{65E39E93-78B1-4863-91F8-B4FEA848EB8D}"/>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5438AF4D-01BC-4AB1-AD76-2C3453414D95}"/>
    <cellStyle name="Normal 8 6 2 2 3" xfId="11664" xr:uid="{F711A3C2-ECDB-40EE-A064-699E5E841958}"/>
    <cellStyle name="Normal 8 6 2 3" xfId="5287" xr:uid="{00000000-0005-0000-0000-00004B1E0000}"/>
    <cellStyle name="Normal 8 6 2 3 2" xfId="13737" xr:uid="{7E9B1F87-B884-418A-A415-D677D05E7953}"/>
    <cellStyle name="Normal 8 6 2 4" xfId="9519" xr:uid="{54563790-0D78-47D6-86DE-563F2B3342FE}"/>
    <cellStyle name="Normal 8 6 3" xfId="1393" xr:uid="{00000000-0005-0000-0000-00004C1E0000}"/>
    <cellStyle name="Normal 8 6 3 2" xfId="3623" xr:uid="{00000000-0005-0000-0000-00004D1E0000}"/>
    <cellStyle name="Normal 8 6 3 2 2" xfId="7845" xr:uid="{00000000-0005-0000-0000-00004E1E0000}"/>
    <cellStyle name="Normal 8 6 3 2 2 2" xfId="16295" xr:uid="{7897B10D-59CE-4E76-B257-0AF6A74A6244}"/>
    <cellStyle name="Normal 8 6 3 2 3" xfId="12077" xr:uid="{4C09882C-6B2D-419B-AFB0-B39F75C3436D}"/>
    <cellStyle name="Normal 8 6 3 3" xfId="5700" xr:uid="{00000000-0005-0000-0000-00004F1E0000}"/>
    <cellStyle name="Normal 8 6 3 3 2" xfId="14150" xr:uid="{5A144CCF-5968-48B5-995F-B3255599838C}"/>
    <cellStyle name="Normal 8 6 3 4" xfId="9932" xr:uid="{C5B1BD9A-6795-4923-A742-3273016DD4E7}"/>
    <cellStyle name="Normal 8 6 4" xfId="1806" xr:uid="{00000000-0005-0000-0000-0000501E0000}"/>
    <cellStyle name="Normal 8 6 4 2" xfId="4036" xr:uid="{00000000-0005-0000-0000-0000511E0000}"/>
    <cellStyle name="Normal 8 6 4 2 2" xfId="8258" xr:uid="{00000000-0005-0000-0000-0000521E0000}"/>
    <cellStyle name="Normal 8 6 4 2 2 2" xfId="16708" xr:uid="{CCAFDF55-671E-431A-B075-92D88DE3D487}"/>
    <cellStyle name="Normal 8 6 4 2 3" xfId="12490" xr:uid="{EFE6EA1E-9521-4A10-97B6-EBCC06E5AD9F}"/>
    <cellStyle name="Normal 8 6 4 3" xfId="6113" xr:uid="{00000000-0005-0000-0000-0000531E0000}"/>
    <cellStyle name="Normal 8 6 4 3 2" xfId="14563" xr:uid="{40E7ED6F-8277-49E4-9CE8-1E6ACE1615B0}"/>
    <cellStyle name="Normal 8 6 4 4" xfId="10345" xr:uid="{E910E5B8-84A6-4638-916B-32982F757EF2}"/>
    <cellStyle name="Normal 8 6 5" xfId="2220" xr:uid="{00000000-0005-0000-0000-0000541E0000}"/>
    <cellStyle name="Normal 8 6 5 2" xfId="4449" xr:uid="{00000000-0005-0000-0000-0000551E0000}"/>
    <cellStyle name="Normal 8 6 5 2 2" xfId="8671" xr:uid="{00000000-0005-0000-0000-0000561E0000}"/>
    <cellStyle name="Normal 8 6 5 2 2 2" xfId="17121" xr:uid="{46F13C6C-B0A4-4C77-BCCB-A4B9A6A60ADE}"/>
    <cellStyle name="Normal 8 6 5 2 3" xfId="12903" xr:uid="{59BDF5FD-3325-4C2D-A2BF-93FD19E7367B}"/>
    <cellStyle name="Normal 8 6 5 3" xfId="6526" xr:uid="{00000000-0005-0000-0000-0000571E0000}"/>
    <cellStyle name="Normal 8 6 5 3 2" xfId="14976" xr:uid="{CE5A1F66-82F7-4261-8B94-74DAE0088D14}"/>
    <cellStyle name="Normal 8 6 5 4" xfId="10758" xr:uid="{3379403E-CE0F-4EE4-8E7E-2A1FE2493447}"/>
    <cellStyle name="Normal 8 6 6" xfId="2656" xr:uid="{00000000-0005-0000-0000-0000581E0000}"/>
    <cellStyle name="Normal 8 6 6 2" xfId="6939" xr:uid="{00000000-0005-0000-0000-0000591E0000}"/>
    <cellStyle name="Normal 8 6 6 2 2" xfId="15389" xr:uid="{A85C3B55-751B-48D3-AF64-B568CAFBB6F7}"/>
    <cellStyle name="Normal 8 6 6 3" xfId="11171" xr:uid="{76152C7A-3D04-48D8-8AB3-DBD147BBFEA5}"/>
    <cellStyle name="Normal 8 6 7" xfId="4874" xr:uid="{00000000-0005-0000-0000-00005A1E0000}"/>
    <cellStyle name="Normal 8 6 7 2" xfId="13324" xr:uid="{CE9280C5-024D-4B99-94F4-B2600062EDCC}"/>
    <cellStyle name="Normal 8 6 8" xfId="9106" xr:uid="{82A536CB-971A-41DF-A0F8-15F3580EDA06}"/>
    <cellStyle name="Normal 8 7" xfId="945" xr:uid="{00000000-0005-0000-0000-00005B1E0000}"/>
    <cellStyle name="Normal 8 7 2" xfId="3179" xr:uid="{00000000-0005-0000-0000-00005C1E0000}"/>
    <cellStyle name="Normal 8 7 2 2" xfId="7401" xr:uid="{00000000-0005-0000-0000-00005D1E0000}"/>
    <cellStyle name="Normal 8 7 2 2 2" xfId="15851" xr:uid="{793B055C-3131-471F-93FE-BD29B5D37B92}"/>
    <cellStyle name="Normal 8 7 2 3" xfId="11633" xr:uid="{A3788937-3F67-41C5-BE20-D0D280EA1D6F}"/>
    <cellStyle name="Normal 8 7 3" xfId="5256" xr:uid="{00000000-0005-0000-0000-00005E1E0000}"/>
    <cellStyle name="Normal 8 7 3 2" xfId="13706" xr:uid="{BFD7529D-4955-4EBB-BD70-34F8C9A97669}"/>
    <cellStyle name="Normal 8 7 4" xfId="9488" xr:uid="{0EFE2B72-FB5B-4123-AB14-4315D3D237DA}"/>
    <cellStyle name="Normal 8 8" xfId="1362" xr:uid="{00000000-0005-0000-0000-00005F1E0000}"/>
    <cellStyle name="Normal 8 8 2" xfId="3592" xr:uid="{00000000-0005-0000-0000-0000601E0000}"/>
    <cellStyle name="Normal 8 8 2 2" xfId="7814" xr:uid="{00000000-0005-0000-0000-0000611E0000}"/>
    <cellStyle name="Normal 8 8 2 2 2" xfId="16264" xr:uid="{303614F7-DE5E-4A61-8976-B40FEBC43679}"/>
    <cellStyle name="Normal 8 8 2 3" xfId="12046" xr:uid="{7464A45F-1923-4594-AEEB-8B5F14967BB2}"/>
    <cellStyle name="Normal 8 8 3" xfId="5669" xr:uid="{00000000-0005-0000-0000-0000621E0000}"/>
    <cellStyle name="Normal 8 8 3 2" xfId="14119" xr:uid="{9DC93CEE-D59D-498B-8418-DD5BE0BFE874}"/>
    <cellStyle name="Normal 8 8 4" xfId="9901" xr:uid="{5068CD57-E62C-452B-A38B-43F963FD8A44}"/>
    <cellStyle name="Normal 8 9" xfId="1775" xr:uid="{00000000-0005-0000-0000-0000631E0000}"/>
    <cellStyle name="Normal 8 9 2" xfId="4005" xr:uid="{00000000-0005-0000-0000-0000641E0000}"/>
    <cellStyle name="Normal 8 9 2 2" xfId="8227" xr:uid="{00000000-0005-0000-0000-0000651E0000}"/>
    <cellStyle name="Normal 8 9 2 2 2" xfId="16677" xr:uid="{2852A47B-1F98-4B21-92F1-9EC440C91597}"/>
    <cellStyle name="Normal 8 9 2 3" xfId="12459" xr:uid="{67ADAFDA-E8E9-4378-BBCA-64A061D82771}"/>
    <cellStyle name="Normal 8 9 3" xfId="6082" xr:uid="{00000000-0005-0000-0000-0000661E0000}"/>
    <cellStyle name="Normal 8 9 3 2" xfId="14532" xr:uid="{553BED6D-9967-4223-90CA-EFF7347DD01A}"/>
    <cellStyle name="Normal 8 9 4" xfId="10314" xr:uid="{5D3C568B-54F7-4F5C-9B32-DE9FD45286F1}"/>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9CB554BB-1F9E-43AF-9C92-1089A105BA9C}"/>
    <cellStyle name="Normal 9 2 10 3" xfId="11172" xr:uid="{07AD1052-A52C-40E3-87B2-1557CB8790C9}"/>
    <cellStyle name="Normal 9 2 11" xfId="4875" xr:uid="{00000000-0005-0000-0000-00006B1E0000}"/>
    <cellStyle name="Normal 9 2 11 2" xfId="13325" xr:uid="{B42B2439-64E1-43E5-932D-831D2D2C9775}"/>
    <cellStyle name="Normal 9 2 12" xfId="9107" xr:uid="{37DE59DF-74F0-471E-8F87-135AEE7ABEB7}"/>
    <cellStyle name="Normal 9 2 2" xfId="512" xr:uid="{00000000-0005-0000-0000-00006C1E0000}"/>
    <cellStyle name="Normal 9 2 2 10" xfId="4876" xr:uid="{00000000-0005-0000-0000-00006D1E0000}"/>
    <cellStyle name="Normal 9 2 2 10 2" xfId="13326" xr:uid="{CF044CBF-3CC3-4953-9EA7-46040B3EE3AD}"/>
    <cellStyle name="Normal 9 2 2 11" xfId="9108" xr:uid="{BDCF9E2E-2230-4B5A-B263-97BBC3E4BAB9}"/>
    <cellStyle name="Normal 9 2 2 2" xfId="513" xr:uid="{00000000-0005-0000-0000-00006E1E0000}"/>
    <cellStyle name="Normal 9 2 2 2 10" xfId="9109" xr:uid="{B037C080-4A1E-4A90-BFAB-716E1EB89691}"/>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B5F0F73C-327D-4137-8F5B-67AC4AA31A0F}"/>
    <cellStyle name="Normal 9 2 2 2 2 2 2 2 3" xfId="11669" xr:uid="{F2EC0607-9623-4CF7-A081-D09EA5D73BB9}"/>
    <cellStyle name="Normal 9 2 2 2 2 2 2 3" xfId="5292" xr:uid="{00000000-0005-0000-0000-0000741E0000}"/>
    <cellStyle name="Normal 9 2 2 2 2 2 2 3 2" xfId="13742" xr:uid="{B1287C1A-EB31-4418-AEA7-765755356589}"/>
    <cellStyle name="Normal 9 2 2 2 2 2 2 4" xfId="9524" xr:uid="{50B53C85-2BB5-4D93-A62C-2C8AAB96D48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A108957E-CBAA-4CB5-AD55-EE591A95751B}"/>
    <cellStyle name="Normal 9 2 2 2 2 2 3 2 3" xfId="12082" xr:uid="{30230DC4-C8EC-43B6-A3DE-AAB311348B94}"/>
    <cellStyle name="Normal 9 2 2 2 2 2 3 3" xfId="5705" xr:uid="{00000000-0005-0000-0000-0000781E0000}"/>
    <cellStyle name="Normal 9 2 2 2 2 2 3 3 2" xfId="14155" xr:uid="{9FC14536-4D04-4268-9BBB-FBE393897E14}"/>
    <cellStyle name="Normal 9 2 2 2 2 2 3 4" xfId="9937" xr:uid="{443AD381-02CD-48A8-AB6F-3D2320999C24}"/>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8408A377-7CCF-4E28-9F97-A75D33EF7594}"/>
    <cellStyle name="Normal 9 2 2 2 2 2 4 2 3" xfId="12495" xr:uid="{024887CB-A5A5-47DB-BC4F-CD2B4E9827EB}"/>
    <cellStyle name="Normal 9 2 2 2 2 2 4 3" xfId="6118" xr:uid="{00000000-0005-0000-0000-00007C1E0000}"/>
    <cellStyle name="Normal 9 2 2 2 2 2 4 3 2" xfId="14568" xr:uid="{04396358-0F07-4DC7-947C-06714D0A6F0B}"/>
    <cellStyle name="Normal 9 2 2 2 2 2 4 4" xfId="10350" xr:uid="{49C0EFEE-39A0-447D-95ED-174A7D9329BE}"/>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3246A28B-2D17-4548-ABB3-8CE2C9EE86AC}"/>
    <cellStyle name="Normal 9 2 2 2 2 2 5 2 3" xfId="12908" xr:uid="{D06ECAF8-9AAF-4E90-A151-F7BA47FE684F}"/>
    <cellStyle name="Normal 9 2 2 2 2 2 5 3" xfId="6531" xr:uid="{00000000-0005-0000-0000-0000801E0000}"/>
    <cellStyle name="Normal 9 2 2 2 2 2 5 3 2" xfId="14981" xr:uid="{9FD9C162-E933-4E06-AA92-980EC46B5599}"/>
    <cellStyle name="Normal 9 2 2 2 2 2 5 4" xfId="10763" xr:uid="{B7646E9B-A23D-4715-BFF5-50148FA2D880}"/>
    <cellStyle name="Normal 9 2 2 2 2 2 6" xfId="2661" xr:uid="{00000000-0005-0000-0000-0000811E0000}"/>
    <cellStyle name="Normal 9 2 2 2 2 2 6 2" xfId="6944" xr:uid="{00000000-0005-0000-0000-0000821E0000}"/>
    <cellStyle name="Normal 9 2 2 2 2 2 6 2 2" xfId="15394" xr:uid="{9047D9BC-83B5-4225-A52F-1C1861F4A555}"/>
    <cellStyle name="Normal 9 2 2 2 2 2 6 3" xfId="11176" xr:uid="{445564B2-2740-4954-8990-8C3F311310B6}"/>
    <cellStyle name="Normal 9 2 2 2 2 2 7" xfId="4879" xr:uid="{00000000-0005-0000-0000-0000831E0000}"/>
    <cellStyle name="Normal 9 2 2 2 2 2 7 2" xfId="13329" xr:uid="{161EB5E7-5C90-439E-BB96-91F32015FA96}"/>
    <cellStyle name="Normal 9 2 2 2 2 2 8" xfId="9111" xr:uid="{A8682D2A-88BC-4271-BB40-563CF160D9CE}"/>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97CA34C5-A86B-40E2-88F3-FD860490FFA5}"/>
    <cellStyle name="Normal 9 2 2 2 2 3 2 3" xfId="11668" xr:uid="{9BEE7870-B084-4649-9730-2C6803428ABD}"/>
    <cellStyle name="Normal 9 2 2 2 2 3 3" xfId="5291" xr:uid="{00000000-0005-0000-0000-0000871E0000}"/>
    <cellStyle name="Normal 9 2 2 2 2 3 3 2" xfId="13741" xr:uid="{4675DD18-6778-4AB9-A226-7B71F9A96273}"/>
    <cellStyle name="Normal 9 2 2 2 2 3 4" xfId="9523" xr:uid="{63A3D372-EEA7-4CF8-8CE6-CFEEA4260F33}"/>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8BD9FECA-DE59-4C66-A31D-3BA1B25D0624}"/>
    <cellStyle name="Normal 9 2 2 2 2 4 2 3" xfId="12081" xr:uid="{D4E2D638-912D-4826-86B5-6E33192D92C8}"/>
    <cellStyle name="Normal 9 2 2 2 2 4 3" xfId="5704" xr:uid="{00000000-0005-0000-0000-00008B1E0000}"/>
    <cellStyle name="Normal 9 2 2 2 2 4 3 2" xfId="14154" xr:uid="{C7A672C1-B77F-4DED-A4C5-FED0A82D7528}"/>
    <cellStyle name="Normal 9 2 2 2 2 4 4" xfId="9936" xr:uid="{B5213BD6-EF1F-438C-8194-12FE36DFB84A}"/>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6A33F742-8530-4ECF-8993-AE7BEBEEFC75}"/>
    <cellStyle name="Normal 9 2 2 2 2 5 2 3" xfId="12494" xr:uid="{513687D4-6AB5-4B94-9A08-D699237AC019}"/>
    <cellStyle name="Normal 9 2 2 2 2 5 3" xfId="6117" xr:uid="{00000000-0005-0000-0000-00008F1E0000}"/>
    <cellStyle name="Normal 9 2 2 2 2 5 3 2" xfId="14567" xr:uid="{86343DB6-DAC4-42A1-876D-3163103BC7B4}"/>
    <cellStyle name="Normal 9 2 2 2 2 5 4" xfId="10349" xr:uid="{75E9CB42-97EE-4B26-8EA5-BE13C860571D}"/>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0251DE0B-08D8-4855-9555-D4ED6680D978}"/>
    <cellStyle name="Normal 9 2 2 2 2 6 2 3" xfId="12907" xr:uid="{904E2FF4-2DBB-42EA-A111-876C56D4B09D}"/>
    <cellStyle name="Normal 9 2 2 2 2 6 3" xfId="6530" xr:uid="{00000000-0005-0000-0000-0000931E0000}"/>
    <cellStyle name="Normal 9 2 2 2 2 6 3 2" xfId="14980" xr:uid="{E0C65D76-CB76-479E-BC7C-B78399AA997D}"/>
    <cellStyle name="Normal 9 2 2 2 2 6 4" xfId="10762" xr:uid="{B96DF222-339C-4207-BA14-1D7C9C0FF53B}"/>
    <cellStyle name="Normal 9 2 2 2 2 7" xfId="2660" xr:uid="{00000000-0005-0000-0000-0000941E0000}"/>
    <cellStyle name="Normal 9 2 2 2 2 7 2" xfId="6943" xr:uid="{00000000-0005-0000-0000-0000951E0000}"/>
    <cellStyle name="Normal 9 2 2 2 2 7 2 2" xfId="15393" xr:uid="{37344F47-7F5A-4425-BDBB-3AA5060AB575}"/>
    <cellStyle name="Normal 9 2 2 2 2 7 3" xfId="11175" xr:uid="{BE44A119-BB59-4A9C-B3C5-D2542185EF1B}"/>
    <cellStyle name="Normal 9 2 2 2 2 8" xfId="4878" xr:uid="{00000000-0005-0000-0000-0000961E0000}"/>
    <cellStyle name="Normal 9 2 2 2 2 8 2" xfId="13328" xr:uid="{83B676E5-E7EF-4440-8368-CB6617055A74}"/>
    <cellStyle name="Normal 9 2 2 2 2 9" xfId="9110" xr:uid="{1023F857-10B0-44F3-ACE8-33B98591F1AF}"/>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C39E3ACD-C521-4EEA-8353-0EDFC7049AC2}"/>
    <cellStyle name="Normal 9 2 2 2 3 2 2 3" xfId="11670" xr:uid="{313AE792-0548-4F90-9702-99FAD2B58FA0}"/>
    <cellStyle name="Normal 9 2 2 2 3 2 3" xfId="5293" xr:uid="{00000000-0005-0000-0000-00009B1E0000}"/>
    <cellStyle name="Normal 9 2 2 2 3 2 3 2" xfId="13743" xr:uid="{BE87A9E6-393A-446B-A34A-3EF15A0502B7}"/>
    <cellStyle name="Normal 9 2 2 2 3 2 4" xfId="9525" xr:uid="{4B5481A4-A546-4C8E-B21E-F0A882D4769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9C7D97C9-E0B7-40FB-B2A8-12FA121AFB89}"/>
    <cellStyle name="Normal 9 2 2 2 3 3 2 3" xfId="12083" xr:uid="{32CB6F88-E595-4431-95EB-0C480D5138B3}"/>
    <cellStyle name="Normal 9 2 2 2 3 3 3" xfId="5706" xr:uid="{00000000-0005-0000-0000-00009F1E0000}"/>
    <cellStyle name="Normal 9 2 2 2 3 3 3 2" xfId="14156" xr:uid="{0E47B597-ED1C-411E-AF21-2CA4320D9D22}"/>
    <cellStyle name="Normal 9 2 2 2 3 3 4" xfId="9938" xr:uid="{B3095319-8255-41E7-81CA-B2CF037C3099}"/>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7FA6FA03-E8A6-46F1-93F4-E9358E6D557A}"/>
    <cellStyle name="Normal 9 2 2 2 3 4 2 3" xfId="12496" xr:uid="{244FB934-3FF1-4D35-ABAF-77895522A8F2}"/>
    <cellStyle name="Normal 9 2 2 2 3 4 3" xfId="6119" xr:uid="{00000000-0005-0000-0000-0000A31E0000}"/>
    <cellStyle name="Normal 9 2 2 2 3 4 3 2" xfId="14569" xr:uid="{A503A490-3AC2-4A2B-811D-70A9EE6CD0CA}"/>
    <cellStyle name="Normal 9 2 2 2 3 4 4" xfId="10351" xr:uid="{6EBB532C-6800-4699-A170-C0029EB5C0AD}"/>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47F5621C-2E05-4625-960F-9429443562B5}"/>
    <cellStyle name="Normal 9 2 2 2 3 5 2 3" xfId="12909" xr:uid="{79C7352A-D8AA-4348-987F-C0DBB4C9C938}"/>
    <cellStyle name="Normal 9 2 2 2 3 5 3" xfId="6532" xr:uid="{00000000-0005-0000-0000-0000A71E0000}"/>
    <cellStyle name="Normal 9 2 2 2 3 5 3 2" xfId="14982" xr:uid="{785EAB6C-7896-43BC-95F6-89465B87C080}"/>
    <cellStyle name="Normal 9 2 2 2 3 5 4" xfId="10764" xr:uid="{5F38F27A-783D-413C-AF17-3B0139EC1181}"/>
    <cellStyle name="Normal 9 2 2 2 3 6" xfId="2662" xr:uid="{00000000-0005-0000-0000-0000A81E0000}"/>
    <cellStyle name="Normal 9 2 2 2 3 6 2" xfId="6945" xr:uid="{00000000-0005-0000-0000-0000A91E0000}"/>
    <cellStyle name="Normal 9 2 2 2 3 6 2 2" xfId="15395" xr:uid="{91191E66-3D7A-49B0-B26B-BC3E38588EC4}"/>
    <cellStyle name="Normal 9 2 2 2 3 6 3" xfId="11177" xr:uid="{9CA0D5C3-B502-4267-BBDB-A64799A0893F}"/>
    <cellStyle name="Normal 9 2 2 2 3 7" xfId="4880" xr:uid="{00000000-0005-0000-0000-0000AA1E0000}"/>
    <cellStyle name="Normal 9 2 2 2 3 7 2" xfId="13330" xr:uid="{57DB5171-7FF9-4F2D-A96A-1F83D7200B84}"/>
    <cellStyle name="Normal 9 2 2 2 3 8" xfId="9112" xr:uid="{54721991-0E4A-4DBC-A23D-69B634924D7B}"/>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03DEC759-3ADD-45E0-B814-2D5BBA19572F}"/>
    <cellStyle name="Normal 9 2 2 2 4 2 3" xfId="11667" xr:uid="{40C502F3-0BF1-40BB-B35D-20BA1833FE1F}"/>
    <cellStyle name="Normal 9 2 2 2 4 3" xfId="5290" xr:uid="{00000000-0005-0000-0000-0000AE1E0000}"/>
    <cellStyle name="Normal 9 2 2 2 4 3 2" xfId="13740" xr:uid="{B6731CA8-516A-4B9D-B145-B2D892A6D662}"/>
    <cellStyle name="Normal 9 2 2 2 4 4" xfId="9522" xr:uid="{3BAE631F-C033-4B20-854A-36F2EA4080CC}"/>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80F6A603-3E33-4F55-A261-FCC48F41851B}"/>
    <cellStyle name="Normal 9 2 2 2 5 2 3" xfId="12080" xr:uid="{D5E8C1E1-99F4-4450-BC89-DB90A3CB31BB}"/>
    <cellStyle name="Normal 9 2 2 2 5 3" xfId="5703" xr:uid="{00000000-0005-0000-0000-0000B21E0000}"/>
    <cellStyle name="Normal 9 2 2 2 5 3 2" xfId="14153" xr:uid="{1C0FC7C5-613D-4BBE-AF99-8940162F9E4D}"/>
    <cellStyle name="Normal 9 2 2 2 5 4" xfId="9935" xr:uid="{3B018CD8-3D04-40AE-8AC2-23CDA0F6F02C}"/>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2B9DB416-E65D-4011-9880-4DB44E7A180F}"/>
    <cellStyle name="Normal 9 2 2 2 6 2 3" xfId="12493" xr:uid="{336275B4-560F-4C2A-879A-0FCE3465993B}"/>
    <cellStyle name="Normal 9 2 2 2 6 3" xfId="6116" xr:uid="{00000000-0005-0000-0000-0000B61E0000}"/>
    <cellStyle name="Normal 9 2 2 2 6 3 2" xfId="14566" xr:uid="{B47E4B92-1B81-4568-95DB-E6D9F92265A7}"/>
    <cellStyle name="Normal 9 2 2 2 6 4" xfId="10348" xr:uid="{E9564424-8D9C-4BBC-BB56-4308B68798B2}"/>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B478C595-7DCC-4EEB-BB86-B2D98F3373FA}"/>
    <cellStyle name="Normal 9 2 2 2 7 2 3" xfId="12906" xr:uid="{9857A848-7867-4254-87A4-5FE1CEC4AF41}"/>
    <cellStyle name="Normal 9 2 2 2 7 3" xfId="6529" xr:uid="{00000000-0005-0000-0000-0000BA1E0000}"/>
    <cellStyle name="Normal 9 2 2 2 7 3 2" xfId="14979" xr:uid="{88BDA8A6-55F0-4E7E-A7B3-CF852C7B7E9D}"/>
    <cellStyle name="Normal 9 2 2 2 7 4" xfId="10761" xr:uid="{DF93121C-54C6-4075-A2C6-259C5FCEE890}"/>
    <cellStyle name="Normal 9 2 2 2 8" xfId="2659" xr:uid="{00000000-0005-0000-0000-0000BB1E0000}"/>
    <cellStyle name="Normal 9 2 2 2 8 2" xfId="6942" xr:uid="{00000000-0005-0000-0000-0000BC1E0000}"/>
    <cellStyle name="Normal 9 2 2 2 8 2 2" xfId="15392" xr:uid="{5A39436A-CB0E-4A3B-8C32-0410C0E3C719}"/>
    <cellStyle name="Normal 9 2 2 2 8 3" xfId="11174" xr:uid="{FBE165A7-11E1-4711-B527-F705C8A32223}"/>
    <cellStyle name="Normal 9 2 2 2 9" xfId="4877" xr:uid="{00000000-0005-0000-0000-0000BD1E0000}"/>
    <cellStyle name="Normal 9 2 2 2 9 2" xfId="13327" xr:uid="{3FA9FE61-B521-4849-8736-6721858D461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CEC2064A-0809-441E-8965-905A2FE2DC61}"/>
    <cellStyle name="Normal 9 2 2 3 2 2 2 3" xfId="11672" xr:uid="{E64B2CDB-8ECC-4D2F-ADA3-99866455AF7E}"/>
    <cellStyle name="Normal 9 2 2 3 2 2 3" xfId="5295" xr:uid="{00000000-0005-0000-0000-0000C31E0000}"/>
    <cellStyle name="Normal 9 2 2 3 2 2 3 2" xfId="13745" xr:uid="{5C26D978-B30A-40F6-A33A-91D6ECC1769B}"/>
    <cellStyle name="Normal 9 2 2 3 2 2 4" xfId="9527" xr:uid="{4F8C9B86-3FC8-4630-97B6-12854C35AB74}"/>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8B64C390-2556-40D5-ADD2-5032B9907A6B}"/>
    <cellStyle name="Normal 9 2 2 3 2 3 2 3" xfId="12085" xr:uid="{E903177A-6D61-49DE-AE9E-FD927DEBDE04}"/>
    <cellStyle name="Normal 9 2 2 3 2 3 3" xfId="5708" xr:uid="{00000000-0005-0000-0000-0000C71E0000}"/>
    <cellStyle name="Normal 9 2 2 3 2 3 3 2" xfId="14158" xr:uid="{D6D52587-6DF5-4C58-9F94-F498535A0F5A}"/>
    <cellStyle name="Normal 9 2 2 3 2 3 4" xfId="9940" xr:uid="{C73FAF89-90E1-466E-B45B-9128534385A4}"/>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3B23058E-A476-40CC-B004-769B20837D0A}"/>
    <cellStyle name="Normal 9 2 2 3 2 4 2 3" xfId="12498" xr:uid="{4C07598D-F093-4C64-83DE-AB0AABF235FD}"/>
    <cellStyle name="Normal 9 2 2 3 2 4 3" xfId="6121" xr:uid="{00000000-0005-0000-0000-0000CB1E0000}"/>
    <cellStyle name="Normal 9 2 2 3 2 4 3 2" xfId="14571" xr:uid="{3D84FA76-E01B-431E-BCAC-186098B3374A}"/>
    <cellStyle name="Normal 9 2 2 3 2 4 4" xfId="10353" xr:uid="{3E02E751-046B-4225-AC25-95BDE623E8F3}"/>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70FD2FB4-B2F4-4C62-B7D9-408BACB3ABEB}"/>
    <cellStyle name="Normal 9 2 2 3 2 5 2 3" xfId="12911" xr:uid="{FA9BC58F-E533-46F3-85E4-284E28377D70}"/>
    <cellStyle name="Normal 9 2 2 3 2 5 3" xfId="6534" xr:uid="{00000000-0005-0000-0000-0000CF1E0000}"/>
    <cellStyle name="Normal 9 2 2 3 2 5 3 2" xfId="14984" xr:uid="{0E45A6E1-106D-43A0-80C5-4BE1F697053B}"/>
    <cellStyle name="Normal 9 2 2 3 2 5 4" xfId="10766" xr:uid="{3FCC4C3E-C120-47AB-A8D7-4102DC59A457}"/>
    <cellStyle name="Normal 9 2 2 3 2 6" xfId="2664" xr:uid="{00000000-0005-0000-0000-0000D01E0000}"/>
    <cellStyle name="Normal 9 2 2 3 2 6 2" xfId="6947" xr:uid="{00000000-0005-0000-0000-0000D11E0000}"/>
    <cellStyle name="Normal 9 2 2 3 2 6 2 2" xfId="15397" xr:uid="{C37D0585-6E25-4DE6-90DD-7F4B092ACA73}"/>
    <cellStyle name="Normal 9 2 2 3 2 6 3" xfId="11179" xr:uid="{672E55A1-0155-4CBA-8920-107D513BA7EA}"/>
    <cellStyle name="Normal 9 2 2 3 2 7" xfId="4882" xr:uid="{00000000-0005-0000-0000-0000D21E0000}"/>
    <cellStyle name="Normal 9 2 2 3 2 7 2" xfId="13332" xr:uid="{57167D7C-A977-429D-8735-1A7BD599F39C}"/>
    <cellStyle name="Normal 9 2 2 3 2 8" xfId="9114" xr:uid="{BD364019-C3EF-428B-9356-C416EA37AF1E}"/>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216F6472-6AC8-4621-A2CC-2EA0336D41D2}"/>
    <cellStyle name="Normal 9 2 2 3 3 2 3" xfId="11671" xr:uid="{4D6FCD46-7494-4FF7-9583-041DB1ECB654}"/>
    <cellStyle name="Normal 9 2 2 3 3 3" xfId="5294" xr:uid="{00000000-0005-0000-0000-0000D61E0000}"/>
    <cellStyle name="Normal 9 2 2 3 3 3 2" xfId="13744" xr:uid="{1838577B-8F03-43A2-BB20-A74D6A63BE84}"/>
    <cellStyle name="Normal 9 2 2 3 3 4" xfId="9526" xr:uid="{914ED41C-367D-4F11-9CC4-244AD0044136}"/>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9E81150F-8B43-4938-8892-64D8840051CA}"/>
    <cellStyle name="Normal 9 2 2 3 4 2 3" xfId="12084" xr:uid="{A4ED7A73-947F-4ADE-B607-C23F2A0FA821}"/>
    <cellStyle name="Normal 9 2 2 3 4 3" xfId="5707" xr:uid="{00000000-0005-0000-0000-0000DA1E0000}"/>
    <cellStyle name="Normal 9 2 2 3 4 3 2" xfId="14157" xr:uid="{BBA28BCC-1F2B-40AE-8B29-1FC4F9FA9E60}"/>
    <cellStyle name="Normal 9 2 2 3 4 4" xfId="9939" xr:uid="{BFF2AA63-634B-4275-B5B3-6D5A58FD92B8}"/>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9C51A51A-CFDC-4732-B4EE-3C9B497CD6BD}"/>
    <cellStyle name="Normal 9 2 2 3 5 2 3" xfId="12497" xr:uid="{78BFB55F-6ABB-4C3D-A79C-C6E5570F5EA6}"/>
    <cellStyle name="Normal 9 2 2 3 5 3" xfId="6120" xr:uid="{00000000-0005-0000-0000-0000DE1E0000}"/>
    <cellStyle name="Normal 9 2 2 3 5 3 2" xfId="14570" xr:uid="{C211C38C-CCE9-4E93-BE3D-8F3C22766A69}"/>
    <cellStyle name="Normal 9 2 2 3 5 4" xfId="10352" xr:uid="{34E711EB-4622-4986-96B5-7C7B312CB948}"/>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0A54B473-816A-4AAB-A3B0-600492BC598F}"/>
    <cellStyle name="Normal 9 2 2 3 6 2 3" xfId="12910" xr:uid="{17EE5B10-EB5D-4F41-BCC0-854503AE832B}"/>
    <cellStyle name="Normal 9 2 2 3 6 3" xfId="6533" xr:uid="{00000000-0005-0000-0000-0000E21E0000}"/>
    <cellStyle name="Normal 9 2 2 3 6 3 2" xfId="14983" xr:uid="{67792D6E-5BC9-48FC-8394-8DCC0F4E7AF2}"/>
    <cellStyle name="Normal 9 2 2 3 6 4" xfId="10765" xr:uid="{7C55DF7B-A0BF-4D1F-B12D-7EA6A84DB1B8}"/>
    <cellStyle name="Normal 9 2 2 3 7" xfId="2663" xr:uid="{00000000-0005-0000-0000-0000E31E0000}"/>
    <cellStyle name="Normal 9 2 2 3 7 2" xfId="6946" xr:uid="{00000000-0005-0000-0000-0000E41E0000}"/>
    <cellStyle name="Normal 9 2 2 3 7 2 2" xfId="15396" xr:uid="{C58F222D-604B-4FE3-853E-A0BACFBD072A}"/>
    <cellStyle name="Normal 9 2 2 3 7 3" xfId="11178" xr:uid="{80627678-BD51-40BF-BE8C-09F8CE0DF646}"/>
    <cellStyle name="Normal 9 2 2 3 8" xfId="4881" xr:uid="{00000000-0005-0000-0000-0000E51E0000}"/>
    <cellStyle name="Normal 9 2 2 3 8 2" xfId="13331" xr:uid="{8C709126-78EC-433F-828F-8C6C98F327AE}"/>
    <cellStyle name="Normal 9 2 2 3 9" xfId="9113" xr:uid="{CEB8BED2-62D9-4C9C-8D79-EF96B522B607}"/>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120C50A9-2C94-4E0F-80C7-F2BBB94DA8E8}"/>
    <cellStyle name="Normal 9 2 2 4 2 2 3" xfId="11673" xr:uid="{64BB36D8-7104-4E06-8ED5-23E6EBBF1409}"/>
    <cellStyle name="Normal 9 2 2 4 2 3" xfId="5296" xr:uid="{00000000-0005-0000-0000-0000EA1E0000}"/>
    <cellStyle name="Normal 9 2 2 4 2 3 2" xfId="13746" xr:uid="{2AED1861-3213-4E01-80F1-306BF692581C}"/>
    <cellStyle name="Normal 9 2 2 4 2 4" xfId="9528" xr:uid="{77DE6175-FCCA-4F36-BF25-E405D9E56A73}"/>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1F4B7526-20C4-42D8-B373-E107D4E27F13}"/>
    <cellStyle name="Normal 9 2 2 4 3 2 3" xfId="12086" xr:uid="{84A97D54-4225-4F94-BE4A-35D1B468122B}"/>
    <cellStyle name="Normal 9 2 2 4 3 3" xfId="5709" xr:uid="{00000000-0005-0000-0000-0000EE1E0000}"/>
    <cellStyle name="Normal 9 2 2 4 3 3 2" xfId="14159" xr:uid="{9A55D981-EFCA-4D8F-90FE-ECA3069CA309}"/>
    <cellStyle name="Normal 9 2 2 4 3 4" xfId="9941" xr:uid="{E462BED9-9BB3-4819-8ED0-DCE4592678DA}"/>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0AA9C46B-E75B-4850-AE4A-2CD0841E9DF1}"/>
    <cellStyle name="Normal 9 2 2 4 4 2 3" xfId="12499" xr:uid="{8DB95D36-5F9B-40E7-852E-4FDED78A54DF}"/>
    <cellStyle name="Normal 9 2 2 4 4 3" xfId="6122" xr:uid="{00000000-0005-0000-0000-0000F21E0000}"/>
    <cellStyle name="Normal 9 2 2 4 4 3 2" xfId="14572" xr:uid="{B0848437-1474-47E7-A0F9-210BDE395612}"/>
    <cellStyle name="Normal 9 2 2 4 4 4" xfId="10354" xr:uid="{8C86B9B0-603C-4156-8801-50114DEA160A}"/>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B316CE9B-04C8-4C17-9FFF-F5574D444572}"/>
    <cellStyle name="Normal 9 2 2 4 5 2 3" xfId="12912" xr:uid="{CC7E85BA-99E3-4CA3-BDB8-F5019CC0138B}"/>
    <cellStyle name="Normal 9 2 2 4 5 3" xfId="6535" xr:uid="{00000000-0005-0000-0000-0000F61E0000}"/>
    <cellStyle name="Normal 9 2 2 4 5 3 2" xfId="14985" xr:uid="{9CD3618F-FEF2-480A-95CF-7CC6C6648B44}"/>
    <cellStyle name="Normal 9 2 2 4 5 4" xfId="10767" xr:uid="{2530EAB4-85C8-45BD-9C9F-C1A684C6169F}"/>
    <cellStyle name="Normal 9 2 2 4 6" xfId="2665" xr:uid="{00000000-0005-0000-0000-0000F71E0000}"/>
    <cellStyle name="Normal 9 2 2 4 6 2" xfId="6948" xr:uid="{00000000-0005-0000-0000-0000F81E0000}"/>
    <cellStyle name="Normal 9 2 2 4 6 2 2" xfId="15398" xr:uid="{9F35F98D-618A-4F83-8563-A6968982066B}"/>
    <cellStyle name="Normal 9 2 2 4 6 3" xfId="11180" xr:uid="{D980F71A-5EA9-404A-895F-D368FCB00280}"/>
    <cellStyle name="Normal 9 2 2 4 7" xfId="4883" xr:uid="{00000000-0005-0000-0000-0000F91E0000}"/>
    <cellStyle name="Normal 9 2 2 4 7 2" xfId="13333" xr:uid="{8EFEAC04-AF85-4467-9886-C18407D53B8D}"/>
    <cellStyle name="Normal 9 2 2 4 8" xfId="9115" xr:uid="{74E66725-AE12-41BE-9A05-4AA1D8F866FC}"/>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A50724F5-AE3C-443F-8138-B7547ECF064A}"/>
    <cellStyle name="Normal 9 2 2 5 2 3" xfId="11666" xr:uid="{E9FD5C5F-2F99-4F9D-9B4D-9586F5341FB9}"/>
    <cellStyle name="Normal 9 2 2 5 3" xfId="5289" xr:uid="{00000000-0005-0000-0000-0000FD1E0000}"/>
    <cellStyle name="Normal 9 2 2 5 3 2" xfId="13739" xr:uid="{2CA83055-5EC6-4E6E-8E95-2860BD260048}"/>
    <cellStyle name="Normal 9 2 2 5 4" xfId="9521" xr:uid="{B5214D6B-1DEC-4068-94F4-A26B9103C536}"/>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243D211D-712D-455E-BFA4-2907F1AE1729}"/>
    <cellStyle name="Normal 9 2 2 6 2 3" xfId="12079" xr:uid="{7A0DF750-D463-492B-9D26-6FA9FC3DA030}"/>
    <cellStyle name="Normal 9 2 2 6 3" xfId="5702" xr:uid="{00000000-0005-0000-0000-0000011F0000}"/>
    <cellStyle name="Normal 9 2 2 6 3 2" xfId="14152" xr:uid="{D246F62A-0706-4B9A-9EB7-CB22C455964C}"/>
    <cellStyle name="Normal 9 2 2 6 4" xfId="9934" xr:uid="{AD2574F7-58FB-4C20-A3ED-A193CF128E15}"/>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72871760-3810-48B2-9E3B-4EDC3F1C4506}"/>
    <cellStyle name="Normal 9 2 2 7 2 3" xfId="12492" xr:uid="{55E162DB-006E-4914-994B-588565F3CEFB}"/>
    <cellStyle name="Normal 9 2 2 7 3" xfId="6115" xr:uid="{00000000-0005-0000-0000-0000051F0000}"/>
    <cellStyle name="Normal 9 2 2 7 3 2" xfId="14565" xr:uid="{AD02E0C1-BE05-41FB-9526-3A20FE84518C}"/>
    <cellStyle name="Normal 9 2 2 7 4" xfId="10347" xr:uid="{522DA560-7934-4309-B9F0-2C620F47808A}"/>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EFC17220-105E-42FC-9B65-880911101C74}"/>
    <cellStyle name="Normal 9 2 2 8 2 3" xfId="12905" xr:uid="{B83E698C-7E74-49B8-A3A2-D534CF2CAAF2}"/>
    <cellStyle name="Normal 9 2 2 8 3" xfId="6528" xr:uid="{00000000-0005-0000-0000-0000091F0000}"/>
    <cellStyle name="Normal 9 2 2 8 3 2" xfId="14978" xr:uid="{56FCAD79-8430-457D-819C-6BF558D39FE4}"/>
    <cellStyle name="Normal 9 2 2 8 4" xfId="10760" xr:uid="{D7762996-F925-4C22-854D-AF1A12CDF47E}"/>
    <cellStyle name="Normal 9 2 2 9" xfId="2658" xr:uid="{00000000-0005-0000-0000-00000A1F0000}"/>
    <cellStyle name="Normal 9 2 2 9 2" xfId="6941" xr:uid="{00000000-0005-0000-0000-00000B1F0000}"/>
    <cellStyle name="Normal 9 2 2 9 2 2" xfId="15391" xr:uid="{588BD482-FA1F-458E-8CBC-7D8EEB61632F}"/>
    <cellStyle name="Normal 9 2 2 9 3" xfId="11173" xr:uid="{6BAB4BBF-27DD-4DF2-9626-DD95A0194A47}"/>
    <cellStyle name="Normal 9 2 3" xfId="520" xr:uid="{00000000-0005-0000-0000-00000C1F0000}"/>
    <cellStyle name="Normal 9 2 3 10" xfId="9116" xr:uid="{EFB87A11-256E-409E-86B4-DD4991C1903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CE08CF70-691B-4EA2-90F4-288C62972CC5}"/>
    <cellStyle name="Normal 9 2 3 2 2 2 2 3" xfId="11676" xr:uid="{110E12B1-2816-471F-83B1-DFF558C0CE73}"/>
    <cellStyle name="Normal 9 2 3 2 2 2 3" xfId="5299" xr:uid="{00000000-0005-0000-0000-0000121F0000}"/>
    <cellStyle name="Normal 9 2 3 2 2 2 3 2" xfId="13749" xr:uid="{FBC7321F-62A1-475A-888E-3C764358E45B}"/>
    <cellStyle name="Normal 9 2 3 2 2 2 4" xfId="9531" xr:uid="{175A287A-058C-488B-81DF-C5AF93982B19}"/>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C32CE03D-9609-4B79-9E94-4ECD71889EE6}"/>
    <cellStyle name="Normal 9 2 3 2 2 3 2 3" xfId="12089" xr:uid="{311C0BF0-D965-4121-870C-EC19659E0A83}"/>
    <cellStyle name="Normal 9 2 3 2 2 3 3" xfId="5712" xr:uid="{00000000-0005-0000-0000-0000161F0000}"/>
    <cellStyle name="Normal 9 2 3 2 2 3 3 2" xfId="14162" xr:uid="{4B5D2583-21BE-41D1-A784-33A4EAB22AEF}"/>
    <cellStyle name="Normal 9 2 3 2 2 3 4" xfId="9944" xr:uid="{8D602C9D-16ED-4DCF-A59B-AE066F7A27FD}"/>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A2A7CDCE-C1D1-4401-B471-C0D23F065662}"/>
    <cellStyle name="Normal 9 2 3 2 2 4 2 3" xfId="12502" xr:uid="{29FD9879-0FB8-4978-B2C1-D9F764E074F1}"/>
    <cellStyle name="Normal 9 2 3 2 2 4 3" xfId="6125" xr:uid="{00000000-0005-0000-0000-00001A1F0000}"/>
    <cellStyle name="Normal 9 2 3 2 2 4 3 2" xfId="14575" xr:uid="{A7EBD803-5303-4AB5-A332-5A92612A5F17}"/>
    <cellStyle name="Normal 9 2 3 2 2 4 4" xfId="10357" xr:uid="{A7C90C7F-1335-49C1-B7B0-73A2FFDABC0C}"/>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E9ABD116-97AB-4AED-9DB9-FD769F79D11F}"/>
    <cellStyle name="Normal 9 2 3 2 2 5 2 3" xfId="12915" xr:uid="{B6482569-405E-416B-90EC-8147E7F6535F}"/>
    <cellStyle name="Normal 9 2 3 2 2 5 3" xfId="6538" xr:uid="{00000000-0005-0000-0000-00001E1F0000}"/>
    <cellStyle name="Normal 9 2 3 2 2 5 3 2" xfId="14988" xr:uid="{53F33E82-7BDB-4EE6-BC41-A9FF2A474FFF}"/>
    <cellStyle name="Normal 9 2 3 2 2 5 4" xfId="10770" xr:uid="{A88E62D9-8BBD-410F-80A5-4E554D536597}"/>
    <cellStyle name="Normal 9 2 3 2 2 6" xfId="2668" xr:uid="{00000000-0005-0000-0000-00001F1F0000}"/>
    <cellStyle name="Normal 9 2 3 2 2 6 2" xfId="6951" xr:uid="{00000000-0005-0000-0000-0000201F0000}"/>
    <cellStyle name="Normal 9 2 3 2 2 6 2 2" xfId="15401" xr:uid="{9F49699E-F610-4392-9358-AD547469A791}"/>
    <cellStyle name="Normal 9 2 3 2 2 6 3" xfId="11183" xr:uid="{93ECDF5C-9E10-4210-BDD7-68E207E27C6C}"/>
    <cellStyle name="Normal 9 2 3 2 2 7" xfId="4886" xr:uid="{00000000-0005-0000-0000-0000211F0000}"/>
    <cellStyle name="Normal 9 2 3 2 2 7 2" xfId="13336" xr:uid="{308F26E2-AD56-4565-BF7D-DEB80C203206}"/>
    <cellStyle name="Normal 9 2 3 2 2 8" xfId="9118" xr:uid="{EF207331-3EE8-4749-87D7-FB6A67B4ED80}"/>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E6D9BF08-9F20-4ABD-8776-B6EBF83622C3}"/>
    <cellStyle name="Normal 9 2 3 2 3 2 3" xfId="11675" xr:uid="{7EC45990-AF87-4917-9548-9074DA190D12}"/>
    <cellStyle name="Normal 9 2 3 2 3 3" xfId="5298" xr:uid="{00000000-0005-0000-0000-0000251F0000}"/>
    <cellStyle name="Normal 9 2 3 2 3 3 2" xfId="13748" xr:uid="{422431BD-A9B1-4B6D-B1B4-0906DA9687BE}"/>
    <cellStyle name="Normal 9 2 3 2 3 4" xfId="9530" xr:uid="{EAEFECF0-5773-4657-95B1-4D015B8DF3A5}"/>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06E3AAF4-36FD-41B6-A380-F115B04BC687}"/>
    <cellStyle name="Normal 9 2 3 2 4 2 3" xfId="12088" xr:uid="{B6C3198E-6FE4-4678-A6BA-912369D07D3E}"/>
    <cellStyle name="Normal 9 2 3 2 4 3" xfId="5711" xr:uid="{00000000-0005-0000-0000-0000291F0000}"/>
    <cellStyle name="Normal 9 2 3 2 4 3 2" xfId="14161" xr:uid="{03D4DB28-664A-4172-9D43-64473D628057}"/>
    <cellStyle name="Normal 9 2 3 2 4 4" xfId="9943" xr:uid="{A5FD6DA4-0671-4DA3-AA82-FA2BF74CFE3B}"/>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9B929C0C-E188-4B79-B291-7D7DCC2E38FA}"/>
    <cellStyle name="Normal 9 2 3 2 5 2 3" xfId="12501" xr:uid="{183EA429-7E3B-40F1-8A1F-2854202AA3DA}"/>
    <cellStyle name="Normal 9 2 3 2 5 3" xfId="6124" xr:uid="{00000000-0005-0000-0000-00002D1F0000}"/>
    <cellStyle name="Normal 9 2 3 2 5 3 2" xfId="14574" xr:uid="{7BED7C0E-2AD8-4862-803E-A6CD04E6ABC4}"/>
    <cellStyle name="Normal 9 2 3 2 5 4" xfId="10356" xr:uid="{62C6197C-35D8-45DD-B4C6-C73D85F3B8EB}"/>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F29BBB29-D89D-4B2E-B225-35E6E686C057}"/>
    <cellStyle name="Normal 9 2 3 2 6 2 3" xfId="12914" xr:uid="{CDC8419E-CB06-4A52-9A09-315FEEFDC03F}"/>
    <cellStyle name="Normal 9 2 3 2 6 3" xfId="6537" xr:uid="{00000000-0005-0000-0000-0000311F0000}"/>
    <cellStyle name="Normal 9 2 3 2 6 3 2" xfId="14987" xr:uid="{AB601D25-FD6B-49A2-A096-B2A40C73535A}"/>
    <cellStyle name="Normal 9 2 3 2 6 4" xfId="10769" xr:uid="{FD40EB5B-5CAA-4EDC-ADFB-923EEFBE2530}"/>
    <cellStyle name="Normal 9 2 3 2 7" xfId="2667" xr:uid="{00000000-0005-0000-0000-0000321F0000}"/>
    <cellStyle name="Normal 9 2 3 2 7 2" xfId="6950" xr:uid="{00000000-0005-0000-0000-0000331F0000}"/>
    <cellStyle name="Normal 9 2 3 2 7 2 2" xfId="15400" xr:uid="{90F54E17-E606-4D9A-80CA-AB3C463A38B1}"/>
    <cellStyle name="Normal 9 2 3 2 7 3" xfId="11182" xr:uid="{665F3FCB-8532-4D13-BC76-48AAB1AF4410}"/>
    <cellStyle name="Normal 9 2 3 2 8" xfId="4885" xr:uid="{00000000-0005-0000-0000-0000341F0000}"/>
    <cellStyle name="Normal 9 2 3 2 8 2" xfId="13335" xr:uid="{205A60F1-25A9-404C-8C51-CF3BA7AE6A0C}"/>
    <cellStyle name="Normal 9 2 3 2 9" xfId="9117" xr:uid="{8DC418D3-253C-4141-BCEE-7462ABB470AB}"/>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1B9A2E32-30EC-4124-A763-7B4C7EE96925}"/>
    <cellStyle name="Normal 9 2 3 3 2 2 3" xfId="11677" xr:uid="{AB04FE5A-39B1-451F-8634-57C99CD5C060}"/>
    <cellStyle name="Normal 9 2 3 3 2 3" xfId="5300" xr:uid="{00000000-0005-0000-0000-0000391F0000}"/>
    <cellStyle name="Normal 9 2 3 3 2 3 2" xfId="13750" xr:uid="{AE94392A-039B-4686-9AE4-E5FC0ADE7268}"/>
    <cellStyle name="Normal 9 2 3 3 2 4" xfId="9532" xr:uid="{62DA7805-D972-42CB-BC43-08AC3A6EFA9F}"/>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B5A00C41-8CE2-44E5-B79C-C1F3B755F549}"/>
    <cellStyle name="Normal 9 2 3 3 3 2 3" xfId="12090" xr:uid="{1B65DEDB-1E5D-45F4-AC95-F952223BF6D7}"/>
    <cellStyle name="Normal 9 2 3 3 3 3" xfId="5713" xr:uid="{00000000-0005-0000-0000-00003D1F0000}"/>
    <cellStyle name="Normal 9 2 3 3 3 3 2" xfId="14163" xr:uid="{94DE790E-3912-430B-9E25-1BAC70A58A4D}"/>
    <cellStyle name="Normal 9 2 3 3 3 4" xfId="9945" xr:uid="{BBA2F4B8-63EF-4F57-BE48-7C1100568174}"/>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2A7F7333-491C-4D08-82E9-95CD7256692B}"/>
    <cellStyle name="Normal 9 2 3 3 4 2 3" xfId="12503" xr:uid="{9A5B524C-0053-4E7E-BF86-63471EF314D3}"/>
    <cellStyle name="Normal 9 2 3 3 4 3" xfId="6126" xr:uid="{00000000-0005-0000-0000-0000411F0000}"/>
    <cellStyle name="Normal 9 2 3 3 4 3 2" xfId="14576" xr:uid="{70F6D73D-E3D1-46FA-B06A-A236C82DDD0C}"/>
    <cellStyle name="Normal 9 2 3 3 4 4" xfId="10358" xr:uid="{823A2948-A585-47FE-821D-76B228FB22A6}"/>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4D2B213A-B995-4639-894E-E805761AD9AD}"/>
    <cellStyle name="Normal 9 2 3 3 5 2 3" xfId="12916" xr:uid="{515CF8AD-43BB-4995-ABB1-0882CDCA005B}"/>
    <cellStyle name="Normal 9 2 3 3 5 3" xfId="6539" xr:uid="{00000000-0005-0000-0000-0000451F0000}"/>
    <cellStyle name="Normal 9 2 3 3 5 3 2" xfId="14989" xr:uid="{BDDDA5C3-E501-41A3-BA88-F9852EEB65BA}"/>
    <cellStyle name="Normal 9 2 3 3 5 4" xfId="10771" xr:uid="{D6540BBD-EC09-4BB6-A4B2-797D7981D6F9}"/>
    <cellStyle name="Normal 9 2 3 3 6" xfId="2669" xr:uid="{00000000-0005-0000-0000-0000461F0000}"/>
    <cellStyle name="Normal 9 2 3 3 6 2" xfId="6952" xr:uid="{00000000-0005-0000-0000-0000471F0000}"/>
    <cellStyle name="Normal 9 2 3 3 6 2 2" xfId="15402" xr:uid="{812A709E-2688-49A8-BCF8-2D77F2CCF5D7}"/>
    <cellStyle name="Normal 9 2 3 3 6 3" xfId="11184" xr:uid="{8C1751BB-E684-4F4E-A612-CF10CEEF1C7C}"/>
    <cellStyle name="Normal 9 2 3 3 7" xfId="4887" xr:uid="{00000000-0005-0000-0000-0000481F0000}"/>
    <cellStyle name="Normal 9 2 3 3 7 2" xfId="13337" xr:uid="{01437987-F7B4-41A4-9D08-17418DAE3905}"/>
    <cellStyle name="Normal 9 2 3 3 8" xfId="9119" xr:uid="{F99E0A8E-4117-4797-A0A4-B2DFDF9973E3}"/>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12E63788-FB28-4C8D-9F68-CD897CAA36FD}"/>
    <cellStyle name="Normal 9 2 3 4 2 3" xfId="11674" xr:uid="{36D8F525-86B7-4BBF-ABB6-9830B1A29F4A}"/>
    <cellStyle name="Normal 9 2 3 4 3" xfId="5297" xr:uid="{00000000-0005-0000-0000-00004C1F0000}"/>
    <cellStyle name="Normal 9 2 3 4 3 2" xfId="13747" xr:uid="{C34A49D8-DAEF-48B3-AB86-5BA82681FD7A}"/>
    <cellStyle name="Normal 9 2 3 4 4" xfId="9529" xr:uid="{B3A025E0-349C-4527-A084-E4FA0AA338F7}"/>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F90EB47A-FAFB-41AE-97FE-33BA7FB73555}"/>
    <cellStyle name="Normal 9 2 3 5 2 3" xfId="12087" xr:uid="{07DB2BB9-A31E-4BBB-B87A-43B4D39261ED}"/>
    <cellStyle name="Normal 9 2 3 5 3" xfId="5710" xr:uid="{00000000-0005-0000-0000-0000501F0000}"/>
    <cellStyle name="Normal 9 2 3 5 3 2" xfId="14160" xr:uid="{319E2F6F-D0AC-47F2-906E-F7BE9C05B057}"/>
    <cellStyle name="Normal 9 2 3 5 4" xfId="9942" xr:uid="{8C4D5C04-8264-4259-B302-6D57EBC07902}"/>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E4BCD55E-61BD-4D41-9A12-4030D719632E}"/>
    <cellStyle name="Normal 9 2 3 6 2 3" xfId="12500" xr:uid="{92F982D5-5823-4D93-84AC-30DED0281B69}"/>
    <cellStyle name="Normal 9 2 3 6 3" xfId="6123" xr:uid="{00000000-0005-0000-0000-0000541F0000}"/>
    <cellStyle name="Normal 9 2 3 6 3 2" xfId="14573" xr:uid="{3113E253-F26A-4F20-B8A2-22D45F55C91C}"/>
    <cellStyle name="Normal 9 2 3 6 4" xfId="10355" xr:uid="{8207BB32-69E1-4796-BD63-B8C614AA657E}"/>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7F99C4CD-26DA-4387-B829-F30C22EA8C49}"/>
    <cellStyle name="Normal 9 2 3 7 2 3" xfId="12913" xr:uid="{1AFB02AE-5E89-4730-B5B1-1D0103947655}"/>
    <cellStyle name="Normal 9 2 3 7 3" xfId="6536" xr:uid="{00000000-0005-0000-0000-0000581F0000}"/>
    <cellStyle name="Normal 9 2 3 7 3 2" xfId="14986" xr:uid="{84033874-027B-46DB-967D-A5C7FB73FDF2}"/>
    <cellStyle name="Normal 9 2 3 7 4" xfId="10768" xr:uid="{4830E294-DEF0-4142-A4B2-61615A96AC01}"/>
    <cellStyle name="Normal 9 2 3 8" xfId="2666" xr:uid="{00000000-0005-0000-0000-0000591F0000}"/>
    <cellStyle name="Normal 9 2 3 8 2" xfId="6949" xr:uid="{00000000-0005-0000-0000-00005A1F0000}"/>
    <cellStyle name="Normal 9 2 3 8 2 2" xfId="15399" xr:uid="{9D3FB805-35E1-4ECD-9EB2-E2540590DD76}"/>
    <cellStyle name="Normal 9 2 3 8 3" xfId="11181" xr:uid="{7E625786-B3CC-4E87-9105-1F891D770179}"/>
    <cellStyle name="Normal 9 2 3 9" xfId="4884" xr:uid="{00000000-0005-0000-0000-00005B1F0000}"/>
    <cellStyle name="Normal 9 2 3 9 2" xfId="13334" xr:uid="{DE985ED8-2022-4D90-80F1-5EFF447A0C52}"/>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D0F68EA3-598E-4946-88F5-BE5EE374C8D6}"/>
    <cellStyle name="Normal 9 2 4 2 2 2 3" xfId="11679" xr:uid="{C7B46EE0-5613-4955-AC1E-40F0A482B1A6}"/>
    <cellStyle name="Normal 9 2 4 2 2 3" xfId="5302" xr:uid="{00000000-0005-0000-0000-0000611F0000}"/>
    <cellStyle name="Normal 9 2 4 2 2 3 2" xfId="13752" xr:uid="{E2F56990-245B-441A-A3B3-479F4794430F}"/>
    <cellStyle name="Normal 9 2 4 2 2 4" xfId="9534" xr:uid="{60811C40-9DC0-40EA-8D0E-7B3F4A65ECDE}"/>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87AF94E4-F4CF-4744-AA30-3ECE9DF97D5F}"/>
    <cellStyle name="Normal 9 2 4 2 3 2 3" xfId="12092" xr:uid="{3EB096F1-385A-4B6B-956C-E05F7B1AB87D}"/>
    <cellStyle name="Normal 9 2 4 2 3 3" xfId="5715" xr:uid="{00000000-0005-0000-0000-0000651F0000}"/>
    <cellStyle name="Normal 9 2 4 2 3 3 2" xfId="14165" xr:uid="{A2FD7537-3326-4950-82BE-336E1EB2FF05}"/>
    <cellStyle name="Normal 9 2 4 2 3 4" xfId="9947" xr:uid="{FADD4E2A-E98C-4DE5-8DF5-74458F638623}"/>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66697A81-C363-49F2-9767-58DAE9178E0A}"/>
    <cellStyle name="Normal 9 2 4 2 4 2 3" xfId="12505" xr:uid="{D54C4D14-4D53-475D-A33B-A85533E459D3}"/>
    <cellStyle name="Normal 9 2 4 2 4 3" xfId="6128" xr:uid="{00000000-0005-0000-0000-0000691F0000}"/>
    <cellStyle name="Normal 9 2 4 2 4 3 2" xfId="14578" xr:uid="{CDC2399B-237C-4A36-AB09-4C1B6987C199}"/>
    <cellStyle name="Normal 9 2 4 2 4 4" xfId="10360" xr:uid="{E0512878-0B4C-4CEE-9261-B65FF0C1801F}"/>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6BB8574D-213D-4C74-A8FE-85E756BBF6C1}"/>
    <cellStyle name="Normal 9 2 4 2 5 2 3" xfId="12918" xr:uid="{71947B6D-7B07-47B9-A9C4-C2AFBA551C7E}"/>
    <cellStyle name="Normal 9 2 4 2 5 3" xfId="6541" xr:uid="{00000000-0005-0000-0000-00006D1F0000}"/>
    <cellStyle name="Normal 9 2 4 2 5 3 2" xfId="14991" xr:uid="{0A079DC5-2379-47DA-80AC-E05DAACAD7AF}"/>
    <cellStyle name="Normal 9 2 4 2 5 4" xfId="10773" xr:uid="{4A713C3B-BB67-4498-8C94-D5811547C259}"/>
    <cellStyle name="Normal 9 2 4 2 6" xfId="2671" xr:uid="{00000000-0005-0000-0000-00006E1F0000}"/>
    <cellStyle name="Normal 9 2 4 2 6 2" xfId="6954" xr:uid="{00000000-0005-0000-0000-00006F1F0000}"/>
    <cellStyle name="Normal 9 2 4 2 6 2 2" xfId="15404" xr:uid="{823F4769-6B48-4505-B95A-BC438D8FB0A8}"/>
    <cellStyle name="Normal 9 2 4 2 6 3" xfId="11186" xr:uid="{EC570F0E-C30A-4093-B89C-16A74A85A44E}"/>
    <cellStyle name="Normal 9 2 4 2 7" xfId="4889" xr:uid="{00000000-0005-0000-0000-0000701F0000}"/>
    <cellStyle name="Normal 9 2 4 2 7 2" xfId="13339" xr:uid="{1B4F1757-8538-43B7-BDAF-93DE9196DFC2}"/>
    <cellStyle name="Normal 9 2 4 2 8" xfId="9121" xr:uid="{A739323B-1E7B-48C4-A280-8193F41A74DA}"/>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B8475E86-C8E2-4392-A23E-DD849FF2A453}"/>
    <cellStyle name="Normal 9 2 4 3 2 3" xfId="11678" xr:uid="{790025CD-78BA-4A40-A860-564BAE5BDCC0}"/>
    <cellStyle name="Normal 9 2 4 3 3" xfId="5301" xr:uid="{00000000-0005-0000-0000-0000741F0000}"/>
    <cellStyle name="Normal 9 2 4 3 3 2" xfId="13751" xr:uid="{870925AE-01E1-407C-857A-FA5752F3183C}"/>
    <cellStyle name="Normal 9 2 4 3 4" xfId="9533" xr:uid="{A1400021-BD0D-439C-A3A3-315FEF16875B}"/>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4341100D-C4CF-4B82-B48D-1DCEA71FD379}"/>
    <cellStyle name="Normal 9 2 4 4 2 3" xfId="12091" xr:uid="{4AD9B0AB-6F72-453E-A14D-50FAD2F4A0DA}"/>
    <cellStyle name="Normal 9 2 4 4 3" xfId="5714" xr:uid="{00000000-0005-0000-0000-0000781F0000}"/>
    <cellStyle name="Normal 9 2 4 4 3 2" xfId="14164" xr:uid="{97730583-01FA-4DE8-B16B-4B39F374B29C}"/>
    <cellStyle name="Normal 9 2 4 4 4" xfId="9946" xr:uid="{3CB3587B-E8F8-4CB8-BD1C-F444F20CE69D}"/>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7C39961D-43C2-4D50-8352-CB1B221D7847}"/>
    <cellStyle name="Normal 9 2 4 5 2 3" xfId="12504" xr:uid="{CF6FF673-1303-491B-83FA-7506D1A357D1}"/>
    <cellStyle name="Normal 9 2 4 5 3" xfId="6127" xr:uid="{00000000-0005-0000-0000-00007C1F0000}"/>
    <cellStyle name="Normal 9 2 4 5 3 2" xfId="14577" xr:uid="{C44D1571-61F1-47F6-8DA3-DC574D54359A}"/>
    <cellStyle name="Normal 9 2 4 5 4" xfId="10359" xr:uid="{72039DAF-C01D-49F2-A3EC-422945C6661B}"/>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E4A27107-CE54-4735-B7D6-8A9EFB8426C6}"/>
    <cellStyle name="Normal 9 2 4 6 2 3" xfId="12917" xr:uid="{40559D54-F727-4DF0-B355-D7AA3002C706}"/>
    <cellStyle name="Normal 9 2 4 6 3" xfId="6540" xr:uid="{00000000-0005-0000-0000-0000801F0000}"/>
    <cellStyle name="Normal 9 2 4 6 3 2" xfId="14990" xr:uid="{F174B302-C874-47B8-921E-1AEABAB2A4E7}"/>
    <cellStyle name="Normal 9 2 4 6 4" xfId="10772" xr:uid="{DC046F7C-1802-4757-A897-E54DC1D1ED31}"/>
    <cellStyle name="Normal 9 2 4 7" xfId="2670" xr:uid="{00000000-0005-0000-0000-0000811F0000}"/>
    <cellStyle name="Normal 9 2 4 7 2" xfId="6953" xr:uid="{00000000-0005-0000-0000-0000821F0000}"/>
    <cellStyle name="Normal 9 2 4 7 2 2" xfId="15403" xr:uid="{7DCEAA6A-3E7C-4E11-9C1F-E21EC2D4A810}"/>
    <cellStyle name="Normal 9 2 4 7 3" xfId="11185" xr:uid="{E926D1E3-D1FC-44C8-8C7A-A1265BBFAD0A}"/>
    <cellStyle name="Normal 9 2 4 8" xfId="4888" xr:uid="{00000000-0005-0000-0000-0000831F0000}"/>
    <cellStyle name="Normal 9 2 4 8 2" xfId="13338" xr:uid="{372F1710-7DB8-4B9C-9D69-83448C9786F7}"/>
    <cellStyle name="Normal 9 2 4 9" xfId="9120" xr:uid="{7392E3B8-62B7-4EEA-A845-F55A6BB29119}"/>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2C69D04A-0305-4C1A-8329-0D5DD476EA59}"/>
    <cellStyle name="Normal 9 2 5 2 2 3" xfId="11680" xr:uid="{32CDB969-8816-461C-B290-7C0FFC81AB40}"/>
    <cellStyle name="Normal 9 2 5 2 3" xfId="5303" xr:uid="{00000000-0005-0000-0000-0000881F0000}"/>
    <cellStyle name="Normal 9 2 5 2 3 2" xfId="13753" xr:uid="{282F04BE-6DC0-49BF-BDF3-B062A0F422F4}"/>
    <cellStyle name="Normal 9 2 5 2 4" xfId="9535" xr:uid="{252108DA-829D-4246-B561-B061F7DE0006}"/>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B8D358CB-F427-4A14-93B3-FEFCE4369EB7}"/>
    <cellStyle name="Normal 9 2 5 3 2 3" xfId="12093" xr:uid="{4DCF1521-A5CD-4885-B547-E6CE0E45D80B}"/>
    <cellStyle name="Normal 9 2 5 3 3" xfId="5716" xr:uid="{00000000-0005-0000-0000-00008C1F0000}"/>
    <cellStyle name="Normal 9 2 5 3 3 2" xfId="14166" xr:uid="{77598B6D-C318-4421-B625-4B551DC22FD7}"/>
    <cellStyle name="Normal 9 2 5 3 4" xfId="9948" xr:uid="{9D335F95-DD54-4CA2-B3F6-B626D839137A}"/>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928D22E5-A590-4486-9442-16CCAF8354A3}"/>
    <cellStyle name="Normal 9 2 5 4 2 3" xfId="12506" xr:uid="{122F45B7-C512-40E8-B531-E14FE14FBDBC}"/>
    <cellStyle name="Normal 9 2 5 4 3" xfId="6129" xr:uid="{00000000-0005-0000-0000-0000901F0000}"/>
    <cellStyle name="Normal 9 2 5 4 3 2" xfId="14579" xr:uid="{2D1A222E-F4E1-4FE7-9344-277FD85A44BC}"/>
    <cellStyle name="Normal 9 2 5 4 4" xfId="10361" xr:uid="{1F56E2A1-EC1B-4C25-A3F9-665F07D06F37}"/>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2D098682-B7E2-4EAF-9F06-B82EE9837AEC}"/>
    <cellStyle name="Normal 9 2 5 5 2 3" xfId="12919" xr:uid="{52A97010-0798-4DFF-8605-5609DC86DD6D}"/>
    <cellStyle name="Normal 9 2 5 5 3" xfId="6542" xr:uid="{00000000-0005-0000-0000-0000941F0000}"/>
    <cellStyle name="Normal 9 2 5 5 3 2" xfId="14992" xr:uid="{32E6EA6B-C5CD-4A20-B0D9-714F7F6AF145}"/>
    <cellStyle name="Normal 9 2 5 5 4" xfId="10774" xr:uid="{7AEEAE8D-5F05-4DC1-B6ED-624201D9903B}"/>
    <cellStyle name="Normal 9 2 5 6" xfId="2672" xr:uid="{00000000-0005-0000-0000-0000951F0000}"/>
    <cellStyle name="Normal 9 2 5 6 2" xfId="6955" xr:uid="{00000000-0005-0000-0000-0000961F0000}"/>
    <cellStyle name="Normal 9 2 5 6 2 2" xfId="15405" xr:uid="{C1F6D231-C1D9-40BF-800B-C1C32E606546}"/>
    <cellStyle name="Normal 9 2 5 6 3" xfId="11187" xr:uid="{F404485E-05D0-4DB0-A8E6-46D9B7801196}"/>
    <cellStyle name="Normal 9 2 5 7" xfId="4890" xr:uid="{00000000-0005-0000-0000-0000971F0000}"/>
    <cellStyle name="Normal 9 2 5 7 2" xfId="13340" xr:uid="{DB9C2324-B65C-45FD-BFAA-6B8C35A1367F}"/>
    <cellStyle name="Normal 9 2 5 8" xfId="9122" xr:uid="{2C0D7A9F-93A9-498A-960D-47E8E9D4DAD4}"/>
    <cellStyle name="Normal 9 2 6" xfId="978" xr:uid="{00000000-0005-0000-0000-0000981F0000}"/>
    <cellStyle name="Normal 9 2 6 2" xfId="3211" xr:uid="{00000000-0005-0000-0000-0000991F0000}"/>
    <cellStyle name="Normal 9 2 6 2 2" xfId="7433" xr:uid="{00000000-0005-0000-0000-00009A1F0000}"/>
    <cellStyle name="Normal 9 2 6 2 2 2" xfId="15883" xr:uid="{0E3762B0-1D4D-4099-AAC8-2A8F1C6A7ADA}"/>
    <cellStyle name="Normal 9 2 6 2 3" xfId="11665" xr:uid="{11303CC8-3390-41AC-8941-0AD7FA20B5F6}"/>
    <cellStyle name="Normal 9 2 6 3" xfId="5288" xr:uid="{00000000-0005-0000-0000-00009B1F0000}"/>
    <cellStyle name="Normal 9 2 6 3 2" xfId="13738" xr:uid="{54D5CE39-BE9F-4676-9D71-F22E9AF92B93}"/>
    <cellStyle name="Normal 9 2 6 4" xfId="9520" xr:uid="{81748603-6CC2-42A6-9474-A878F593396A}"/>
    <cellStyle name="Normal 9 2 7" xfId="1394" xr:uid="{00000000-0005-0000-0000-00009C1F0000}"/>
    <cellStyle name="Normal 9 2 7 2" xfId="3624" xr:uid="{00000000-0005-0000-0000-00009D1F0000}"/>
    <cellStyle name="Normal 9 2 7 2 2" xfId="7846" xr:uid="{00000000-0005-0000-0000-00009E1F0000}"/>
    <cellStyle name="Normal 9 2 7 2 2 2" xfId="16296" xr:uid="{10E7A0F1-9AD5-46D0-9332-9FEA60A4407B}"/>
    <cellStyle name="Normal 9 2 7 2 3" xfId="12078" xr:uid="{1F4D4100-F75F-43F1-B45F-3D974B130929}"/>
    <cellStyle name="Normal 9 2 7 3" xfId="5701" xr:uid="{00000000-0005-0000-0000-00009F1F0000}"/>
    <cellStyle name="Normal 9 2 7 3 2" xfId="14151" xr:uid="{22885B4B-6339-4B6D-8FCB-2CCB371437B2}"/>
    <cellStyle name="Normal 9 2 7 4" xfId="9933" xr:uid="{1457C1A2-C1D4-493D-9CE0-8E12DB331A1E}"/>
    <cellStyle name="Normal 9 2 8" xfId="1807" xr:uid="{00000000-0005-0000-0000-0000A01F0000}"/>
    <cellStyle name="Normal 9 2 8 2" xfId="4037" xr:uid="{00000000-0005-0000-0000-0000A11F0000}"/>
    <cellStyle name="Normal 9 2 8 2 2" xfId="8259" xr:uid="{00000000-0005-0000-0000-0000A21F0000}"/>
    <cellStyle name="Normal 9 2 8 2 2 2" xfId="16709" xr:uid="{999EA1CA-D090-47BE-AF9B-485A68DD272A}"/>
    <cellStyle name="Normal 9 2 8 2 3" xfId="12491" xr:uid="{4C5FCDF6-ABD5-4C51-A354-937CBCAD3321}"/>
    <cellStyle name="Normal 9 2 8 3" xfId="6114" xr:uid="{00000000-0005-0000-0000-0000A31F0000}"/>
    <cellStyle name="Normal 9 2 8 3 2" xfId="14564" xr:uid="{FF57A96F-F9FA-473B-B60B-CFAE19EADB5A}"/>
    <cellStyle name="Normal 9 2 8 4" xfId="10346" xr:uid="{E15756E1-C6A5-41F2-B8B9-B785EA9AEFEB}"/>
    <cellStyle name="Normal 9 2 9" xfId="2221" xr:uid="{00000000-0005-0000-0000-0000A41F0000}"/>
    <cellStyle name="Normal 9 2 9 2" xfId="4450" xr:uid="{00000000-0005-0000-0000-0000A51F0000}"/>
    <cellStyle name="Normal 9 2 9 2 2" xfId="8672" xr:uid="{00000000-0005-0000-0000-0000A61F0000}"/>
    <cellStyle name="Normal 9 2 9 2 2 2" xfId="17122" xr:uid="{FFD861DE-F979-498D-B790-ED8247FF7D47}"/>
    <cellStyle name="Normal 9 2 9 2 3" xfId="12904" xr:uid="{F42A5FCE-B91A-4E2A-B389-8C65210A5841}"/>
    <cellStyle name="Normal 9 2 9 3" xfId="6527" xr:uid="{00000000-0005-0000-0000-0000A71F0000}"/>
    <cellStyle name="Normal 9 2 9 3 2" xfId="14977" xr:uid="{7F41FF86-658E-4F48-8766-A8D335DA9E0B}"/>
    <cellStyle name="Normal 9 2 9 4" xfId="10759" xr:uid="{583718B3-452D-4981-A9F7-A2C53028BBDD}"/>
    <cellStyle name="Normal 9 3" xfId="527" xr:uid="{00000000-0005-0000-0000-0000A81F0000}"/>
    <cellStyle name="Normal 9 3 10" xfId="4891" xr:uid="{00000000-0005-0000-0000-0000A91F0000}"/>
    <cellStyle name="Normal 9 3 10 2" xfId="13341" xr:uid="{0D38C880-5FCA-4100-8207-FFEC8E3EC5A4}"/>
    <cellStyle name="Normal 9 3 11" xfId="9123" xr:uid="{6A960BC3-0D8A-47DE-B8FC-F81F0E01A51A}"/>
    <cellStyle name="Normal 9 3 2" xfId="528" xr:uid="{00000000-0005-0000-0000-0000AA1F0000}"/>
    <cellStyle name="Normal 9 3 2 10" xfId="9124" xr:uid="{DD033B0F-D454-484E-B12D-E808B97347C7}"/>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7BCD7267-A877-49BC-91BE-FF56A1DC77C8}"/>
    <cellStyle name="Normal 9 3 2 2 2 2 2 3" xfId="11684" xr:uid="{71B768C8-F494-4A99-ADDF-797D21256898}"/>
    <cellStyle name="Normal 9 3 2 2 2 2 3" xfId="5307" xr:uid="{00000000-0005-0000-0000-0000B01F0000}"/>
    <cellStyle name="Normal 9 3 2 2 2 2 3 2" xfId="13757" xr:uid="{179820F9-A439-4E07-8775-60E46CF46447}"/>
    <cellStyle name="Normal 9 3 2 2 2 2 4" xfId="9539" xr:uid="{C97530C0-1337-4640-8A2C-5B37F44BB61E}"/>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8B5E5066-F26F-4A43-A258-4FF51DD3F6A7}"/>
    <cellStyle name="Normal 9 3 2 2 2 3 2 3" xfId="12097" xr:uid="{3EF8AF1D-CFA1-4E9B-8C91-F9822C91BCE4}"/>
    <cellStyle name="Normal 9 3 2 2 2 3 3" xfId="5720" xr:uid="{00000000-0005-0000-0000-0000B41F0000}"/>
    <cellStyle name="Normal 9 3 2 2 2 3 3 2" xfId="14170" xr:uid="{273DAF80-4386-4577-9440-8B36B4B1024D}"/>
    <cellStyle name="Normal 9 3 2 2 2 3 4" xfId="9952" xr:uid="{A7FDE4D2-2397-4318-9B4F-95AF2B147E23}"/>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84EE123C-F577-4006-8507-259652ED5912}"/>
    <cellStyle name="Normal 9 3 2 2 2 4 2 3" xfId="12510" xr:uid="{9A4CDA30-BAD1-47BD-BB88-82DB7A363D9F}"/>
    <cellStyle name="Normal 9 3 2 2 2 4 3" xfId="6133" xr:uid="{00000000-0005-0000-0000-0000B81F0000}"/>
    <cellStyle name="Normal 9 3 2 2 2 4 3 2" xfId="14583" xr:uid="{B9D0546D-AE3E-4121-A59F-1CBA2EAA8212}"/>
    <cellStyle name="Normal 9 3 2 2 2 4 4" xfId="10365" xr:uid="{A09E5209-8F89-40B2-A073-0366BEF448B9}"/>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41B656BF-6272-4BFD-8EC4-1509C662CA6C}"/>
    <cellStyle name="Normal 9 3 2 2 2 5 2 3" xfId="12923" xr:uid="{D87ED39E-1D32-4B71-828A-5C130EA6C7CE}"/>
    <cellStyle name="Normal 9 3 2 2 2 5 3" xfId="6546" xr:uid="{00000000-0005-0000-0000-0000BC1F0000}"/>
    <cellStyle name="Normal 9 3 2 2 2 5 3 2" xfId="14996" xr:uid="{06EE54FA-31A5-4F63-AD5E-D1BF082093C3}"/>
    <cellStyle name="Normal 9 3 2 2 2 5 4" xfId="10778" xr:uid="{A3C53354-0D39-42A6-B7C1-58A4C3ADE265}"/>
    <cellStyle name="Normal 9 3 2 2 2 6" xfId="2676" xr:uid="{00000000-0005-0000-0000-0000BD1F0000}"/>
    <cellStyle name="Normal 9 3 2 2 2 6 2" xfId="6959" xr:uid="{00000000-0005-0000-0000-0000BE1F0000}"/>
    <cellStyle name="Normal 9 3 2 2 2 6 2 2" xfId="15409" xr:uid="{CB0B9C03-D4D0-4654-BEB6-1AAB2A92BC6F}"/>
    <cellStyle name="Normal 9 3 2 2 2 6 3" xfId="11191" xr:uid="{29BD8065-7859-4C3D-97A7-6A7DABAE37C6}"/>
    <cellStyle name="Normal 9 3 2 2 2 7" xfId="4894" xr:uid="{00000000-0005-0000-0000-0000BF1F0000}"/>
    <cellStyle name="Normal 9 3 2 2 2 7 2" xfId="13344" xr:uid="{171AF5E8-3950-46C5-8908-B39D4D2AEE1B}"/>
    <cellStyle name="Normal 9 3 2 2 2 8" xfId="9126" xr:uid="{42274CF9-FC7F-4DD2-9365-DC2A98629C81}"/>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3FC96BD4-FC52-4610-A069-191AEC8A02CA}"/>
    <cellStyle name="Normal 9 3 2 2 3 2 3" xfId="11683" xr:uid="{65216B1E-BA00-41F9-958D-0E995F75C73B}"/>
    <cellStyle name="Normal 9 3 2 2 3 3" xfId="5306" xr:uid="{00000000-0005-0000-0000-0000C31F0000}"/>
    <cellStyle name="Normal 9 3 2 2 3 3 2" xfId="13756" xr:uid="{6288DFA2-04D9-416D-84D9-F71F3AF5DBCA}"/>
    <cellStyle name="Normal 9 3 2 2 3 4" xfId="9538" xr:uid="{FA0D974F-91CC-4CCF-8A43-A0618E333D21}"/>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EFB95013-4B12-4DC6-923A-6B132F2AF0B4}"/>
    <cellStyle name="Normal 9 3 2 2 4 2 3" xfId="12096" xr:uid="{12585ABD-0313-4008-8BD9-030C729D0441}"/>
    <cellStyle name="Normal 9 3 2 2 4 3" xfId="5719" xr:uid="{00000000-0005-0000-0000-0000C71F0000}"/>
    <cellStyle name="Normal 9 3 2 2 4 3 2" xfId="14169" xr:uid="{BD50CF4B-3821-4882-AB74-10E7D3CEDD44}"/>
    <cellStyle name="Normal 9 3 2 2 4 4" xfId="9951" xr:uid="{E7AC0CD4-78D2-48A5-91F0-8D451FB4AB90}"/>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A87EBA94-AA1C-40D7-ACD8-EC2E4ED2139D}"/>
    <cellStyle name="Normal 9 3 2 2 5 2 3" xfId="12509" xr:uid="{A6990528-5078-4A71-910F-9EA93FF7E5F8}"/>
    <cellStyle name="Normal 9 3 2 2 5 3" xfId="6132" xr:uid="{00000000-0005-0000-0000-0000CB1F0000}"/>
    <cellStyle name="Normal 9 3 2 2 5 3 2" xfId="14582" xr:uid="{0F099EA7-42C8-4E25-B0D8-DDDB9C057C8C}"/>
    <cellStyle name="Normal 9 3 2 2 5 4" xfId="10364" xr:uid="{10B1AF38-308F-4F28-A6AE-B7A2E1786BEB}"/>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92305821-6F5A-493D-9CFE-2E28403ACFAD}"/>
    <cellStyle name="Normal 9 3 2 2 6 2 3" xfId="12922" xr:uid="{B2955244-A5E0-4967-8474-AE962206CAA0}"/>
    <cellStyle name="Normal 9 3 2 2 6 3" xfId="6545" xr:uid="{00000000-0005-0000-0000-0000CF1F0000}"/>
    <cellStyle name="Normal 9 3 2 2 6 3 2" xfId="14995" xr:uid="{6EAB68C9-8B7F-4D0A-89B2-949B118CCA30}"/>
    <cellStyle name="Normal 9 3 2 2 6 4" xfId="10777" xr:uid="{04216D9E-5B43-4294-AFF2-D5FD4A13D24F}"/>
    <cellStyle name="Normal 9 3 2 2 7" xfId="2675" xr:uid="{00000000-0005-0000-0000-0000D01F0000}"/>
    <cellStyle name="Normal 9 3 2 2 7 2" xfId="6958" xr:uid="{00000000-0005-0000-0000-0000D11F0000}"/>
    <cellStyle name="Normal 9 3 2 2 7 2 2" xfId="15408" xr:uid="{A00747F9-EABD-43CF-8A7E-7AB2D6427851}"/>
    <cellStyle name="Normal 9 3 2 2 7 3" xfId="11190" xr:uid="{F12FAA40-D071-498F-8FBC-0251084928E3}"/>
    <cellStyle name="Normal 9 3 2 2 8" xfId="4893" xr:uid="{00000000-0005-0000-0000-0000D21F0000}"/>
    <cellStyle name="Normal 9 3 2 2 8 2" xfId="13343" xr:uid="{FE510D5E-45EC-42E1-BAF6-B88CFCBB2A68}"/>
    <cellStyle name="Normal 9 3 2 2 9" xfId="9125" xr:uid="{2CDE7475-C070-4B16-854B-48F59D185489}"/>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34696BC9-73B7-41AC-83BB-69047C989A52}"/>
    <cellStyle name="Normal 9 3 2 3 2 2 3" xfId="11685" xr:uid="{513507F1-DA39-4CFE-BF04-E6FB016738E3}"/>
    <cellStyle name="Normal 9 3 2 3 2 3" xfId="5308" xr:uid="{00000000-0005-0000-0000-0000D71F0000}"/>
    <cellStyle name="Normal 9 3 2 3 2 3 2" xfId="13758" xr:uid="{2010BEC0-8BE6-4364-8C4F-463C3817BF05}"/>
    <cellStyle name="Normal 9 3 2 3 2 4" xfId="9540" xr:uid="{731D110E-0323-4FAE-9DA5-24F21CF734D7}"/>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5CB6D04B-2A12-4E06-A413-C6BFCD86F6F3}"/>
    <cellStyle name="Normal 9 3 2 3 3 2 3" xfId="12098" xr:uid="{5C14F8FB-A285-4092-A44D-F102941284E7}"/>
    <cellStyle name="Normal 9 3 2 3 3 3" xfId="5721" xr:uid="{00000000-0005-0000-0000-0000DB1F0000}"/>
    <cellStyle name="Normal 9 3 2 3 3 3 2" xfId="14171" xr:uid="{D9DB78B0-6420-4319-95D6-1C826784C576}"/>
    <cellStyle name="Normal 9 3 2 3 3 4" xfId="9953" xr:uid="{5C0090DC-F1CE-4A8F-A900-80CCEB35CDBA}"/>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E0533EB4-B95D-4F84-BBBC-871D895C0D67}"/>
    <cellStyle name="Normal 9 3 2 3 4 2 3" xfId="12511" xr:uid="{DED415EB-2957-4302-8235-AA0295917B31}"/>
    <cellStyle name="Normal 9 3 2 3 4 3" xfId="6134" xr:uid="{00000000-0005-0000-0000-0000DF1F0000}"/>
    <cellStyle name="Normal 9 3 2 3 4 3 2" xfId="14584" xr:uid="{CB7ECE19-2F36-4A96-9D24-EA6F117AFF2F}"/>
    <cellStyle name="Normal 9 3 2 3 4 4" xfId="10366" xr:uid="{2CF0A479-B1E7-48FE-AFCB-F8A7D35650E1}"/>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2A310B2D-541A-4305-A5BD-26EF23A6A1D8}"/>
    <cellStyle name="Normal 9 3 2 3 5 2 3" xfId="12924" xr:uid="{8EA74DC8-56E0-46A4-8F84-3910E411C967}"/>
    <cellStyle name="Normal 9 3 2 3 5 3" xfId="6547" xr:uid="{00000000-0005-0000-0000-0000E31F0000}"/>
    <cellStyle name="Normal 9 3 2 3 5 3 2" xfId="14997" xr:uid="{5F061677-F5E9-4ADC-A310-8B8B0BC4E184}"/>
    <cellStyle name="Normal 9 3 2 3 5 4" xfId="10779" xr:uid="{BD993305-4600-4B97-810A-F00F1BDF7AE4}"/>
    <cellStyle name="Normal 9 3 2 3 6" xfId="2677" xr:uid="{00000000-0005-0000-0000-0000E41F0000}"/>
    <cellStyle name="Normal 9 3 2 3 6 2" xfId="6960" xr:uid="{00000000-0005-0000-0000-0000E51F0000}"/>
    <cellStyle name="Normal 9 3 2 3 6 2 2" xfId="15410" xr:uid="{CAE46353-2EEF-4905-AF17-7508E3237016}"/>
    <cellStyle name="Normal 9 3 2 3 6 3" xfId="11192" xr:uid="{B21319C6-A957-44BB-8241-8565673FD7CA}"/>
    <cellStyle name="Normal 9 3 2 3 7" xfId="4895" xr:uid="{00000000-0005-0000-0000-0000E61F0000}"/>
    <cellStyle name="Normal 9 3 2 3 7 2" xfId="13345" xr:uid="{7E4BF407-7C43-4F91-8005-EABB688A2E9D}"/>
    <cellStyle name="Normal 9 3 2 3 8" xfId="9127" xr:uid="{9934A748-BE0E-4FFA-AA24-A65A5326FA2E}"/>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6E0D6CC5-4D71-44D5-B89F-9EF5F6D8B28A}"/>
    <cellStyle name="Normal 9 3 2 4 2 3" xfId="11682" xr:uid="{A585E7B5-04D1-4A8F-B781-2813DD3570EB}"/>
    <cellStyle name="Normal 9 3 2 4 3" xfId="5305" xr:uid="{00000000-0005-0000-0000-0000EA1F0000}"/>
    <cellStyle name="Normal 9 3 2 4 3 2" xfId="13755" xr:uid="{EAE176FF-F303-462E-A133-88B97BFFA679}"/>
    <cellStyle name="Normal 9 3 2 4 4" xfId="9537" xr:uid="{DE0FEF23-6EE8-48C4-981A-5E31CE536E57}"/>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68F3BD2F-D286-4EE5-816E-27268C448DF8}"/>
    <cellStyle name="Normal 9 3 2 5 2 3" xfId="12095" xr:uid="{0B0B7764-D614-4B03-B2B2-CA11E341201F}"/>
    <cellStyle name="Normal 9 3 2 5 3" xfId="5718" xr:uid="{00000000-0005-0000-0000-0000EE1F0000}"/>
    <cellStyle name="Normal 9 3 2 5 3 2" xfId="14168" xr:uid="{13F434E0-CCAF-4C9F-94D6-83C944058B32}"/>
    <cellStyle name="Normal 9 3 2 5 4" xfId="9950" xr:uid="{3F3F158D-E018-4448-9018-BDD2B01993AF}"/>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443A2A56-4EE0-4100-8E63-223EA9B73877}"/>
    <cellStyle name="Normal 9 3 2 6 2 3" xfId="12508" xr:uid="{1A729A14-365B-47D4-A00C-B740B6458664}"/>
    <cellStyle name="Normal 9 3 2 6 3" xfId="6131" xr:uid="{00000000-0005-0000-0000-0000F21F0000}"/>
    <cellStyle name="Normal 9 3 2 6 3 2" xfId="14581" xr:uid="{5EDF1754-5BA6-470B-91CB-6FF019430305}"/>
    <cellStyle name="Normal 9 3 2 6 4" xfId="10363" xr:uid="{16140D7D-0B73-41BC-BC08-BFF81CE21707}"/>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861F5837-102D-4F5B-986D-2ADF6BB0CD75}"/>
    <cellStyle name="Normal 9 3 2 7 2 3" xfId="12921" xr:uid="{CEBA62C5-7389-474D-955D-CA0B3638A2BE}"/>
    <cellStyle name="Normal 9 3 2 7 3" xfId="6544" xr:uid="{00000000-0005-0000-0000-0000F61F0000}"/>
    <cellStyle name="Normal 9 3 2 7 3 2" xfId="14994" xr:uid="{AE11BFFD-F6EC-4A08-BE46-3F7A80F93CA0}"/>
    <cellStyle name="Normal 9 3 2 7 4" xfId="10776" xr:uid="{577F68C8-83FB-4917-AC04-CC4174D9F46C}"/>
    <cellStyle name="Normal 9 3 2 8" xfId="2674" xr:uid="{00000000-0005-0000-0000-0000F71F0000}"/>
    <cellStyle name="Normal 9 3 2 8 2" xfId="6957" xr:uid="{00000000-0005-0000-0000-0000F81F0000}"/>
    <cellStyle name="Normal 9 3 2 8 2 2" xfId="15407" xr:uid="{34C0BD6F-E701-4340-8E31-D4FAF01E0C29}"/>
    <cellStyle name="Normal 9 3 2 8 3" xfId="11189" xr:uid="{DA198F92-6FFE-4733-ADD2-E757E94A11CB}"/>
    <cellStyle name="Normal 9 3 2 9" xfId="4892" xr:uid="{00000000-0005-0000-0000-0000F91F0000}"/>
    <cellStyle name="Normal 9 3 2 9 2" xfId="13342" xr:uid="{A1447111-A6AD-4899-BAE6-65E6BD38AA79}"/>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DAF447BB-96EF-4CDB-B286-A572871A9574}"/>
    <cellStyle name="Normal 9 3 3 2 2 2 3" xfId="11687" xr:uid="{14A416C5-A3F2-41BB-A070-093026234087}"/>
    <cellStyle name="Normal 9 3 3 2 2 3" xfId="5310" xr:uid="{00000000-0005-0000-0000-0000FF1F0000}"/>
    <cellStyle name="Normal 9 3 3 2 2 3 2" xfId="13760" xr:uid="{D274D72D-5858-4020-9AC3-4ADA8EF1090C}"/>
    <cellStyle name="Normal 9 3 3 2 2 4" xfId="9542" xr:uid="{94CAACAE-D75A-4EBE-9E25-36484373200C}"/>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94682CAC-FC51-45E9-8920-7B648C8880DA}"/>
    <cellStyle name="Normal 9 3 3 2 3 2 3" xfId="12100" xr:uid="{F27189EA-7A7D-4547-8227-C6369E885769}"/>
    <cellStyle name="Normal 9 3 3 2 3 3" xfId="5723" xr:uid="{00000000-0005-0000-0000-000003200000}"/>
    <cellStyle name="Normal 9 3 3 2 3 3 2" xfId="14173" xr:uid="{804DC8E6-C32E-4C00-AFA6-C7CD1F984EBC}"/>
    <cellStyle name="Normal 9 3 3 2 3 4" xfId="9955" xr:uid="{78CE4C02-4365-4E7A-8CCB-F70B89C2BF10}"/>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BB003565-CC9E-4A87-ACF1-570B44890425}"/>
    <cellStyle name="Normal 9 3 3 2 4 2 3" xfId="12513" xr:uid="{79F1F7C0-6AB1-4DEB-9D97-C9964D20BFE5}"/>
    <cellStyle name="Normal 9 3 3 2 4 3" xfId="6136" xr:uid="{00000000-0005-0000-0000-000007200000}"/>
    <cellStyle name="Normal 9 3 3 2 4 3 2" xfId="14586" xr:uid="{CC2AC21F-A31E-4F8D-9FE5-C2944EA902E1}"/>
    <cellStyle name="Normal 9 3 3 2 4 4" xfId="10368" xr:uid="{5B922F0D-37D4-47AC-A360-EF1B525BC35F}"/>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C3EF17D2-0955-4A83-8860-F4B5823D8245}"/>
    <cellStyle name="Normal 9 3 3 2 5 2 3" xfId="12926" xr:uid="{29BF3A9A-A335-4223-9E4C-B594A094BE47}"/>
    <cellStyle name="Normal 9 3 3 2 5 3" xfId="6549" xr:uid="{00000000-0005-0000-0000-00000B200000}"/>
    <cellStyle name="Normal 9 3 3 2 5 3 2" xfId="14999" xr:uid="{0EDE4487-90E4-4BAE-A158-1E3A6637F416}"/>
    <cellStyle name="Normal 9 3 3 2 5 4" xfId="10781" xr:uid="{2F070C1E-8FE8-42AE-B400-40571BF925FC}"/>
    <cellStyle name="Normal 9 3 3 2 6" xfId="2679" xr:uid="{00000000-0005-0000-0000-00000C200000}"/>
    <cellStyle name="Normal 9 3 3 2 6 2" xfId="6962" xr:uid="{00000000-0005-0000-0000-00000D200000}"/>
    <cellStyle name="Normal 9 3 3 2 6 2 2" xfId="15412" xr:uid="{1454C775-AAFC-4BBE-814E-89F4AD061AD5}"/>
    <cellStyle name="Normal 9 3 3 2 6 3" xfId="11194" xr:uid="{A1CDCC57-3FEA-4E78-9D85-B8BE4264AEE3}"/>
    <cellStyle name="Normal 9 3 3 2 7" xfId="4897" xr:uid="{00000000-0005-0000-0000-00000E200000}"/>
    <cellStyle name="Normal 9 3 3 2 7 2" xfId="13347" xr:uid="{9808FA1F-03FD-4B58-9CEE-3D42280BBC23}"/>
    <cellStyle name="Normal 9 3 3 2 8" xfId="9129" xr:uid="{9B61765C-6C4C-4B19-8C18-F8B18C3ED397}"/>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01F32086-254E-40B9-9802-F1567936A585}"/>
    <cellStyle name="Normal 9 3 3 3 2 3" xfId="11686" xr:uid="{4BC0D754-94CD-49DF-A909-EB91AB207986}"/>
    <cellStyle name="Normal 9 3 3 3 3" xfId="5309" xr:uid="{00000000-0005-0000-0000-000012200000}"/>
    <cellStyle name="Normal 9 3 3 3 3 2" xfId="13759" xr:uid="{1DF154CF-DFF0-4DA0-8C62-E349221415CC}"/>
    <cellStyle name="Normal 9 3 3 3 4" xfId="9541" xr:uid="{487F3261-19CA-4D80-A1C9-EE732D1066B2}"/>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4A7212E4-2E3A-416B-A7B2-6B4EA533668C}"/>
    <cellStyle name="Normal 9 3 3 4 2 3" xfId="12099" xr:uid="{308320A0-9F9C-4BCF-9084-603F096B3E5B}"/>
    <cellStyle name="Normal 9 3 3 4 3" xfId="5722" xr:uid="{00000000-0005-0000-0000-000016200000}"/>
    <cellStyle name="Normal 9 3 3 4 3 2" xfId="14172" xr:uid="{E9292763-DC98-485C-86C0-D380977F20FF}"/>
    <cellStyle name="Normal 9 3 3 4 4" xfId="9954" xr:uid="{D08CE733-DC39-420F-8485-E492461C97A3}"/>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5ED95696-EC10-4061-A7BC-7B9947F9FF77}"/>
    <cellStyle name="Normal 9 3 3 5 2 3" xfId="12512" xr:uid="{D55F34FC-4BFE-4CF5-9FF0-DDC9274CA014}"/>
    <cellStyle name="Normal 9 3 3 5 3" xfId="6135" xr:uid="{00000000-0005-0000-0000-00001A200000}"/>
    <cellStyle name="Normal 9 3 3 5 3 2" xfId="14585" xr:uid="{63689B15-03EE-4F41-ACD4-2D9190BCE09C}"/>
    <cellStyle name="Normal 9 3 3 5 4" xfId="10367" xr:uid="{87A993AC-47E9-438F-8FE0-257A9D98D9F4}"/>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64111DFA-2C62-4F5C-8DC2-48BF3E581169}"/>
    <cellStyle name="Normal 9 3 3 6 2 3" xfId="12925" xr:uid="{B5EECF14-6C37-476E-B960-FE6B5FADB3C6}"/>
    <cellStyle name="Normal 9 3 3 6 3" xfId="6548" xr:uid="{00000000-0005-0000-0000-00001E200000}"/>
    <cellStyle name="Normal 9 3 3 6 3 2" xfId="14998" xr:uid="{4E9D9E70-A0D4-4582-B925-749D2F3027F2}"/>
    <cellStyle name="Normal 9 3 3 6 4" xfId="10780" xr:uid="{B2A63C6C-D516-4620-A288-314887AA4874}"/>
    <cellStyle name="Normal 9 3 3 7" xfId="2678" xr:uid="{00000000-0005-0000-0000-00001F200000}"/>
    <cellStyle name="Normal 9 3 3 7 2" xfId="6961" xr:uid="{00000000-0005-0000-0000-000020200000}"/>
    <cellStyle name="Normal 9 3 3 7 2 2" xfId="15411" xr:uid="{67EF1806-940E-40C2-9BE1-EB7C1E727B18}"/>
    <cellStyle name="Normal 9 3 3 7 3" xfId="11193" xr:uid="{6BE89E9E-8C5C-4457-A70F-89E6682BF61A}"/>
    <cellStyle name="Normal 9 3 3 8" xfId="4896" xr:uid="{00000000-0005-0000-0000-000021200000}"/>
    <cellStyle name="Normal 9 3 3 8 2" xfId="13346" xr:uid="{F30FC6D5-6E18-4D40-AF3B-16C9F0894630}"/>
    <cellStyle name="Normal 9 3 3 9" xfId="9128" xr:uid="{8C7933EA-EC35-4FA9-9AF2-3319AD175195}"/>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83FCBCDC-6ED9-4943-AFFE-B123C2A9DC85}"/>
    <cellStyle name="Normal 9 3 4 2 2 3" xfId="11688" xr:uid="{D91CF862-BE46-45B9-BD65-6611E9689C47}"/>
    <cellStyle name="Normal 9 3 4 2 3" xfId="5311" xr:uid="{00000000-0005-0000-0000-000026200000}"/>
    <cellStyle name="Normal 9 3 4 2 3 2" xfId="13761" xr:uid="{95E0EFB5-4EE1-42BA-8BEB-B057AAC9A4B3}"/>
    <cellStyle name="Normal 9 3 4 2 4" xfId="9543" xr:uid="{7A85287C-BE59-469F-8AE3-A02F2C408BBE}"/>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CADBB938-3EE9-40D4-9119-1292D0DB1CFC}"/>
    <cellStyle name="Normal 9 3 4 3 2 3" xfId="12101" xr:uid="{4CE3F2CF-54E3-41BF-9EF0-21553723D1D1}"/>
    <cellStyle name="Normal 9 3 4 3 3" xfId="5724" xr:uid="{00000000-0005-0000-0000-00002A200000}"/>
    <cellStyle name="Normal 9 3 4 3 3 2" xfId="14174" xr:uid="{C556FC22-8626-42D0-AF88-B81087DDC461}"/>
    <cellStyle name="Normal 9 3 4 3 4" xfId="9956" xr:uid="{8F174917-2901-4290-BF94-AC6E181B2589}"/>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3EF976F5-1A5E-4BC8-9BBC-5B15A87C5B5D}"/>
    <cellStyle name="Normal 9 3 4 4 2 3" xfId="12514" xr:uid="{35930A3D-A086-40B4-B7AA-C19AB3C6BAA2}"/>
    <cellStyle name="Normal 9 3 4 4 3" xfId="6137" xr:uid="{00000000-0005-0000-0000-00002E200000}"/>
    <cellStyle name="Normal 9 3 4 4 3 2" xfId="14587" xr:uid="{34C1E0CD-273D-43C6-A2CA-6FAA69E8CACE}"/>
    <cellStyle name="Normal 9 3 4 4 4" xfId="10369" xr:uid="{5D5DFAAD-08CF-40DA-9E8B-0F843CDD1722}"/>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EAEC61AE-1EC9-49D1-BBC3-B5900D90818A}"/>
    <cellStyle name="Normal 9 3 4 5 2 3" xfId="12927" xr:uid="{A2F2D7EA-51AE-4910-88EC-DA7BF4BC0E1C}"/>
    <cellStyle name="Normal 9 3 4 5 3" xfId="6550" xr:uid="{00000000-0005-0000-0000-000032200000}"/>
    <cellStyle name="Normal 9 3 4 5 3 2" xfId="15000" xr:uid="{99550F48-599A-43EF-B2B4-2675CA6C8560}"/>
    <cellStyle name="Normal 9 3 4 5 4" xfId="10782" xr:uid="{8EEA39AC-E584-4294-AA6F-E7271437527E}"/>
    <cellStyle name="Normal 9 3 4 6" xfId="2680" xr:uid="{00000000-0005-0000-0000-000033200000}"/>
    <cellStyle name="Normal 9 3 4 6 2" xfId="6963" xr:uid="{00000000-0005-0000-0000-000034200000}"/>
    <cellStyle name="Normal 9 3 4 6 2 2" xfId="15413" xr:uid="{8C9A3428-193A-4171-BE5B-1251DCA79012}"/>
    <cellStyle name="Normal 9 3 4 6 3" xfId="11195" xr:uid="{3BEE22DE-6211-4D83-B784-75ED310CCEB3}"/>
    <cellStyle name="Normal 9 3 4 7" xfId="4898" xr:uid="{00000000-0005-0000-0000-000035200000}"/>
    <cellStyle name="Normal 9 3 4 7 2" xfId="13348" xr:uid="{2C3DDBDB-82D9-49CA-ADAF-B2EA2F0584C4}"/>
    <cellStyle name="Normal 9 3 4 8" xfId="9130" xr:uid="{4F99DF19-BD5D-4C09-803E-1E3E36ACD80A}"/>
    <cellStyle name="Normal 9 3 5" xfId="994" xr:uid="{00000000-0005-0000-0000-000036200000}"/>
    <cellStyle name="Normal 9 3 5 2" xfId="3227" xr:uid="{00000000-0005-0000-0000-000037200000}"/>
    <cellStyle name="Normal 9 3 5 2 2" xfId="7449" xr:uid="{00000000-0005-0000-0000-000038200000}"/>
    <cellStyle name="Normal 9 3 5 2 2 2" xfId="15899" xr:uid="{54CC962C-072A-47CF-9ECC-A42BAA1384D6}"/>
    <cellStyle name="Normal 9 3 5 2 3" xfId="11681" xr:uid="{EABC94D8-7447-4AA3-90D2-62B45F7C4390}"/>
    <cellStyle name="Normal 9 3 5 3" xfId="5304" xr:uid="{00000000-0005-0000-0000-000039200000}"/>
    <cellStyle name="Normal 9 3 5 3 2" xfId="13754" xr:uid="{D691EE3C-D9B8-4389-8DC8-C85C582E2496}"/>
    <cellStyle name="Normal 9 3 5 4" xfId="9536" xr:uid="{9BF9F9E6-77B0-41CB-900B-459B017E6917}"/>
    <cellStyle name="Normal 9 3 6" xfId="1410" xr:uid="{00000000-0005-0000-0000-00003A200000}"/>
    <cellStyle name="Normal 9 3 6 2" xfId="3640" xr:uid="{00000000-0005-0000-0000-00003B200000}"/>
    <cellStyle name="Normal 9 3 6 2 2" xfId="7862" xr:uid="{00000000-0005-0000-0000-00003C200000}"/>
    <cellStyle name="Normal 9 3 6 2 2 2" xfId="16312" xr:uid="{2D716249-943C-4F83-A577-C4212E926484}"/>
    <cellStyle name="Normal 9 3 6 2 3" xfId="12094" xr:uid="{83EAF50A-99B9-42FB-819D-737661D92C08}"/>
    <cellStyle name="Normal 9 3 6 3" xfId="5717" xr:uid="{00000000-0005-0000-0000-00003D200000}"/>
    <cellStyle name="Normal 9 3 6 3 2" xfId="14167" xr:uid="{D25D25A7-F1E5-43EE-B3EC-9AE9CEC55409}"/>
    <cellStyle name="Normal 9 3 6 4" xfId="9949" xr:uid="{63AEAB84-2234-45D8-A88B-64B17125036A}"/>
    <cellStyle name="Normal 9 3 7" xfId="1823" xr:uid="{00000000-0005-0000-0000-00003E200000}"/>
    <cellStyle name="Normal 9 3 7 2" xfId="4053" xr:uid="{00000000-0005-0000-0000-00003F200000}"/>
    <cellStyle name="Normal 9 3 7 2 2" xfId="8275" xr:uid="{00000000-0005-0000-0000-000040200000}"/>
    <cellStyle name="Normal 9 3 7 2 2 2" xfId="16725" xr:uid="{74E5307D-189D-457A-8AFB-08E2E54AA75D}"/>
    <cellStyle name="Normal 9 3 7 2 3" xfId="12507" xr:uid="{305AE1BB-B81B-4FE5-B716-A9B10E835271}"/>
    <cellStyle name="Normal 9 3 7 3" xfId="6130" xr:uid="{00000000-0005-0000-0000-000041200000}"/>
    <cellStyle name="Normal 9 3 7 3 2" xfId="14580" xr:uid="{3EA8FE0F-EF13-4348-A8F6-F32F7BF2B026}"/>
    <cellStyle name="Normal 9 3 7 4" xfId="10362" xr:uid="{9D770588-7881-45DF-819E-47ADC3F408A9}"/>
    <cellStyle name="Normal 9 3 8" xfId="2237" xr:uid="{00000000-0005-0000-0000-000042200000}"/>
    <cellStyle name="Normal 9 3 8 2" xfId="4466" xr:uid="{00000000-0005-0000-0000-000043200000}"/>
    <cellStyle name="Normal 9 3 8 2 2" xfId="8688" xr:uid="{00000000-0005-0000-0000-000044200000}"/>
    <cellStyle name="Normal 9 3 8 2 2 2" xfId="17138" xr:uid="{0F0B4CE9-40CB-4FD3-9E66-8427C758E9AF}"/>
    <cellStyle name="Normal 9 3 8 2 3" xfId="12920" xr:uid="{CF3B5741-22F1-47DA-A220-1E92A55964DB}"/>
    <cellStyle name="Normal 9 3 8 3" xfId="6543" xr:uid="{00000000-0005-0000-0000-000045200000}"/>
    <cellStyle name="Normal 9 3 8 3 2" xfId="14993" xr:uid="{14DBC434-364D-45D0-BB2B-A20061ECEE06}"/>
    <cellStyle name="Normal 9 3 8 4" xfId="10775" xr:uid="{C59CE234-8207-41DD-BA62-33FA41D34FF9}"/>
    <cellStyle name="Normal 9 3 9" xfId="2673" xr:uid="{00000000-0005-0000-0000-000046200000}"/>
    <cellStyle name="Normal 9 3 9 2" xfId="6956" xr:uid="{00000000-0005-0000-0000-000047200000}"/>
    <cellStyle name="Normal 9 3 9 2 2" xfId="15406" xr:uid="{8857E3EC-F8F5-4545-9222-A72407034DFD}"/>
    <cellStyle name="Normal 9 3 9 3" xfId="11188" xr:uid="{A58CC1A2-F43C-43B3-83C3-4C502621846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A4B0E562-BE90-4B2B-B580-AEFB302E491A}"/>
    <cellStyle name="Normal 9 5 2 2 2 3" xfId="11690" xr:uid="{3205D47A-F564-484C-8998-E64C72356A3A}"/>
    <cellStyle name="Normal 9 5 2 2 3" xfId="5313" xr:uid="{00000000-0005-0000-0000-00004F200000}"/>
    <cellStyle name="Normal 9 5 2 2 3 2" xfId="13763" xr:uid="{E7863112-E95D-4D31-A6EA-561803B506FF}"/>
    <cellStyle name="Normal 9 5 2 2 4" xfId="9545" xr:uid="{49093739-6427-48A5-BE3A-47601E085CEA}"/>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B827DD0B-3C18-4AA1-958E-70882358B33F}"/>
    <cellStyle name="Normal 9 5 2 3 2 3" xfId="12103" xr:uid="{C06B7B51-C71B-4A7E-A2B3-89867E264C67}"/>
    <cellStyle name="Normal 9 5 2 3 3" xfId="5726" xr:uid="{00000000-0005-0000-0000-000053200000}"/>
    <cellStyle name="Normal 9 5 2 3 3 2" xfId="14176" xr:uid="{9F2CDA5F-382E-4C92-BAC9-1C9C29181ECE}"/>
    <cellStyle name="Normal 9 5 2 3 4" xfId="9958" xr:uid="{91AF027C-B75F-48D2-A010-EC9AA84F137B}"/>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D97D258B-210B-4377-A885-AD61E90FC008}"/>
    <cellStyle name="Normal 9 5 2 4 2 3" xfId="12516" xr:uid="{01DB8AED-4A19-4AF6-B0D9-8C72AAF0BAB9}"/>
    <cellStyle name="Normal 9 5 2 4 3" xfId="6139" xr:uid="{00000000-0005-0000-0000-000057200000}"/>
    <cellStyle name="Normal 9 5 2 4 3 2" xfId="14589" xr:uid="{45F5A45C-62D4-425B-BAA4-DBC0D8E2EEC6}"/>
    <cellStyle name="Normal 9 5 2 4 4" xfId="10371" xr:uid="{EBA8B7BE-B4D6-4BDD-889E-58650EF70129}"/>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28DF6CB6-E7E6-4CF0-9056-DFFD43DC6B7B}"/>
    <cellStyle name="Normal 9 5 2 5 2 3" xfId="12929" xr:uid="{F56E7BE9-F521-4FCB-96F3-23ADDF3C2B73}"/>
    <cellStyle name="Normal 9 5 2 5 3" xfId="6552" xr:uid="{00000000-0005-0000-0000-00005B200000}"/>
    <cellStyle name="Normal 9 5 2 5 3 2" xfId="15002" xr:uid="{E8A4D0B2-C695-4D41-AF64-B86A40CDDEFE}"/>
    <cellStyle name="Normal 9 5 2 5 4" xfId="10784" xr:uid="{E1E20880-4584-4252-A7F9-7BAD99A6823E}"/>
    <cellStyle name="Normal 9 5 2 6" xfId="2682" xr:uid="{00000000-0005-0000-0000-00005C200000}"/>
    <cellStyle name="Normal 9 5 2 6 2" xfId="6965" xr:uid="{00000000-0005-0000-0000-00005D200000}"/>
    <cellStyle name="Normal 9 5 2 6 2 2" xfId="15415" xr:uid="{F89A3D6C-FD17-487A-AAF0-53AE5CC8FD1E}"/>
    <cellStyle name="Normal 9 5 2 6 3" xfId="11197" xr:uid="{207F637D-F303-4E5E-9D98-133A71991A56}"/>
    <cellStyle name="Normal 9 5 2 7" xfId="4900" xr:uid="{00000000-0005-0000-0000-00005E200000}"/>
    <cellStyle name="Normal 9 5 2 7 2" xfId="13350" xr:uid="{2B342D64-CCD2-4E39-AD2A-67E00D4DBE82}"/>
    <cellStyle name="Normal 9 5 2 8" xfId="9132" xr:uid="{AE50E072-C12D-4DA0-B9D9-56A7073AD8E6}"/>
    <cellStyle name="Normal 9 5 3" xfId="1003" xr:uid="{00000000-0005-0000-0000-00005F200000}"/>
    <cellStyle name="Normal 9 5 3 2" xfId="3235" xr:uid="{00000000-0005-0000-0000-000060200000}"/>
    <cellStyle name="Normal 9 5 3 2 2" xfId="7457" xr:uid="{00000000-0005-0000-0000-000061200000}"/>
    <cellStyle name="Normal 9 5 3 2 2 2" xfId="15907" xr:uid="{F362F9EB-937A-4834-9D42-D4582AE6DE2A}"/>
    <cellStyle name="Normal 9 5 3 2 3" xfId="11689" xr:uid="{002E6050-A1B2-4030-94FC-EFFB6BFE68C0}"/>
    <cellStyle name="Normal 9 5 3 3" xfId="5312" xr:uid="{00000000-0005-0000-0000-000062200000}"/>
    <cellStyle name="Normal 9 5 3 3 2" xfId="13762" xr:uid="{A5001092-B5EF-48E0-BCAF-82BA05306BC5}"/>
    <cellStyle name="Normal 9 5 3 4" xfId="9544" xr:uid="{0BDB0160-B673-46EC-BEF4-EAB3FEAED8D9}"/>
    <cellStyle name="Normal 9 5 4" xfId="1418" xr:uid="{00000000-0005-0000-0000-000063200000}"/>
    <cellStyle name="Normal 9 5 4 2" xfId="3648" xr:uid="{00000000-0005-0000-0000-000064200000}"/>
    <cellStyle name="Normal 9 5 4 2 2" xfId="7870" xr:uid="{00000000-0005-0000-0000-000065200000}"/>
    <cellStyle name="Normal 9 5 4 2 2 2" xfId="16320" xr:uid="{E55A5E9E-9EE1-49BD-A2AC-3B19F4A1888E}"/>
    <cellStyle name="Normal 9 5 4 2 3" xfId="12102" xr:uid="{AD76840E-33CB-470A-A0E7-DF99B7DC0CF5}"/>
    <cellStyle name="Normal 9 5 4 3" xfId="5725" xr:uid="{00000000-0005-0000-0000-000066200000}"/>
    <cellStyle name="Normal 9 5 4 3 2" xfId="14175" xr:uid="{5F069F00-E5D8-4446-A784-9775C9165C71}"/>
    <cellStyle name="Normal 9 5 4 4" xfId="9957" xr:uid="{666DA01E-9321-4491-814B-6366BF7D7C5A}"/>
    <cellStyle name="Normal 9 5 5" xfId="1831" xr:uid="{00000000-0005-0000-0000-000067200000}"/>
    <cellStyle name="Normal 9 5 5 2" xfId="4061" xr:uid="{00000000-0005-0000-0000-000068200000}"/>
    <cellStyle name="Normal 9 5 5 2 2" xfId="8283" xr:uid="{00000000-0005-0000-0000-000069200000}"/>
    <cellStyle name="Normal 9 5 5 2 2 2" xfId="16733" xr:uid="{464356AF-75E1-4836-9F7D-F303D9251C85}"/>
    <cellStyle name="Normal 9 5 5 2 3" xfId="12515" xr:uid="{E253A95E-C600-496F-9623-01EF4A0F1109}"/>
    <cellStyle name="Normal 9 5 5 3" xfId="6138" xr:uid="{00000000-0005-0000-0000-00006A200000}"/>
    <cellStyle name="Normal 9 5 5 3 2" xfId="14588" xr:uid="{402CAD6B-1F05-4767-9ECE-96D2F75F0B4E}"/>
    <cellStyle name="Normal 9 5 5 4" xfId="10370" xr:uid="{D7F8B75A-C8CE-42AC-AA31-818EFFC180B4}"/>
    <cellStyle name="Normal 9 5 6" xfId="2245" xr:uid="{00000000-0005-0000-0000-00006B200000}"/>
    <cellStyle name="Normal 9 5 6 2" xfId="4474" xr:uid="{00000000-0005-0000-0000-00006C200000}"/>
    <cellStyle name="Normal 9 5 6 2 2" xfId="8696" xr:uid="{00000000-0005-0000-0000-00006D200000}"/>
    <cellStyle name="Normal 9 5 6 2 2 2" xfId="17146" xr:uid="{9DE494B9-4ACE-4E1B-8471-D2F8DA4AE965}"/>
    <cellStyle name="Normal 9 5 6 2 3" xfId="12928" xr:uid="{2791C220-C22A-4170-845C-616E72A936B5}"/>
    <cellStyle name="Normal 9 5 6 3" xfId="6551" xr:uid="{00000000-0005-0000-0000-00006E200000}"/>
    <cellStyle name="Normal 9 5 6 3 2" xfId="15001" xr:uid="{1FDD28B1-3082-445F-B64D-516628FB237E}"/>
    <cellStyle name="Normal 9 5 6 4" xfId="10783" xr:uid="{640ED7D0-F20E-46B6-AC9E-451B326EF896}"/>
    <cellStyle name="Normal 9 5 7" xfId="2681" xr:uid="{00000000-0005-0000-0000-00006F200000}"/>
    <cellStyle name="Normal 9 5 7 2" xfId="6964" xr:uid="{00000000-0005-0000-0000-000070200000}"/>
    <cellStyle name="Normal 9 5 7 2 2" xfId="15414" xr:uid="{30D5296B-9E9B-4FE4-9386-D2252F5376AF}"/>
    <cellStyle name="Normal 9 5 7 3" xfId="11196" xr:uid="{E9639F63-2045-4E2C-B374-52D58CA73F95}"/>
    <cellStyle name="Normal 9 5 8" xfId="4899" xr:uid="{00000000-0005-0000-0000-000071200000}"/>
    <cellStyle name="Normal 9 5 8 2" xfId="13349" xr:uid="{3D81D12D-93AC-40E7-A75B-694307D00F3F}"/>
    <cellStyle name="Normal 9 5 9" xfId="9131" xr:uid="{4D1959A0-C1F0-4D2B-8EED-3262EAB83F4D}"/>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479675AD-3930-44F4-AEE3-A6BEA22D161A}"/>
    <cellStyle name="Normal 9 6 2 2 3" xfId="11691" xr:uid="{B4F1D594-57C3-4538-AA98-1E41605E8B66}"/>
    <cellStyle name="Normal 9 6 2 3" xfId="5314" xr:uid="{00000000-0005-0000-0000-000076200000}"/>
    <cellStyle name="Normal 9 6 2 3 2" xfId="13764" xr:uid="{436E45B5-D223-4BD2-978A-3BCF31DC8FE0}"/>
    <cellStyle name="Normal 9 6 2 4" xfId="9546" xr:uid="{51308429-0690-4843-8367-92B4E1E96422}"/>
    <cellStyle name="Normal 9 6 3" xfId="1420" xr:uid="{00000000-0005-0000-0000-000077200000}"/>
    <cellStyle name="Normal 9 6 3 2" xfId="3650" xr:uid="{00000000-0005-0000-0000-000078200000}"/>
    <cellStyle name="Normal 9 6 3 2 2" xfId="7872" xr:uid="{00000000-0005-0000-0000-000079200000}"/>
    <cellStyle name="Normal 9 6 3 2 2 2" xfId="16322" xr:uid="{89DA0C95-4C42-4D24-AD3C-186E0ED53D73}"/>
    <cellStyle name="Normal 9 6 3 2 3" xfId="12104" xr:uid="{12E4D3B7-298F-45E7-905D-05A1894B845E}"/>
    <cellStyle name="Normal 9 6 3 3" xfId="5727" xr:uid="{00000000-0005-0000-0000-00007A200000}"/>
    <cellStyle name="Normal 9 6 3 3 2" xfId="14177" xr:uid="{DC137983-3C69-49A1-B4A3-3CA9BB74D52A}"/>
    <cellStyle name="Normal 9 6 3 4" xfId="9959" xr:uid="{D83B1985-998A-4574-A85F-F5439AE53E02}"/>
    <cellStyle name="Normal 9 6 4" xfId="1833" xr:uid="{00000000-0005-0000-0000-00007B200000}"/>
    <cellStyle name="Normal 9 6 4 2" xfId="4063" xr:uid="{00000000-0005-0000-0000-00007C200000}"/>
    <cellStyle name="Normal 9 6 4 2 2" xfId="8285" xr:uid="{00000000-0005-0000-0000-00007D200000}"/>
    <cellStyle name="Normal 9 6 4 2 2 2" xfId="16735" xr:uid="{CC9EBC01-01E0-48B8-8510-296707DE58A2}"/>
    <cellStyle name="Normal 9 6 4 2 3" xfId="12517" xr:uid="{58805F39-CB53-4C84-9235-F084458F30E4}"/>
    <cellStyle name="Normal 9 6 4 3" xfId="6140" xr:uid="{00000000-0005-0000-0000-00007E200000}"/>
    <cellStyle name="Normal 9 6 4 3 2" xfId="14590" xr:uid="{FD466C85-DDC0-449A-BA98-D1B044BA2A8D}"/>
    <cellStyle name="Normal 9 6 4 4" xfId="10372" xr:uid="{5CEF4ED9-372E-4B45-AEB0-AD03D664B8C5}"/>
    <cellStyle name="Normal 9 6 5" xfId="2247" xr:uid="{00000000-0005-0000-0000-00007F200000}"/>
    <cellStyle name="Normal 9 6 5 2" xfId="4476" xr:uid="{00000000-0005-0000-0000-000080200000}"/>
    <cellStyle name="Normal 9 6 5 2 2" xfId="8698" xr:uid="{00000000-0005-0000-0000-000081200000}"/>
    <cellStyle name="Normal 9 6 5 2 2 2" xfId="17148" xr:uid="{F86D60C1-1371-41A4-AC1E-F23253D8E948}"/>
    <cellStyle name="Normal 9 6 5 2 3" xfId="12930" xr:uid="{7003F615-029C-4F1A-B722-8583D55029EA}"/>
    <cellStyle name="Normal 9 6 5 3" xfId="6553" xr:uid="{00000000-0005-0000-0000-000082200000}"/>
    <cellStyle name="Normal 9 6 5 3 2" xfId="15003" xr:uid="{79013D11-DF81-42DA-8097-15FBC2A4D2D5}"/>
    <cellStyle name="Normal 9 6 5 4" xfId="10785" xr:uid="{8254D8A3-04F5-4E62-8C97-37BB06642E73}"/>
    <cellStyle name="Normal 9 6 6" xfId="2683" xr:uid="{00000000-0005-0000-0000-000083200000}"/>
    <cellStyle name="Normal 9 6 6 2" xfId="6966" xr:uid="{00000000-0005-0000-0000-000084200000}"/>
    <cellStyle name="Normal 9 6 6 2 2" xfId="15416" xr:uid="{05A18140-4BB7-4104-B60A-A887F2BC1408}"/>
    <cellStyle name="Normal 9 6 6 3" xfId="11198" xr:uid="{AE2B93F4-7A0A-4E52-BF9C-E023AA007140}"/>
    <cellStyle name="Normal 9 6 7" xfId="4901" xr:uid="{00000000-0005-0000-0000-000085200000}"/>
    <cellStyle name="Normal 9 6 7 2" xfId="13351" xr:uid="{74C00CF1-443E-4216-931F-FDB5D48AC38A}"/>
    <cellStyle name="Normal 9 6 8" xfId="9133" xr:uid="{8306B2E9-015D-4228-B863-268EED67081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69F2CC03-14AC-450E-9EA8-C4B1DA6593AE}"/>
    <cellStyle name="Note 2 2 10 3" xfId="11279" xr:uid="{A9668173-AACD-4B14-99E9-0AC162AF992D}"/>
    <cellStyle name="Note 2 2 11" xfId="4902" xr:uid="{00000000-0005-0000-0000-000094200000}"/>
    <cellStyle name="Note 2 2 11 2" xfId="13352" xr:uid="{5451F2D1-A5DF-4BD2-9E63-A73027B3061E}"/>
    <cellStyle name="Note 2 2 12" xfId="9134" xr:uid="{309E8205-E121-46A0-B942-8D7D8800CA81}"/>
    <cellStyle name="Note 2 2 2" xfId="546" xr:uid="{00000000-0005-0000-0000-000095200000}"/>
    <cellStyle name="Note 2 2 2 10" xfId="4903" xr:uid="{00000000-0005-0000-0000-000096200000}"/>
    <cellStyle name="Note 2 2 2 10 2" xfId="13353" xr:uid="{C975F5CC-1A18-40FF-A379-08EB6F274BC6}"/>
    <cellStyle name="Note 2 2 2 11" xfId="9135" xr:uid="{8B71EF24-0D2E-4BF4-AC15-49D1A7C94877}"/>
    <cellStyle name="Note 2 2 2 2" xfId="547" xr:uid="{00000000-0005-0000-0000-000097200000}"/>
    <cellStyle name="Note 2 2 2 2 10" xfId="9136" xr:uid="{89AB1D45-10F1-461D-B222-44DC6BFE0665}"/>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99BF9C53-178F-48AD-9055-66F266F6B1C7}"/>
    <cellStyle name="Note 2 2 2 2 2 2 3" xfId="11694" xr:uid="{1ABE0E95-DD06-428A-83AF-51E7FF5EBAFE}"/>
    <cellStyle name="Note 2 2 2 2 2 3" xfId="5317" xr:uid="{00000000-0005-0000-0000-00009B200000}"/>
    <cellStyle name="Note 2 2 2 2 2 3 2" xfId="13767" xr:uid="{05C13E85-335D-48F0-BAE1-DCCA74095F1F}"/>
    <cellStyle name="Note 2 2 2 2 2 4" xfId="9549" xr:uid="{1A58D48B-858C-4951-88C9-F354B9542781}"/>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B4C33938-F346-4E55-B979-3331E99E4AF7}"/>
    <cellStyle name="Note 2 2 2 2 3 2 3" xfId="12107" xr:uid="{A7E9658C-503E-4365-B529-B4A02BF23D54}"/>
    <cellStyle name="Note 2 2 2 2 3 3" xfId="5730" xr:uid="{00000000-0005-0000-0000-00009F200000}"/>
    <cellStyle name="Note 2 2 2 2 3 3 2" xfId="14180" xr:uid="{76E2ABD6-E9C9-4800-B166-A7B9D9AA97AF}"/>
    <cellStyle name="Note 2 2 2 2 3 4" xfId="9962" xr:uid="{50572A5B-B1C2-434C-B59D-519978605D3B}"/>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81DE14FE-6C2F-4EF9-8744-4D1AAB09DBD8}"/>
    <cellStyle name="Note 2 2 2 2 4 2 3" xfId="12520" xr:uid="{6BEFD711-8151-4C59-94AB-FDE904CDDDB1}"/>
    <cellStyle name="Note 2 2 2 2 4 3" xfId="6143" xr:uid="{00000000-0005-0000-0000-0000A3200000}"/>
    <cellStyle name="Note 2 2 2 2 4 3 2" xfId="14593" xr:uid="{522E17D1-F8DA-48AA-AA64-C6B461D4E377}"/>
    <cellStyle name="Note 2 2 2 2 4 4" xfId="10375" xr:uid="{558EEF49-AE79-474A-9901-5BF21991BE9A}"/>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BDAF136F-373A-4B36-AC2A-BC8CCC387300}"/>
    <cellStyle name="Note 2 2 2 2 5 2 3" xfId="12933" xr:uid="{0BD55D83-140C-473B-B11F-4D4AD5DC03BC}"/>
    <cellStyle name="Note 2 2 2 2 5 3" xfId="6556" xr:uid="{00000000-0005-0000-0000-0000A7200000}"/>
    <cellStyle name="Note 2 2 2 2 5 3 2" xfId="15006" xr:uid="{83F3266E-685B-438E-8D31-15B062E0C79E}"/>
    <cellStyle name="Note 2 2 2 2 5 4" xfId="10788" xr:uid="{4C76E42F-F7D8-489E-BAA3-DFCBCD08A004}"/>
    <cellStyle name="Note 2 2 2 2 6" xfId="2686" xr:uid="{00000000-0005-0000-0000-0000A8200000}"/>
    <cellStyle name="Note 2 2 2 2 6 2" xfId="6969" xr:uid="{00000000-0005-0000-0000-0000A9200000}"/>
    <cellStyle name="Note 2 2 2 2 6 2 2" xfId="15419" xr:uid="{16CDF35F-87D9-461E-A405-A78F9B3BD3F2}"/>
    <cellStyle name="Note 2 2 2 2 6 3" xfId="11201" xr:uid="{A800928F-1359-4687-A8DE-7C50BDA090A6}"/>
    <cellStyle name="Note 2 2 2 2 7" xfId="2745" xr:uid="{00000000-0005-0000-0000-0000AA200000}"/>
    <cellStyle name="Note 2 2 2 2 8" xfId="2826" xr:uid="{00000000-0005-0000-0000-0000AB200000}"/>
    <cellStyle name="Note 2 2 2 2 8 2" xfId="7049" xr:uid="{00000000-0005-0000-0000-0000AC200000}"/>
    <cellStyle name="Note 2 2 2 2 8 2 2" xfId="15499" xr:uid="{674D6537-CCB2-411D-B125-90CDC57E60AF}"/>
    <cellStyle name="Note 2 2 2 2 8 3" xfId="11281" xr:uid="{0D5C52A0-0C5B-486A-A28C-BE5603276424}"/>
    <cellStyle name="Note 2 2 2 2 9" xfId="4904" xr:uid="{00000000-0005-0000-0000-0000AD200000}"/>
    <cellStyle name="Note 2 2 2 2 9 2" xfId="13354" xr:uid="{45D97D32-4C4D-4D10-8DD5-D92F8A3CEB4B}"/>
    <cellStyle name="Note 2 2 2 3" xfId="1007" xr:uid="{00000000-0005-0000-0000-0000AE200000}"/>
    <cellStyle name="Note 2 2 2 3 2" xfId="3239" xr:uid="{00000000-0005-0000-0000-0000AF200000}"/>
    <cellStyle name="Note 2 2 2 3 2 2" xfId="7461" xr:uid="{00000000-0005-0000-0000-0000B0200000}"/>
    <cellStyle name="Note 2 2 2 3 2 2 2" xfId="15911" xr:uid="{1CBDD854-98B2-496D-BC8D-43234ED49FF6}"/>
    <cellStyle name="Note 2 2 2 3 2 3" xfId="11693" xr:uid="{86D6A676-6C67-4640-9545-3B15A081157F}"/>
    <cellStyle name="Note 2 2 2 3 3" xfId="5316" xr:uid="{00000000-0005-0000-0000-0000B1200000}"/>
    <cellStyle name="Note 2 2 2 3 3 2" xfId="13766" xr:uid="{34E36B4C-B157-4123-AAF5-A157723F8AE8}"/>
    <cellStyle name="Note 2 2 2 3 4" xfId="9548" xr:uid="{1860FB44-2018-4818-9E42-16917074A40E}"/>
    <cellStyle name="Note 2 2 2 4" xfId="1422" xr:uid="{00000000-0005-0000-0000-0000B2200000}"/>
    <cellStyle name="Note 2 2 2 4 2" xfId="3652" xr:uid="{00000000-0005-0000-0000-0000B3200000}"/>
    <cellStyle name="Note 2 2 2 4 2 2" xfId="7874" xr:uid="{00000000-0005-0000-0000-0000B4200000}"/>
    <cellStyle name="Note 2 2 2 4 2 2 2" xfId="16324" xr:uid="{0C38536A-82E6-4592-B0C9-0713E15CD195}"/>
    <cellStyle name="Note 2 2 2 4 2 3" xfId="12106" xr:uid="{83EB66D8-1D50-4368-B456-87EE503F1657}"/>
    <cellStyle name="Note 2 2 2 4 3" xfId="5729" xr:uid="{00000000-0005-0000-0000-0000B5200000}"/>
    <cellStyle name="Note 2 2 2 4 3 2" xfId="14179" xr:uid="{3B99C793-85CC-46B9-96F8-20EBC1ECD039}"/>
    <cellStyle name="Note 2 2 2 4 4" xfId="9961" xr:uid="{88831126-F1D6-4A45-940A-45BE8D2C4032}"/>
    <cellStyle name="Note 2 2 2 5" xfId="1836" xr:uid="{00000000-0005-0000-0000-0000B6200000}"/>
    <cellStyle name="Note 2 2 2 5 2" xfId="4065" xr:uid="{00000000-0005-0000-0000-0000B7200000}"/>
    <cellStyle name="Note 2 2 2 5 2 2" xfId="8287" xr:uid="{00000000-0005-0000-0000-0000B8200000}"/>
    <cellStyle name="Note 2 2 2 5 2 2 2" xfId="16737" xr:uid="{0FED77DE-C0DC-4B5A-981F-F1C3C6D24147}"/>
    <cellStyle name="Note 2 2 2 5 2 3" xfId="12519" xr:uid="{EB340038-FFA7-479B-A4C2-79FEEBD6467A}"/>
    <cellStyle name="Note 2 2 2 5 3" xfId="6142" xr:uid="{00000000-0005-0000-0000-0000B9200000}"/>
    <cellStyle name="Note 2 2 2 5 3 2" xfId="14592" xr:uid="{950277C4-F2AC-442D-974D-D5657A2BAE22}"/>
    <cellStyle name="Note 2 2 2 5 4" xfId="10374" xr:uid="{22A34C4F-75C4-4475-8BB1-71747EF076AC}"/>
    <cellStyle name="Note 2 2 2 6" xfId="2249" xr:uid="{00000000-0005-0000-0000-0000BA200000}"/>
    <cellStyle name="Note 2 2 2 6 2" xfId="4478" xr:uid="{00000000-0005-0000-0000-0000BB200000}"/>
    <cellStyle name="Note 2 2 2 6 2 2" xfId="8700" xr:uid="{00000000-0005-0000-0000-0000BC200000}"/>
    <cellStyle name="Note 2 2 2 6 2 2 2" xfId="17150" xr:uid="{48980929-87D6-4EE3-9C4D-4DBB0D082C82}"/>
    <cellStyle name="Note 2 2 2 6 2 3" xfId="12932" xr:uid="{D24D9BC0-24B0-4B2C-99E3-841D05631D4A}"/>
    <cellStyle name="Note 2 2 2 6 3" xfId="6555" xr:uid="{00000000-0005-0000-0000-0000BD200000}"/>
    <cellStyle name="Note 2 2 2 6 3 2" xfId="15005" xr:uid="{EE1AAD23-E876-4183-BEC4-43C7BE6B415B}"/>
    <cellStyle name="Note 2 2 2 6 4" xfId="10787" xr:uid="{8D2AFD79-F627-47DC-AECF-F1B1D1D1CFCA}"/>
    <cellStyle name="Note 2 2 2 7" xfId="2685" xr:uid="{00000000-0005-0000-0000-0000BE200000}"/>
    <cellStyle name="Note 2 2 2 7 2" xfId="6968" xr:uid="{00000000-0005-0000-0000-0000BF200000}"/>
    <cellStyle name="Note 2 2 2 7 2 2" xfId="15418" xr:uid="{F16C4BA2-2228-424C-975B-6C24BB57E8CD}"/>
    <cellStyle name="Note 2 2 2 7 3" xfId="11200" xr:uid="{2BFFF006-F2B7-472A-88B0-C5F01C478974}"/>
    <cellStyle name="Note 2 2 2 8" xfId="2744" xr:uid="{00000000-0005-0000-0000-0000C0200000}"/>
    <cellStyle name="Note 2 2 2 9" xfId="2825" xr:uid="{00000000-0005-0000-0000-0000C1200000}"/>
    <cellStyle name="Note 2 2 2 9 2" xfId="7048" xr:uid="{00000000-0005-0000-0000-0000C2200000}"/>
    <cellStyle name="Note 2 2 2 9 2 2" xfId="15498" xr:uid="{06636002-6614-4AF4-9C2A-13880CD3CC68}"/>
    <cellStyle name="Note 2 2 2 9 3" xfId="11280" xr:uid="{C59C002D-9264-4356-8DEE-75F42813A3A0}"/>
    <cellStyle name="Note 2 2 3" xfId="548" xr:uid="{00000000-0005-0000-0000-0000C3200000}"/>
    <cellStyle name="Note 2 2 3 10" xfId="9137" xr:uid="{2B097D1F-A517-45C6-9CF2-FB3364D9B986}"/>
    <cellStyle name="Note 2 2 3 2" xfId="1009" xr:uid="{00000000-0005-0000-0000-0000C4200000}"/>
    <cellStyle name="Note 2 2 3 2 2" xfId="3241" xr:uid="{00000000-0005-0000-0000-0000C5200000}"/>
    <cellStyle name="Note 2 2 3 2 2 2" xfId="7463" xr:uid="{00000000-0005-0000-0000-0000C6200000}"/>
    <cellStyle name="Note 2 2 3 2 2 2 2" xfId="15913" xr:uid="{D05A2CEB-DCB3-4839-B95F-0E0A209D3DCA}"/>
    <cellStyle name="Note 2 2 3 2 2 3" xfId="11695" xr:uid="{A142E8FE-7ED2-4728-8D6C-E46E79307B3A}"/>
    <cellStyle name="Note 2 2 3 2 3" xfId="5318" xr:uid="{00000000-0005-0000-0000-0000C7200000}"/>
    <cellStyle name="Note 2 2 3 2 3 2" xfId="13768" xr:uid="{735D0FD7-8732-4723-B638-C8F361873E35}"/>
    <cellStyle name="Note 2 2 3 2 4" xfId="9550" xr:uid="{DCAF1D3E-E585-46DF-8D53-5A03627141B6}"/>
    <cellStyle name="Note 2 2 3 3" xfId="1424" xr:uid="{00000000-0005-0000-0000-0000C8200000}"/>
    <cellStyle name="Note 2 2 3 3 2" xfId="3654" xr:uid="{00000000-0005-0000-0000-0000C9200000}"/>
    <cellStyle name="Note 2 2 3 3 2 2" xfId="7876" xr:uid="{00000000-0005-0000-0000-0000CA200000}"/>
    <cellStyle name="Note 2 2 3 3 2 2 2" xfId="16326" xr:uid="{A706D4E6-7C77-4E50-B568-8FFBDA2E42E9}"/>
    <cellStyle name="Note 2 2 3 3 2 3" xfId="12108" xr:uid="{769BF635-C5AC-4335-81C5-17F5A3E0A107}"/>
    <cellStyle name="Note 2 2 3 3 3" xfId="5731" xr:uid="{00000000-0005-0000-0000-0000CB200000}"/>
    <cellStyle name="Note 2 2 3 3 3 2" xfId="14181" xr:uid="{69135CF8-A7A9-456E-B2F7-DE8DB6D24B0C}"/>
    <cellStyle name="Note 2 2 3 3 4" xfId="9963" xr:uid="{483D0B02-BC01-4860-BA55-B19A965D6629}"/>
    <cellStyle name="Note 2 2 3 4" xfId="1838" xr:uid="{00000000-0005-0000-0000-0000CC200000}"/>
    <cellStyle name="Note 2 2 3 4 2" xfId="4067" xr:uid="{00000000-0005-0000-0000-0000CD200000}"/>
    <cellStyle name="Note 2 2 3 4 2 2" xfId="8289" xr:uid="{00000000-0005-0000-0000-0000CE200000}"/>
    <cellStyle name="Note 2 2 3 4 2 2 2" xfId="16739" xr:uid="{60FF4263-484F-48B9-886C-C12E23CC8363}"/>
    <cellStyle name="Note 2 2 3 4 2 3" xfId="12521" xr:uid="{254F404E-65EF-4FBA-A5E7-D104236F12BF}"/>
    <cellStyle name="Note 2 2 3 4 3" xfId="6144" xr:uid="{00000000-0005-0000-0000-0000CF200000}"/>
    <cellStyle name="Note 2 2 3 4 3 2" xfId="14594" xr:uid="{FF899169-CB75-4715-87A6-62E448016FFA}"/>
    <cellStyle name="Note 2 2 3 4 4" xfId="10376" xr:uid="{750CC7D3-03EE-477F-A69F-257EA4A9E556}"/>
    <cellStyle name="Note 2 2 3 5" xfId="2251" xr:uid="{00000000-0005-0000-0000-0000D0200000}"/>
    <cellStyle name="Note 2 2 3 5 2" xfId="4480" xr:uid="{00000000-0005-0000-0000-0000D1200000}"/>
    <cellStyle name="Note 2 2 3 5 2 2" xfId="8702" xr:uid="{00000000-0005-0000-0000-0000D2200000}"/>
    <cellStyle name="Note 2 2 3 5 2 2 2" xfId="17152" xr:uid="{658A6E31-E2A0-43F6-9BDB-089661737DCF}"/>
    <cellStyle name="Note 2 2 3 5 2 3" xfId="12934" xr:uid="{CA958AF7-98DC-449F-8091-3BC1BC30E0A4}"/>
    <cellStyle name="Note 2 2 3 5 3" xfId="6557" xr:uid="{00000000-0005-0000-0000-0000D3200000}"/>
    <cellStyle name="Note 2 2 3 5 3 2" xfId="15007" xr:uid="{E5647A2A-41C0-49A7-9961-2B4FB07A445A}"/>
    <cellStyle name="Note 2 2 3 5 4" xfId="10789" xr:uid="{DB5DF694-4A53-40EC-8C85-4835C35988A3}"/>
    <cellStyle name="Note 2 2 3 6" xfId="2687" xr:uid="{00000000-0005-0000-0000-0000D4200000}"/>
    <cellStyle name="Note 2 2 3 6 2" xfId="6970" xr:uid="{00000000-0005-0000-0000-0000D5200000}"/>
    <cellStyle name="Note 2 2 3 6 2 2" xfId="15420" xr:uid="{658C453D-410E-46AB-A343-47229870FF09}"/>
    <cellStyle name="Note 2 2 3 6 3" xfId="11202" xr:uid="{2EF25765-1253-4985-883D-9E7ADF8CFE0C}"/>
    <cellStyle name="Note 2 2 3 7" xfId="2746" xr:uid="{00000000-0005-0000-0000-0000D6200000}"/>
    <cellStyle name="Note 2 2 3 8" xfId="2827" xr:uid="{00000000-0005-0000-0000-0000D7200000}"/>
    <cellStyle name="Note 2 2 3 8 2" xfId="7050" xr:uid="{00000000-0005-0000-0000-0000D8200000}"/>
    <cellStyle name="Note 2 2 3 8 2 2" xfId="15500" xr:uid="{FF3A968E-254E-4913-82B0-8C152A8C90E2}"/>
    <cellStyle name="Note 2 2 3 8 3" xfId="11282" xr:uid="{E74AD646-8747-4779-90BB-0EBB52530133}"/>
    <cellStyle name="Note 2 2 3 9" xfId="4905" xr:uid="{00000000-0005-0000-0000-0000D9200000}"/>
    <cellStyle name="Note 2 2 3 9 2" xfId="13355" xr:uid="{D40CFE30-7CCB-4B21-A841-1CC1CBC601A5}"/>
    <cellStyle name="Note 2 2 4" xfId="1006" xr:uid="{00000000-0005-0000-0000-0000DA200000}"/>
    <cellStyle name="Note 2 2 4 2" xfId="3238" xr:uid="{00000000-0005-0000-0000-0000DB200000}"/>
    <cellStyle name="Note 2 2 4 2 2" xfId="7460" xr:uid="{00000000-0005-0000-0000-0000DC200000}"/>
    <cellStyle name="Note 2 2 4 2 2 2" xfId="15910" xr:uid="{FCDBE92E-49C6-4FC9-966E-9381A48DFD24}"/>
    <cellStyle name="Note 2 2 4 2 3" xfId="11692" xr:uid="{4A030941-EDA6-4AEE-86C1-FBDBF06A2BF2}"/>
    <cellStyle name="Note 2 2 4 3" xfId="5315" xr:uid="{00000000-0005-0000-0000-0000DD200000}"/>
    <cellStyle name="Note 2 2 4 3 2" xfId="13765" xr:uid="{B385E868-4500-45D8-A339-74D0F89E20B7}"/>
    <cellStyle name="Note 2 2 4 4" xfId="9547" xr:uid="{0A864946-5FA2-44CE-A83C-AEF592ACF784}"/>
    <cellStyle name="Note 2 2 5" xfId="1421" xr:uid="{00000000-0005-0000-0000-0000DE200000}"/>
    <cellStyle name="Note 2 2 5 2" xfId="3651" xr:uid="{00000000-0005-0000-0000-0000DF200000}"/>
    <cellStyle name="Note 2 2 5 2 2" xfId="7873" xr:uid="{00000000-0005-0000-0000-0000E0200000}"/>
    <cellStyle name="Note 2 2 5 2 2 2" xfId="16323" xr:uid="{75FD2739-6247-4BB2-8ABC-924EE1D6C0C1}"/>
    <cellStyle name="Note 2 2 5 2 3" xfId="12105" xr:uid="{8F8950AA-7F5A-4AC6-8292-F86CCD467043}"/>
    <cellStyle name="Note 2 2 5 3" xfId="5728" xr:uid="{00000000-0005-0000-0000-0000E1200000}"/>
    <cellStyle name="Note 2 2 5 3 2" xfId="14178" xr:uid="{838EE3A5-DADC-4AC0-B7BC-1CE0B295651E}"/>
    <cellStyle name="Note 2 2 5 4" xfId="9960" xr:uid="{952689BA-7229-4A3E-A183-7BD7206D86F3}"/>
    <cellStyle name="Note 2 2 6" xfId="1835" xr:uid="{00000000-0005-0000-0000-0000E2200000}"/>
    <cellStyle name="Note 2 2 6 2" xfId="4064" xr:uid="{00000000-0005-0000-0000-0000E3200000}"/>
    <cellStyle name="Note 2 2 6 2 2" xfId="8286" xr:uid="{00000000-0005-0000-0000-0000E4200000}"/>
    <cellStyle name="Note 2 2 6 2 2 2" xfId="16736" xr:uid="{812C95AB-0D5F-4443-A040-846EC3BBCF02}"/>
    <cellStyle name="Note 2 2 6 2 3" xfId="12518" xr:uid="{640B85E4-8C23-4E7D-83AB-FAD5514441C0}"/>
    <cellStyle name="Note 2 2 6 3" xfId="6141" xr:uid="{00000000-0005-0000-0000-0000E5200000}"/>
    <cellStyle name="Note 2 2 6 3 2" xfId="14591" xr:uid="{2064BB3E-CB49-4FAF-A9EB-D77C145B9389}"/>
    <cellStyle name="Note 2 2 6 4" xfId="10373" xr:uid="{B01A02DA-C3FB-492C-9AAE-3BD854E9C046}"/>
    <cellStyle name="Note 2 2 7" xfId="2248" xr:uid="{00000000-0005-0000-0000-0000E6200000}"/>
    <cellStyle name="Note 2 2 7 2" xfId="4477" xr:uid="{00000000-0005-0000-0000-0000E7200000}"/>
    <cellStyle name="Note 2 2 7 2 2" xfId="8699" xr:uid="{00000000-0005-0000-0000-0000E8200000}"/>
    <cellStyle name="Note 2 2 7 2 2 2" xfId="17149" xr:uid="{6B3274BC-CDAD-41B8-B77E-A099C801B208}"/>
    <cellStyle name="Note 2 2 7 2 3" xfId="12931" xr:uid="{A36F9AE2-AFD3-4D5E-BBAA-1208127C7572}"/>
    <cellStyle name="Note 2 2 7 3" xfId="6554" xr:uid="{00000000-0005-0000-0000-0000E9200000}"/>
    <cellStyle name="Note 2 2 7 3 2" xfId="15004" xr:uid="{C8C25B2A-0379-4972-89F7-EB0E9D067609}"/>
    <cellStyle name="Note 2 2 7 4" xfId="10786" xr:uid="{BFBD64BF-3E44-41D8-8FAC-3EA852C8A49A}"/>
    <cellStyle name="Note 2 2 8" xfId="2684" xr:uid="{00000000-0005-0000-0000-0000EA200000}"/>
    <cellStyle name="Note 2 2 8 2" xfId="6967" xr:uid="{00000000-0005-0000-0000-0000EB200000}"/>
    <cellStyle name="Note 2 2 8 2 2" xfId="15417" xr:uid="{D237846A-A7BF-46A6-9D62-A553C7DBA32B}"/>
    <cellStyle name="Note 2 2 8 3" xfId="11199" xr:uid="{06727C9C-D37D-4950-9653-F97AA6271F45}"/>
    <cellStyle name="Note 2 2 9" xfId="2743" xr:uid="{00000000-0005-0000-0000-0000EC200000}"/>
    <cellStyle name="Note 2 3" xfId="549" xr:uid="{00000000-0005-0000-0000-0000ED200000}"/>
    <cellStyle name="Note 2 3 10" xfId="4906" xr:uid="{00000000-0005-0000-0000-0000EE200000}"/>
    <cellStyle name="Note 2 3 10 2" xfId="13356" xr:uid="{D3C6312A-F221-4AFD-A1EF-30E6201B5BE1}"/>
    <cellStyle name="Note 2 3 11" xfId="9138" xr:uid="{B3D6EC80-CBF5-4C90-BAF5-78D8A1FC4456}"/>
    <cellStyle name="Note 2 3 2" xfId="550" xr:uid="{00000000-0005-0000-0000-0000EF200000}"/>
    <cellStyle name="Note 2 3 2 10" xfId="9139" xr:uid="{E532ED7A-3299-42A1-A071-52CF386BA0B7}"/>
    <cellStyle name="Note 2 3 2 2" xfId="1011" xr:uid="{00000000-0005-0000-0000-0000F0200000}"/>
    <cellStyle name="Note 2 3 2 2 2" xfId="3243" xr:uid="{00000000-0005-0000-0000-0000F1200000}"/>
    <cellStyle name="Note 2 3 2 2 2 2" xfId="7465" xr:uid="{00000000-0005-0000-0000-0000F2200000}"/>
    <cellStyle name="Note 2 3 2 2 2 2 2" xfId="15915" xr:uid="{682AB9E7-FD45-44CE-BBE7-DF5CB8DA6B8B}"/>
    <cellStyle name="Note 2 3 2 2 2 3" xfId="11697" xr:uid="{4DE76B25-CFA0-499B-88C9-D11FDB0E83C2}"/>
    <cellStyle name="Note 2 3 2 2 3" xfId="5320" xr:uid="{00000000-0005-0000-0000-0000F3200000}"/>
    <cellStyle name="Note 2 3 2 2 3 2" xfId="13770" xr:uid="{557CC8B5-175C-44E7-A47D-57A55DCB3691}"/>
    <cellStyle name="Note 2 3 2 2 4" xfId="9552" xr:uid="{D7D4468F-0582-4A65-82A9-B3A13B1B4937}"/>
    <cellStyle name="Note 2 3 2 3" xfId="1426" xr:uid="{00000000-0005-0000-0000-0000F4200000}"/>
    <cellStyle name="Note 2 3 2 3 2" xfId="3656" xr:uid="{00000000-0005-0000-0000-0000F5200000}"/>
    <cellStyle name="Note 2 3 2 3 2 2" xfId="7878" xr:uid="{00000000-0005-0000-0000-0000F6200000}"/>
    <cellStyle name="Note 2 3 2 3 2 2 2" xfId="16328" xr:uid="{84EADF06-C4C9-43EB-A285-F1902AC33023}"/>
    <cellStyle name="Note 2 3 2 3 2 3" xfId="12110" xr:uid="{59A6691E-7897-400B-91F2-C196F45364B0}"/>
    <cellStyle name="Note 2 3 2 3 3" xfId="5733" xr:uid="{00000000-0005-0000-0000-0000F7200000}"/>
    <cellStyle name="Note 2 3 2 3 3 2" xfId="14183" xr:uid="{208BB255-F0BC-43BD-97C1-9453671CA1EA}"/>
    <cellStyle name="Note 2 3 2 3 4" xfId="9965" xr:uid="{9C20B4A8-912A-470D-9D25-E955B73830FE}"/>
    <cellStyle name="Note 2 3 2 4" xfId="1840" xr:uid="{00000000-0005-0000-0000-0000F8200000}"/>
    <cellStyle name="Note 2 3 2 4 2" xfId="4069" xr:uid="{00000000-0005-0000-0000-0000F9200000}"/>
    <cellStyle name="Note 2 3 2 4 2 2" xfId="8291" xr:uid="{00000000-0005-0000-0000-0000FA200000}"/>
    <cellStyle name="Note 2 3 2 4 2 2 2" xfId="16741" xr:uid="{C17C83ED-CB64-478B-BBFC-5FDEAD74D6AA}"/>
    <cellStyle name="Note 2 3 2 4 2 3" xfId="12523" xr:uid="{588987A9-8C37-4B84-A83B-CC63E7F32A1C}"/>
    <cellStyle name="Note 2 3 2 4 3" xfId="6146" xr:uid="{00000000-0005-0000-0000-0000FB200000}"/>
    <cellStyle name="Note 2 3 2 4 3 2" xfId="14596" xr:uid="{67C226FD-B6DD-4802-A6BF-DAA1418118D9}"/>
    <cellStyle name="Note 2 3 2 4 4" xfId="10378" xr:uid="{595C43AD-5104-4395-B93B-1EE9FC683551}"/>
    <cellStyle name="Note 2 3 2 5" xfId="2253" xr:uid="{00000000-0005-0000-0000-0000FC200000}"/>
    <cellStyle name="Note 2 3 2 5 2" xfId="4482" xr:uid="{00000000-0005-0000-0000-0000FD200000}"/>
    <cellStyle name="Note 2 3 2 5 2 2" xfId="8704" xr:uid="{00000000-0005-0000-0000-0000FE200000}"/>
    <cellStyle name="Note 2 3 2 5 2 2 2" xfId="17154" xr:uid="{FCD070B3-AAFF-460A-A591-29245D5EA5FB}"/>
    <cellStyle name="Note 2 3 2 5 2 3" xfId="12936" xr:uid="{A61FEFBF-DC39-4A29-AD32-3949EB4FB4DD}"/>
    <cellStyle name="Note 2 3 2 5 3" xfId="6559" xr:uid="{00000000-0005-0000-0000-0000FF200000}"/>
    <cellStyle name="Note 2 3 2 5 3 2" xfId="15009" xr:uid="{3342C82B-707C-44A0-BCA2-CF7EBD6FB7B5}"/>
    <cellStyle name="Note 2 3 2 5 4" xfId="10791" xr:uid="{FCB33FF5-945E-4AD0-978E-13816C15B2CA}"/>
    <cellStyle name="Note 2 3 2 6" xfId="2689" xr:uid="{00000000-0005-0000-0000-000000210000}"/>
    <cellStyle name="Note 2 3 2 6 2" xfId="6972" xr:uid="{00000000-0005-0000-0000-000001210000}"/>
    <cellStyle name="Note 2 3 2 6 2 2" xfId="15422" xr:uid="{C765CD25-86EB-47FE-B06F-CB5F2D467F71}"/>
    <cellStyle name="Note 2 3 2 6 3" xfId="11204" xr:uid="{6157BC11-EEA0-4D69-ACD7-F6891E01B7BF}"/>
    <cellStyle name="Note 2 3 2 7" xfId="2748" xr:uid="{00000000-0005-0000-0000-000002210000}"/>
    <cellStyle name="Note 2 3 2 8" xfId="2829" xr:uid="{00000000-0005-0000-0000-000003210000}"/>
    <cellStyle name="Note 2 3 2 8 2" xfId="7052" xr:uid="{00000000-0005-0000-0000-000004210000}"/>
    <cellStyle name="Note 2 3 2 8 2 2" xfId="15502" xr:uid="{BC2EB5CB-2C5E-415A-A8BE-C0B51E1DA774}"/>
    <cellStyle name="Note 2 3 2 8 3" xfId="11284" xr:uid="{5812A5A2-8181-4928-8516-6055FF973D09}"/>
    <cellStyle name="Note 2 3 2 9" xfId="4907" xr:uid="{00000000-0005-0000-0000-000005210000}"/>
    <cellStyle name="Note 2 3 2 9 2" xfId="13357" xr:uid="{BE8442C6-0B8E-4B37-BF55-18DC81E01356}"/>
    <cellStyle name="Note 2 3 3" xfId="1010" xr:uid="{00000000-0005-0000-0000-000006210000}"/>
    <cellStyle name="Note 2 3 3 2" xfId="3242" xr:uid="{00000000-0005-0000-0000-000007210000}"/>
    <cellStyle name="Note 2 3 3 2 2" xfId="7464" xr:uid="{00000000-0005-0000-0000-000008210000}"/>
    <cellStyle name="Note 2 3 3 2 2 2" xfId="15914" xr:uid="{6D0B2041-0D9A-41AC-9F74-FE9D34664AAE}"/>
    <cellStyle name="Note 2 3 3 2 3" xfId="11696" xr:uid="{DFDA1854-48C3-4EC6-924D-0DC7A585AFD4}"/>
    <cellStyle name="Note 2 3 3 3" xfId="5319" xr:uid="{00000000-0005-0000-0000-000009210000}"/>
    <cellStyle name="Note 2 3 3 3 2" xfId="13769" xr:uid="{CE1CB4FF-957E-471E-8FF7-5BE99FA7EDB9}"/>
    <cellStyle name="Note 2 3 3 4" xfId="9551" xr:uid="{9C9D1317-C581-489E-9CED-3A53B30A5519}"/>
    <cellStyle name="Note 2 3 4" xfId="1425" xr:uid="{00000000-0005-0000-0000-00000A210000}"/>
    <cellStyle name="Note 2 3 4 2" xfId="3655" xr:uid="{00000000-0005-0000-0000-00000B210000}"/>
    <cellStyle name="Note 2 3 4 2 2" xfId="7877" xr:uid="{00000000-0005-0000-0000-00000C210000}"/>
    <cellStyle name="Note 2 3 4 2 2 2" xfId="16327" xr:uid="{55BA8BBF-8035-4772-848C-6597713AD633}"/>
    <cellStyle name="Note 2 3 4 2 3" xfId="12109" xr:uid="{D319E1FC-86E8-4EC2-A4A8-965696CED3B1}"/>
    <cellStyle name="Note 2 3 4 3" xfId="5732" xr:uid="{00000000-0005-0000-0000-00000D210000}"/>
    <cellStyle name="Note 2 3 4 3 2" xfId="14182" xr:uid="{BBE71941-88D3-4168-9996-BB9137CAA9B6}"/>
    <cellStyle name="Note 2 3 4 4" xfId="9964" xr:uid="{978218CA-D37C-46FC-A071-7F4C922C09FA}"/>
    <cellStyle name="Note 2 3 5" xfId="1839" xr:uid="{00000000-0005-0000-0000-00000E210000}"/>
    <cellStyle name="Note 2 3 5 2" xfId="4068" xr:uid="{00000000-0005-0000-0000-00000F210000}"/>
    <cellStyle name="Note 2 3 5 2 2" xfId="8290" xr:uid="{00000000-0005-0000-0000-000010210000}"/>
    <cellStyle name="Note 2 3 5 2 2 2" xfId="16740" xr:uid="{4A0CB3A7-E237-4228-9175-D85B71D07BE4}"/>
    <cellStyle name="Note 2 3 5 2 3" xfId="12522" xr:uid="{35C197B9-CB6B-490A-A1D5-5EBAD252CF86}"/>
    <cellStyle name="Note 2 3 5 3" xfId="6145" xr:uid="{00000000-0005-0000-0000-000011210000}"/>
    <cellStyle name="Note 2 3 5 3 2" xfId="14595" xr:uid="{39A46BB4-DF76-47AA-86F7-C28FC6916957}"/>
    <cellStyle name="Note 2 3 5 4" xfId="10377" xr:uid="{01BCC48D-48E6-4626-9D6F-25E4779EA34A}"/>
    <cellStyle name="Note 2 3 6" xfId="2252" xr:uid="{00000000-0005-0000-0000-000012210000}"/>
    <cellStyle name="Note 2 3 6 2" xfId="4481" xr:uid="{00000000-0005-0000-0000-000013210000}"/>
    <cellStyle name="Note 2 3 6 2 2" xfId="8703" xr:uid="{00000000-0005-0000-0000-000014210000}"/>
    <cellStyle name="Note 2 3 6 2 2 2" xfId="17153" xr:uid="{0056003A-D967-4659-A11F-D2C42D0BF8F4}"/>
    <cellStyle name="Note 2 3 6 2 3" xfId="12935" xr:uid="{4DD6BF85-53C8-4F02-A124-893ED8DFDA8A}"/>
    <cellStyle name="Note 2 3 6 3" xfId="6558" xr:uid="{00000000-0005-0000-0000-000015210000}"/>
    <cellStyle name="Note 2 3 6 3 2" xfId="15008" xr:uid="{D2B3CEC9-1092-4725-A30A-D4A9AABE7D98}"/>
    <cellStyle name="Note 2 3 6 4" xfId="10790" xr:uid="{0EEE3F0B-C63B-4262-BFD7-D2BC8D05E33A}"/>
    <cellStyle name="Note 2 3 7" xfId="2688" xr:uid="{00000000-0005-0000-0000-000016210000}"/>
    <cellStyle name="Note 2 3 7 2" xfId="6971" xr:uid="{00000000-0005-0000-0000-000017210000}"/>
    <cellStyle name="Note 2 3 7 2 2" xfId="15421" xr:uid="{8A2123DD-6523-4ADA-ACC1-2888BFB95408}"/>
    <cellStyle name="Note 2 3 7 3" xfId="11203" xr:uid="{804C9028-707F-4584-8CC7-C0A76A8FBB26}"/>
    <cellStyle name="Note 2 3 8" xfId="2747" xr:uid="{00000000-0005-0000-0000-000018210000}"/>
    <cellStyle name="Note 2 3 9" xfId="2828" xr:uid="{00000000-0005-0000-0000-000019210000}"/>
    <cellStyle name="Note 2 3 9 2" xfId="7051" xr:uid="{00000000-0005-0000-0000-00001A210000}"/>
    <cellStyle name="Note 2 3 9 2 2" xfId="15501" xr:uid="{E43F739D-88CC-4A8A-B66C-3AC5F9F83ECD}"/>
    <cellStyle name="Note 2 3 9 3" xfId="11283" xr:uid="{C35C3A13-EF4C-4AE3-964E-561D078CFE90}"/>
    <cellStyle name="Note 2 4" xfId="551" xr:uid="{00000000-0005-0000-0000-00001B210000}"/>
    <cellStyle name="Note 2 4 10" xfId="9140" xr:uid="{E618D05A-4645-40CB-9003-4ABE30910857}"/>
    <cellStyle name="Note 2 4 2" xfId="1012" xr:uid="{00000000-0005-0000-0000-00001C210000}"/>
    <cellStyle name="Note 2 4 2 2" xfId="3244" xr:uid="{00000000-0005-0000-0000-00001D210000}"/>
    <cellStyle name="Note 2 4 2 2 2" xfId="7466" xr:uid="{00000000-0005-0000-0000-00001E210000}"/>
    <cellStyle name="Note 2 4 2 2 2 2" xfId="15916" xr:uid="{08C898CB-C90A-469E-A479-9FD41B1C410E}"/>
    <cellStyle name="Note 2 4 2 2 3" xfId="11698" xr:uid="{52F7FBA7-9533-4577-9610-EB568E9C23D0}"/>
    <cellStyle name="Note 2 4 2 3" xfId="5321" xr:uid="{00000000-0005-0000-0000-00001F210000}"/>
    <cellStyle name="Note 2 4 2 3 2" xfId="13771" xr:uid="{57CDADA1-FA56-41D8-9FBF-3F21EEF1C906}"/>
    <cellStyle name="Note 2 4 2 4" xfId="9553" xr:uid="{E37F9127-95D3-4AF2-B4B8-342D55BF92C9}"/>
    <cellStyle name="Note 2 4 3" xfId="1427" xr:uid="{00000000-0005-0000-0000-000020210000}"/>
    <cellStyle name="Note 2 4 3 2" xfId="3657" xr:uid="{00000000-0005-0000-0000-000021210000}"/>
    <cellStyle name="Note 2 4 3 2 2" xfId="7879" xr:uid="{00000000-0005-0000-0000-000022210000}"/>
    <cellStyle name="Note 2 4 3 2 2 2" xfId="16329" xr:uid="{3004A38C-99A1-42C8-9C10-0CD81BA3C478}"/>
    <cellStyle name="Note 2 4 3 2 3" xfId="12111" xr:uid="{39C8054A-28DF-45C1-A749-93976C16731E}"/>
    <cellStyle name="Note 2 4 3 3" xfId="5734" xr:uid="{00000000-0005-0000-0000-000023210000}"/>
    <cellStyle name="Note 2 4 3 3 2" xfId="14184" xr:uid="{272B8D42-3628-45F7-A80B-1B7274805C8E}"/>
    <cellStyle name="Note 2 4 3 4" xfId="9966" xr:uid="{1A6AD1E6-C61E-45A1-BF55-C5BF48DBA64E}"/>
    <cellStyle name="Note 2 4 4" xfId="1841" xr:uid="{00000000-0005-0000-0000-000024210000}"/>
    <cellStyle name="Note 2 4 4 2" xfId="4070" xr:uid="{00000000-0005-0000-0000-000025210000}"/>
    <cellStyle name="Note 2 4 4 2 2" xfId="8292" xr:uid="{00000000-0005-0000-0000-000026210000}"/>
    <cellStyle name="Note 2 4 4 2 2 2" xfId="16742" xr:uid="{ED1F5606-90FE-48AE-BEEB-20238CAC37DF}"/>
    <cellStyle name="Note 2 4 4 2 3" xfId="12524" xr:uid="{165CCDE1-FEFF-4519-A0E4-7759CB2B1B2B}"/>
    <cellStyle name="Note 2 4 4 3" xfId="6147" xr:uid="{00000000-0005-0000-0000-000027210000}"/>
    <cellStyle name="Note 2 4 4 3 2" xfId="14597" xr:uid="{93B68F78-D4CB-4985-94D6-9AB9E35E9220}"/>
    <cellStyle name="Note 2 4 4 4" xfId="10379" xr:uid="{131551FA-8685-4B82-BC98-7852E68BB652}"/>
    <cellStyle name="Note 2 4 5" xfId="2254" xr:uid="{00000000-0005-0000-0000-000028210000}"/>
    <cellStyle name="Note 2 4 5 2" xfId="4483" xr:uid="{00000000-0005-0000-0000-000029210000}"/>
    <cellStyle name="Note 2 4 5 2 2" xfId="8705" xr:uid="{00000000-0005-0000-0000-00002A210000}"/>
    <cellStyle name="Note 2 4 5 2 2 2" xfId="17155" xr:uid="{CD6AA6E0-9A1A-45DC-93D1-16985D383FAF}"/>
    <cellStyle name="Note 2 4 5 2 3" xfId="12937" xr:uid="{5FF70935-02BA-4272-AB8A-AF4CF93AD2AD}"/>
    <cellStyle name="Note 2 4 5 3" xfId="6560" xr:uid="{00000000-0005-0000-0000-00002B210000}"/>
    <cellStyle name="Note 2 4 5 3 2" xfId="15010" xr:uid="{2421DC10-FA0F-4E64-BD38-CE248E3609B0}"/>
    <cellStyle name="Note 2 4 5 4" xfId="10792" xr:uid="{3FCEE81B-9ACD-451D-94E4-62A08D53E25D}"/>
    <cellStyle name="Note 2 4 6" xfId="2690" xr:uid="{00000000-0005-0000-0000-00002C210000}"/>
    <cellStyle name="Note 2 4 6 2" xfId="6973" xr:uid="{00000000-0005-0000-0000-00002D210000}"/>
    <cellStyle name="Note 2 4 6 2 2" xfId="15423" xr:uid="{E94A6611-B901-475C-A15E-118DF2533F10}"/>
    <cellStyle name="Note 2 4 6 3" xfId="11205" xr:uid="{0C552AD3-D053-4F1D-8780-858797F68D31}"/>
    <cellStyle name="Note 2 4 7" xfId="2749" xr:uid="{00000000-0005-0000-0000-00002E210000}"/>
    <cellStyle name="Note 2 4 8" xfId="2830" xr:uid="{00000000-0005-0000-0000-00002F210000}"/>
    <cellStyle name="Note 2 4 8 2" xfId="7053" xr:uid="{00000000-0005-0000-0000-000030210000}"/>
    <cellStyle name="Note 2 4 8 2 2" xfId="15503" xr:uid="{FFCBEA61-200E-488A-8A26-F91F88D0C93C}"/>
    <cellStyle name="Note 2 4 8 3" xfId="11285" xr:uid="{852F184B-8ABB-4E48-823E-DFE6657BA5A6}"/>
    <cellStyle name="Note 2 4 9" xfId="4908" xr:uid="{00000000-0005-0000-0000-000031210000}"/>
    <cellStyle name="Note 2 4 9 2" xfId="13358" xr:uid="{3DB56E10-EECE-4D0E-BF00-D494D16618EB}"/>
    <cellStyle name="Note 2 5" xfId="552" xr:uid="{00000000-0005-0000-0000-000032210000}"/>
    <cellStyle name="Note 2 5 10" xfId="9141" xr:uid="{A8EDAD7E-E696-4009-A7DB-DFEFA67F8D2A}"/>
    <cellStyle name="Note 2 5 2" xfId="1013" xr:uid="{00000000-0005-0000-0000-000033210000}"/>
    <cellStyle name="Note 2 5 2 2" xfId="3245" xr:uid="{00000000-0005-0000-0000-000034210000}"/>
    <cellStyle name="Note 2 5 2 2 2" xfId="7467" xr:uid="{00000000-0005-0000-0000-000035210000}"/>
    <cellStyle name="Note 2 5 2 2 2 2" xfId="15917" xr:uid="{2C60BE90-B6D3-497D-B94C-173AD30C4AF6}"/>
    <cellStyle name="Note 2 5 2 2 3" xfId="11699" xr:uid="{48DC15BD-DC13-4567-ABD3-5DCF055BB35A}"/>
    <cellStyle name="Note 2 5 2 3" xfId="5322" xr:uid="{00000000-0005-0000-0000-000036210000}"/>
    <cellStyle name="Note 2 5 2 3 2" xfId="13772" xr:uid="{4506BA33-DA26-40FD-837F-8F006659763C}"/>
    <cellStyle name="Note 2 5 2 4" xfId="9554" xr:uid="{612B46E6-3E0A-40F6-B0FC-04372B619E96}"/>
    <cellStyle name="Note 2 5 3" xfId="1428" xr:uid="{00000000-0005-0000-0000-000037210000}"/>
    <cellStyle name="Note 2 5 3 2" xfId="3658" xr:uid="{00000000-0005-0000-0000-000038210000}"/>
    <cellStyle name="Note 2 5 3 2 2" xfId="7880" xr:uid="{00000000-0005-0000-0000-000039210000}"/>
    <cellStyle name="Note 2 5 3 2 2 2" xfId="16330" xr:uid="{4384578A-4BE9-4E05-9861-326C334C88FA}"/>
    <cellStyle name="Note 2 5 3 2 3" xfId="12112" xr:uid="{59E241D7-507C-423D-8B80-9756C0AACD53}"/>
    <cellStyle name="Note 2 5 3 3" xfId="5735" xr:uid="{00000000-0005-0000-0000-00003A210000}"/>
    <cellStyle name="Note 2 5 3 3 2" xfId="14185" xr:uid="{CCA85C17-2609-436A-8C29-8184D197FAFC}"/>
    <cellStyle name="Note 2 5 3 4" xfId="9967" xr:uid="{30B705FF-56D5-4067-B498-A3556F88C351}"/>
    <cellStyle name="Note 2 5 4" xfId="1842" xr:uid="{00000000-0005-0000-0000-00003B210000}"/>
    <cellStyle name="Note 2 5 4 2" xfId="4071" xr:uid="{00000000-0005-0000-0000-00003C210000}"/>
    <cellStyle name="Note 2 5 4 2 2" xfId="8293" xr:uid="{00000000-0005-0000-0000-00003D210000}"/>
    <cellStyle name="Note 2 5 4 2 2 2" xfId="16743" xr:uid="{A817190A-50CA-46DB-962B-388E413A677B}"/>
    <cellStyle name="Note 2 5 4 2 3" xfId="12525" xr:uid="{A8784EC4-F1E8-4A44-A933-11CAFDF527ED}"/>
    <cellStyle name="Note 2 5 4 3" xfId="6148" xr:uid="{00000000-0005-0000-0000-00003E210000}"/>
    <cellStyle name="Note 2 5 4 3 2" xfId="14598" xr:uid="{4C2ACE84-09F0-44FB-89B5-96B23E01FB1D}"/>
    <cellStyle name="Note 2 5 4 4" xfId="10380" xr:uid="{AFA024D4-528F-402B-A63E-EEBD1508EBD2}"/>
    <cellStyle name="Note 2 5 5" xfId="2255" xr:uid="{00000000-0005-0000-0000-00003F210000}"/>
    <cellStyle name="Note 2 5 5 2" xfId="4484" xr:uid="{00000000-0005-0000-0000-000040210000}"/>
    <cellStyle name="Note 2 5 5 2 2" xfId="8706" xr:uid="{00000000-0005-0000-0000-000041210000}"/>
    <cellStyle name="Note 2 5 5 2 2 2" xfId="17156" xr:uid="{F5902C29-F78E-4EBD-978E-D7CDF1961A27}"/>
    <cellStyle name="Note 2 5 5 2 3" xfId="12938" xr:uid="{796F08C7-E13E-4C3B-9213-721C4CE7E949}"/>
    <cellStyle name="Note 2 5 5 3" xfId="6561" xr:uid="{00000000-0005-0000-0000-000042210000}"/>
    <cellStyle name="Note 2 5 5 3 2" xfId="15011" xr:uid="{01B0543E-C8CB-4FD9-9B1F-651EF2625ABC}"/>
    <cellStyle name="Note 2 5 5 4" xfId="10793" xr:uid="{DAA0B0F2-835F-4ECF-918B-CD38432A9380}"/>
    <cellStyle name="Note 2 5 6" xfId="2691" xr:uid="{00000000-0005-0000-0000-000043210000}"/>
    <cellStyle name="Note 2 5 6 2" xfId="6974" xr:uid="{00000000-0005-0000-0000-000044210000}"/>
    <cellStyle name="Note 2 5 6 2 2" xfId="15424" xr:uid="{B3C84806-D7D1-4C4E-AEB0-96F6591E6BCB}"/>
    <cellStyle name="Note 2 5 6 3" xfId="11206" xr:uid="{53A60828-8E97-4645-94B8-CC43B0ED3005}"/>
    <cellStyle name="Note 2 5 7" xfId="2750" xr:uid="{00000000-0005-0000-0000-000045210000}"/>
    <cellStyle name="Note 2 5 8" xfId="2831" xr:uid="{00000000-0005-0000-0000-000046210000}"/>
    <cellStyle name="Note 2 5 8 2" xfId="7054" xr:uid="{00000000-0005-0000-0000-000047210000}"/>
    <cellStyle name="Note 2 5 8 2 2" xfId="15504" xr:uid="{3D2C9936-7BB5-42B6-8768-7CF113C34E2B}"/>
    <cellStyle name="Note 2 5 8 3" xfId="11286" xr:uid="{3558A021-85A4-497E-BB88-5505DD24189C}"/>
    <cellStyle name="Note 2 5 9" xfId="4909" xr:uid="{00000000-0005-0000-0000-000048210000}"/>
    <cellStyle name="Note 2 5 9 2" xfId="13359" xr:uid="{9BF44DE7-1914-464D-818A-916C8FF1B457}"/>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047116EC-5DA2-4169-9616-934B5565DDCD}"/>
    <cellStyle name="Note 3 2 10 3" xfId="11287" xr:uid="{35CB190A-E809-43C9-9F20-15B04863E0B5}"/>
    <cellStyle name="Note 3 2 11" xfId="4910" xr:uid="{00000000-0005-0000-0000-00004D210000}"/>
    <cellStyle name="Note 3 2 11 2" xfId="13360" xr:uid="{27226DF2-9AB5-433C-B5B4-95F01417125A}"/>
    <cellStyle name="Note 3 2 12" xfId="9142" xr:uid="{00201D62-6F12-4704-B47F-AFE1847F69E9}"/>
    <cellStyle name="Note 3 2 2" xfId="555" xr:uid="{00000000-0005-0000-0000-00004E210000}"/>
    <cellStyle name="Note 3 2 2 10" xfId="4911" xr:uid="{00000000-0005-0000-0000-00004F210000}"/>
    <cellStyle name="Note 3 2 2 10 2" xfId="13361" xr:uid="{0BFDD086-86B6-4EDF-BA6C-23D2CF83E59D}"/>
    <cellStyle name="Note 3 2 2 11" xfId="9143" xr:uid="{408CFA80-2467-4E30-AA30-6E6DDA9CD280}"/>
    <cellStyle name="Note 3 2 2 2" xfId="556" xr:uid="{00000000-0005-0000-0000-000050210000}"/>
    <cellStyle name="Note 3 2 2 2 10" xfId="9144" xr:uid="{685E9F7C-BA04-4F42-A274-FA23FD2A9D18}"/>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2F1FBAE2-DA76-41AC-AB1E-C96B2447CEB1}"/>
    <cellStyle name="Note 3 2 2 2 2 2 3" xfId="11702" xr:uid="{E433B934-E010-4253-A707-728633A7D656}"/>
    <cellStyle name="Note 3 2 2 2 2 3" xfId="5325" xr:uid="{00000000-0005-0000-0000-000054210000}"/>
    <cellStyle name="Note 3 2 2 2 2 3 2" xfId="13775" xr:uid="{10459B25-B4BE-40B3-81A7-1F1D8E0145E9}"/>
    <cellStyle name="Note 3 2 2 2 2 4" xfId="9557" xr:uid="{DB93F2C6-85EE-4B66-99F1-510FC584FA8B}"/>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5D3E34FD-0167-433D-98AE-07C1210193F6}"/>
    <cellStyle name="Note 3 2 2 2 3 2 3" xfId="12115" xr:uid="{95601944-A86C-4D13-8FA1-ADB38B3C2B45}"/>
    <cellStyle name="Note 3 2 2 2 3 3" xfId="5738" xr:uid="{00000000-0005-0000-0000-000058210000}"/>
    <cellStyle name="Note 3 2 2 2 3 3 2" xfId="14188" xr:uid="{F6D8BCC5-9549-412A-AC41-FE255B94AA14}"/>
    <cellStyle name="Note 3 2 2 2 3 4" xfId="9970" xr:uid="{DF9FF646-A233-476E-B9C4-9CC8DB3C6BED}"/>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3B949E2E-9181-464C-A88A-E324F1A41423}"/>
    <cellStyle name="Note 3 2 2 2 4 2 3" xfId="12528" xr:uid="{A5111EC4-7389-43D4-87DD-69455B5D9F6B}"/>
    <cellStyle name="Note 3 2 2 2 4 3" xfId="6151" xr:uid="{00000000-0005-0000-0000-00005C210000}"/>
    <cellStyle name="Note 3 2 2 2 4 3 2" xfId="14601" xr:uid="{71E8279D-79FC-4783-9F2F-42D3D20F9C07}"/>
    <cellStyle name="Note 3 2 2 2 4 4" xfId="10383" xr:uid="{DC40A537-8CBB-4110-8366-F82AE3C16C1F}"/>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A6C04472-8A34-4619-B18C-931001E5B3F3}"/>
    <cellStyle name="Note 3 2 2 2 5 2 3" xfId="12941" xr:uid="{20E5EE4D-1F07-4064-9BFD-83FDD6B5BC2A}"/>
    <cellStyle name="Note 3 2 2 2 5 3" xfId="6564" xr:uid="{00000000-0005-0000-0000-000060210000}"/>
    <cellStyle name="Note 3 2 2 2 5 3 2" xfId="15014" xr:uid="{4051543D-F57C-466E-89FE-BF0612DAC542}"/>
    <cellStyle name="Note 3 2 2 2 5 4" xfId="10796" xr:uid="{5DB739C3-B37E-425C-B24A-48C3EDEEDA22}"/>
    <cellStyle name="Note 3 2 2 2 6" xfId="2694" xr:uid="{00000000-0005-0000-0000-000061210000}"/>
    <cellStyle name="Note 3 2 2 2 6 2" xfId="6977" xr:uid="{00000000-0005-0000-0000-000062210000}"/>
    <cellStyle name="Note 3 2 2 2 6 2 2" xfId="15427" xr:uid="{B3C82B84-0F33-4410-B1C3-7DBD91829AF0}"/>
    <cellStyle name="Note 3 2 2 2 6 3" xfId="11209" xr:uid="{1A432CCC-257E-4EF2-BBDF-2131D46B5593}"/>
    <cellStyle name="Note 3 2 2 2 7" xfId="2753" xr:uid="{00000000-0005-0000-0000-000063210000}"/>
    <cellStyle name="Note 3 2 2 2 8" xfId="2834" xr:uid="{00000000-0005-0000-0000-000064210000}"/>
    <cellStyle name="Note 3 2 2 2 8 2" xfId="7057" xr:uid="{00000000-0005-0000-0000-000065210000}"/>
    <cellStyle name="Note 3 2 2 2 8 2 2" xfId="15507" xr:uid="{7BB65198-0313-441F-AD47-3BC391627263}"/>
    <cellStyle name="Note 3 2 2 2 8 3" xfId="11289" xr:uid="{5AF36455-6446-444E-8FD3-D925067D62A8}"/>
    <cellStyle name="Note 3 2 2 2 9" xfId="4912" xr:uid="{00000000-0005-0000-0000-000066210000}"/>
    <cellStyle name="Note 3 2 2 2 9 2" xfId="13362" xr:uid="{99E2737C-9642-4958-8CE6-956FC93506CC}"/>
    <cellStyle name="Note 3 2 2 3" xfId="1015" xr:uid="{00000000-0005-0000-0000-000067210000}"/>
    <cellStyle name="Note 3 2 2 3 2" xfId="3247" xr:uid="{00000000-0005-0000-0000-000068210000}"/>
    <cellStyle name="Note 3 2 2 3 2 2" xfId="7469" xr:uid="{00000000-0005-0000-0000-000069210000}"/>
    <cellStyle name="Note 3 2 2 3 2 2 2" xfId="15919" xr:uid="{214841E0-30A7-4AFD-A6EB-1B62C8C2A55B}"/>
    <cellStyle name="Note 3 2 2 3 2 3" xfId="11701" xr:uid="{4D8A2873-C3BE-4F7B-8ABB-7D13B011D097}"/>
    <cellStyle name="Note 3 2 2 3 3" xfId="5324" xr:uid="{00000000-0005-0000-0000-00006A210000}"/>
    <cellStyle name="Note 3 2 2 3 3 2" xfId="13774" xr:uid="{CC4B3B6B-7BA5-4700-8767-139D76D83E26}"/>
    <cellStyle name="Note 3 2 2 3 4" xfId="9556" xr:uid="{EC6D035E-11D4-433A-AA43-D9C82F711677}"/>
    <cellStyle name="Note 3 2 2 4" xfId="1430" xr:uid="{00000000-0005-0000-0000-00006B210000}"/>
    <cellStyle name="Note 3 2 2 4 2" xfId="3660" xr:uid="{00000000-0005-0000-0000-00006C210000}"/>
    <cellStyle name="Note 3 2 2 4 2 2" xfId="7882" xr:uid="{00000000-0005-0000-0000-00006D210000}"/>
    <cellStyle name="Note 3 2 2 4 2 2 2" xfId="16332" xr:uid="{F79B5978-51F4-4067-9CB0-9AF13D74BB97}"/>
    <cellStyle name="Note 3 2 2 4 2 3" xfId="12114" xr:uid="{183E9675-BF01-42B0-A26E-CE044283088F}"/>
    <cellStyle name="Note 3 2 2 4 3" xfId="5737" xr:uid="{00000000-0005-0000-0000-00006E210000}"/>
    <cellStyle name="Note 3 2 2 4 3 2" xfId="14187" xr:uid="{EF8D39CF-2D1C-437A-B22F-AFED768CC8B1}"/>
    <cellStyle name="Note 3 2 2 4 4" xfId="9969" xr:uid="{97265C4E-482F-47CD-9412-209D2AEB194C}"/>
    <cellStyle name="Note 3 2 2 5" xfId="1844" xr:uid="{00000000-0005-0000-0000-00006F210000}"/>
    <cellStyle name="Note 3 2 2 5 2" xfId="4073" xr:uid="{00000000-0005-0000-0000-000070210000}"/>
    <cellStyle name="Note 3 2 2 5 2 2" xfId="8295" xr:uid="{00000000-0005-0000-0000-000071210000}"/>
    <cellStyle name="Note 3 2 2 5 2 2 2" xfId="16745" xr:uid="{F50CA584-0FDC-4B1E-B05C-DC1925D6A05E}"/>
    <cellStyle name="Note 3 2 2 5 2 3" xfId="12527" xr:uid="{448C05F6-01FD-4B6A-8DCC-16CD6016278D}"/>
    <cellStyle name="Note 3 2 2 5 3" xfId="6150" xr:uid="{00000000-0005-0000-0000-000072210000}"/>
    <cellStyle name="Note 3 2 2 5 3 2" xfId="14600" xr:uid="{17F45A5E-B5E6-438B-8ECA-49E8171D6764}"/>
    <cellStyle name="Note 3 2 2 5 4" xfId="10382" xr:uid="{8A4D9584-F5BE-4CB1-AF32-9192286D1EE7}"/>
    <cellStyle name="Note 3 2 2 6" xfId="2257" xr:uid="{00000000-0005-0000-0000-000073210000}"/>
    <cellStyle name="Note 3 2 2 6 2" xfId="4486" xr:uid="{00000000-0005-0000-0000-000074210000}"/>
    <cellStyle name="Note 3 2 2 6 2 2" xfId="8708" xr:uid="{00000000-0005-0000-0000-000075210000}"/>
    <cellStyle name="Note 3 2 2 6 2 2 2" xfId="17158" xr:uid="{AB09F51D-1D08-4AB3-9935-2194F08E4F19}"/>
    <cellStyle name="Note 3 2 2 6 2 3" xfId="12940" xr:uid="{5704C25E-7A45-4DDB-9665-3652CA6377A1}"/>
    <cellStyle name="Note 3 2 2 6 3" xfId="6563" xr:uid="{00000000-0005-0000-0000-000076210000}"/>
    <cellStyle name="Note 3 2 2 6 3 2" xfId="15013" xr:uid="{5DAF3D6E-7907-4D4A-8C7C-1785E3312377}"/>
    <cellStyle name="Note 3 2 2 6 4" xfId="10795" xr:uid="{175B57F5-C9A5-4863-9A31-53BFDCD64E0D}"/>
    <cellStyle name="Note 3 2 2 7" xfId="2693" xr:uid="{00000000-0005-0000-0000-000077210000}"/>
    <cellStyle name="Note 3 2 2 7 2" xfId="6976" xr:uid="{00000000-0005-0000-0000-000078210000}"/>
    <cellStyle name="Note 3 2 2 7 2 2" xfId="15426" xr:uid="{43D50603-4A8F-4044-B423-26CE3E619A9E}"/>
    <cellStyle name="Note 3 2 2 7 3" xfId="11208" xr:uid="{6E8254E7-C8DE-47EE-9FA6-CC744C0D83EC}"/>
    <cellStyle name="Note 3 2 2 8" xfId="2752" xr:uid="{00000000-0005-0000-0000-000079210000}"/>
    <cellStyle name="Note 3 2 2 9" xfId="2833" xr:uid="{00000000-0005-0000-0000-00007A210000}"/>
    <cellStyle name="Note 3 2 2 9 2" xfId="7056" xr:uid="{00000000-0005-0000-0000-00007B210000}"/>
    <cellStyle name="Note 3 2 2 9 2 2" xfId="15506" xr:uid="{E57035D6-264E-4176-A877-275AAA308E5D}"/>
    <cellStyle name="Note 3 2 2 9 3" xfId="11288" xr:uid="{E4965E6A-989F-42B0-B81D-DA1D3621E6D0}"/>
    <cellStyle name="Note 3 2 3" xfId="557" xr:uid="{00000000-0005-0000-0000-00007C210000}"/>
    <cellStyle name="Note 3 2 3 10" xfId="9145" xr:uid="{CF900C0C-5DE0-4110-879D-6D9082CA01D1}"/>
    <cellStyle name="Note 3 2 3 2" xfId="1017" xr:uid="{00000000-0005-0000-0000-00007D210000}"/>
    <cellStyle name="Note 3 2 3 2 2" xfId="3249" xr:uid="{00000000-0005-0000-0000-00007E210000}"/>
    <cellStyle name="Note 3 2 3 2 2 2" xfId="7471" xr:uid="{00000000-0005-0000-0000-00007F210000}"/>
    <cellStyle name="Note 3 2 3 2 2 2 2" xfId="15921" xr:uid="{E9FB835D-CFDF-44EA-AB9F-C2ED2E9DDF78}"/>
    <cellStyle name="Note 3 2 3 2 2 3" xfId="11703" xr:uid="{AE07C6FC-4C36-452A-8487-477514CCAA3C}"/>
    <cellStyle name="Note 3 2 3 2 3" xfId="5326" xr:uid="{00000000-0005-0000-0000-000080210000}"/>
    <cellStyle name="Note 3 2 3 2 3 2" xfId="13776" xr:uid="{CDC4882B-2FEC-4630-AFA5-8FC127C7AB33}"/>
    <cellStyle name="Note 3 2 3 2 4" xfId="9558" xr:uid="{0458510C-7BCE-4D96-92EA-39AE73ED9CFD}"/>
    <cellStyle name="Note 3 2 3 3" xfId="1432" xr:uid="{00000000-0005-0000-0000-000081210000}"/>
    <cellStyle name="Note 3 2 3 3 2" xfId="3662" xr:uid="{00000000-0005-0000-0000-000082210000}"/>
    <cellStyle name="Note 3 2 3 3 2 2" xfId="7884" xr:uid="{00000000-0005-0000-0000-000083210000}"/>
    <cellStyle name="Note 3 2 3 3 2 2 2" xfId="16334" xr:uid="{90E682FB-D149-46C7-AC3C-D638896FD3D2}"/>
    <cellStyle name="Note 3 2 3 3 2 3" xfId="12116" xr:uid="{2D2AC3C7-A9D9-471F-9575-B22FF9CEE9DE}"/>
    <cellStyle name="Note 3 2 3 3 3" xfId="5739" xr:uid="{00000000-0005-0000-0000-000084210000}"/>
    <cellStyle name="Note 3 2 3 3 3 2" xfId="14189" xr:uid="{73E13E50-5A98-4D9F-9F29-1A29B7CA450C}"/>
    <cellStyle name="Note 3 2 3 3 4" xfId="9971" xr:uid="{F83D7245-51F4-460A-9B1E-BF7851A53E36}"/>
    <cellStyle name="Note 3 2 3 4" xfId="1846" xr:uid="{00000000-0005-0000-0000-000085210000}"/>
    <cellStyle name="Note 3 2 3 4 2" xfId="4075" xr:uid="{00000000-0005-0000-0000-000086210000}"/>
    <cellStyle name="Note 3 2 3 4 2 2" xfId="8297" xr:uid="{00000000-0005-0000-0000-000087210000}"/>
    <cellStyle name="Note 3 2 3 4 2 2 2" xfId="16747" xr:uid="{1138B07D-F978-4D35-AC62-C93D7DD0826F}"/>
    <cellStyle name="Note 3 2 3 4 2 3" xfId="12529" xr:uid="{74F863A1-CCF5-46CC-ABCD-8C0BC1DDAC29}"/>
    <cellStyle name="Note 3 2 3 4 3" xfId="6152" xr:uid="{00000000-0005-0000-0000-000088210000}"/>
    <cellStyle name="Note 3 2 3 4 3 2" xfId="14602" xr:uid="{930E5310-065E-4A63-B783-6260C4253B46}"/>
    <cellStyle name="Note 3 2 3 4 4" xfId="10384" xr:uid="{D20E3297-3532-4710-81BF-E4DED87DFBCE}"/>
    <cellStyle name="Note 3 2 3 5" xfId="2259" xr:uid="{00000000-0005-0000-0000-000089210000}"/>
    <cellStyle name="Note 3 2 3 5 2" xfId="4488" xr:uid="{00000000-0005-0000-0000-00008A210000}"/>
    <cellStyle name="Note 3 2 3 5 2 2" xfId="8710" xr:uid="{00000000-0005-0000-0000-00008B210000}"/>
    <cellStyle name="Note 3 2 3 5 2 2 2" xfId="17160" xr:uid="{09E5D477-05F5-4438-BFD1-1DC102E24503}"/>
    <cellStyle name="Note 3 2 3 5 2 3" xfId="12942" xr:uid="{A28F42DF-7226-447B-AF2F-35CFED8AFFAA}"/>
    <cellStyle name="Note 3 2 3 5 3" xfId="6565" xr:uid="{00000000-0005-0000-0000-00008C210000}"/>
    <cellStyle name="Note 3 2 3 5 3 2" xfId="15015" xr:uid="{BC31AD75-0B5C-415C-A8A2-58FBB6F110C7}"/>
    <cellStyle name="Note 3 2 3 5 4" xfId="10797" xr:uid="{46F3C748-A7C5-4625-858F-F059F1DC44EF}"/>
    <cellStyle name="Note 3 2 3 6" xfId="2695" xr:uid="{00000000-0005-0000-0000-00008D210000}"/>
    <cellStyle name="Note 3 2 3 6 2" xfId="6978" xr:uid="{00000000-0005-0000-0000-00008E210000}"/>
    <cellStyle name="Note 3 2 3 6 2 2" xfId="15428" xr:uid="{F49EA24A-5901-481E-92A7-F3F939EAA0A1}"/>
    <cellStyle name="Note 3 2 3 6 3" xfId="11210" xr:uid="{2ACF503D-AA08-4FB5-B5BA-B8FDDCDC8597}"/>
    <cellStyle name="Note 3 2 3 7" xfId="2754" xr:uid="{00000000-0005-0000-0000-00008F210000}"/>
    <cellStyle name="Note 3 2 3 8" xfId="2835" xr:uid="{00000000-0005-0000-0000-000090210000}"/>
    <cellStyle name="Note 3 2 3 8 2" xfId="7058" xr:uid="{00000000-0005-0000-0000-000091210000}"/>
    <cellStyle name="Note 3 2 3 8 2 2" xfId="15508" xr:uid="{7AF1079B-C623-49AE-AC46-164AEADC04C9}"/>
    <cellStyle name="Note 3 2 3 8 3" xfId="11290" xr:uid="{78D7C662-C953-4CCE-809A-E2D780B1CB7F}"/>
    <cellStyle name="Note 3 2 3 9" xfId="4913" xr:uid="{00000000-0005-0000-0000-000092210000}"/>
    <cellStyle name="Note 3 2 3 9 2" xfId="13363" xr:uid="{D35D2BFF-2CC0-4E49-B4E4-C3059750FED4}"/>
    <cellStyle name="Note 3 2 4" xfId="1014" xr:uid="{00000000-0005-0000-0000-000093210000}"/>
    <cellStyle name="Note 3 2 4 2" xfId="3246" xr:uid="{00000000-0005-0000-0000-000094210000}"/>
    <cellStyle name="Note 3 2 4 2 2" xfId="7468" xr:uid="{00000000-0005-0000-0000-000095210000}"/>
    <cellStyle name="Note 3 2 4 2 2 2" xfId="15918" xr:uid="{26E57858-865F-486D-A40D-226C022102D6}"/>
    <cellStyle name="Note 3 2 4 2 3" xfId="11700" xr:uid="{67DCB661-DA78-4AF0-8A0F-0204E35EB716}"/>
    <cellStyle name="Note 3 2 4 3" xfId="5323" xr:uid="{00000000-0005-0000-0000-000096210000}"/>
    <cellStyle name="Note 3 2 4 3 2" xfId="13773" xr:uid="{27EF2FCE-3AEA-40F6-A87F-00E647C61933}"/>
    <cellStyle name="Note 3 2 4 4" xfId="9555" xr:uid="{B3629A01-37C1-4B6E-9CCE-00DBA17C41B6}"/>
    <cellStyle name="Note 3 2 5" xfId="1429" xr:uid="{00000000-0005-0000-0000-000097210000}"/>
    <cellStyle name="Note 3 2 5 2" xfId="3659" xr:uid="{00000000-0005-0000-0000-000098210000}"/>
    <cellStyle name="Note 3 2 5 2 2" xfId="7881" xr:uid="{00000000-0005-0000-0000-000099210000}"/>
    <cellStyle name="Note 3 2 5 2 2 2" xfId="16331" xr:uid="{8D2C771C-9635-4EC0-8BDC-7912C4829858}"/>
    <cellStyle name="Note 3 2 5 2 3" xfId="12113" xr:uid="{4A63FF49-BE12-4873-9229-B9B160B100B7}"/>
    <cellStyle name="Note 3 2 5 3" xfId="5736" xr:uid="{00000000-0005-0000-0000-00009A210000}"/>
    <cellStyle name="Note 3 2 5 3 2" xfId="14186" xr:uid="{A20F5506-93CA-475D-A13A-09903C2552ED}"/>
    <cellStyle name="Note 3 2 5 4" xfId="9968" xr:uid="{F5C3F1ED-7FDD-4BF6-AAD5-D2EBF1B8A1B3}"/>
    <cellStyle name="Note 3 2 6" xfId="1843" xr:uid="{00000000-0005-0000-0000-00009B210000}"/>
    <cellStyle name="Note 3 2 6 2" xfId="4072" xr:uid="{00000000-0005-0000-0000-00009C210000}"/>
    <cellStyle name="Note 3 2 6 2 2" xfId="8294" xr:uid="{00000000-0005-0000-0000-00009D210000}"/>
    <cellStyle name="Note 3 2 6 2 2 2" xfId="16744" xr:uid="{F6C3C57A-6478-4F9E-A446-B26C22B1A52C}"/>
    <cellStyle name="Note 3 2 6 2 3" xfId="12526" xr:uid="{16C1E39F-2DBC-4551-9657-20A43F69A862}"/>
    <cellStyle name="Note 3 2 6 3" xfId="6149" xr:uid="{00000000-0005-0000-0000-00009E210000}"/>
    <cellStyle name="Note 3 2 6 3 2" xfId="14599" xr:uid="{D498A651-362B-4025-BBD1-EDDCA5D9E1B0}"/>
    <cellStyle name="Note 3 2 6 4" xfId="10381" xr:uid="{0ED695B2-9795-4ABF-B92A-958DDABF27E2}"/>
    <cellStyle name="Note 3 2 7" xfId="2256" xr:uid="{00000000-0005-0000-0000-00009F210000}"/>
    <cellStyle name="Note 3 2 7 2" xfId="4485" xr:uid="{00000000-0005-0000-0000-0000A0210000}"/>
    <cellStyle name="Note 3 2 7 2 2" xfId="8707" xr:uid="{00000000-0005-0000-0000-0000A1210000}"/>
    <cellStyle name="Note 3 2 7 2 2 2" xfId="17157" xr:uid="{A7909C7A-D349-4BED-B95D-C4D2CDB3FB6A}"/>
    <cellStyle name="Note 3 2 7 2 3" xfId="12939" xr:uid="{77D9AF96-9F14-4713-8697-9DA7192AA9A5}"/>
    <cellStyle name="Note 3 2 7 3" xfId="6562" xr:uid="{00000000-0005-0000-0000-0000A2210000}"/>
    <cellStyle name="Note 3 2 7 3 2" xfId="15012" xr:uid="{C93099F4-6C54-4F5E-B88D-765E8D67B5B8}"/>
    <cellStyle name="Note 3 2 7 4" xfId="10794" xr:uid="{B240935E-43FD-463C-8951-18D9F87DA902}"/>
    <cellStyle name="Note 3 2 8" xfId="2692" xr:uid="{00000000-0005-0000-0000-0000A3210000}"/>
    <cellStyle name="Note 3 2 8 2" xfId="6975" xr:uid="{00000000-0005-0000-0000-0000A4210000}"/>
    <cellStyle name="Note 3 2 8 2 2" xfId="15425" xr:uid="{82870080-721E-4073-99DF-691BF88FF4E7}"/>
    <cellStyle name="Note 3 2 8 3" xfId="11207" xr:uid="{D1748199-CB75-430D-BE00-B8475DA24C2B}"/>
    <cellStyle name="Note 3 2 9" xfId="2751" xr:uid="{00000000-0005-0000-0000-0000A5210000}"/>
    <cellStyle name="Note 3 3" xfId="558" xr:uid="{00000000-0005-0000-0000-0000A6210000}"/>
    <cellStyle name="Note 3 3 10" xfId="4914" xr:uid="{00000000-0005-0000-0000-0000A7210000}"/>
    <cellStyle name="Note 3 3 10 2" xfId="13364" xr:uid="{45F80F56-7D95-4082-9F97-80B8D927291D}"/>
    <cellStyle name="Note 3 3 11" xfId="9146" xr:uid="{6ADFB448-64DA-4D70-A34B-692561280B6B}"/>
    <cellStyle name="Note 3 3 2" xfId="559" xr:uid="{00000000-0005-0000-0000-0000A8210000}"/>
    <cellStyle name="Note 3 3 2 10" xfId="9147" xr:uid="{11573E72-B08D-4E08-B59D-338B27D30074}"/>
    <cellStyle name="Note 3 3 2 2" xfId="1019" xr:uid="{00000000-0005-0000-0000-0000A9210000}"/>
    <cellStyle name="Note 3 3 2 2 2" xfId="3251" xr:uid="{00000000-0005-0000-0000-0000AA210000}"/>
    <cellStyle name="Note 3 3 2 2 2 2" xfId="7473" xr:uid="{00000000-0005-0000-0000-0000AB210000}"/>
    <cellStyle name="Note 3 3 2 2 2 2 2" xfId="15923" xr:uid="{A859E30B-172E-48E2-82F0-24A552FB88F5}"/>
    <cellStyle name="Note 3 3 2 2 2 3" xfId="11705" xr:uid="{9DEB9B5A-E172-4261-9F7D-C5D5725D6823}"/>
    <cellStyle name="Note 3 3 2 2 3" xfId="5328" xr:uid="{00000000-0005-0000-0000-0000AC210000}"/>
    <cellStyle name="Note 3 3 2 2 3 2" xfId="13778" xr:uid="{1D14FBA9-96FC-481F-8AB2-D0FEA6B4D239}"/>
    <cellStyle name="Note 3 3 2 2 4" xfId="9560" xr:uid="{F1BBEA24-A520-4D8F-917B-3C9801531D11}"/>
    <cellStyle name="Note 3 3 2 3" xfId="1434" xr:uid="{00000000-0005-0000-0000-0000AD210000}"/>
    <cellStyle name="Note 3 3 2 3 2" xfId="3664" xr:uid="{00000000-0005-0000-0000-0000AE210000}"/>
    <cellStyle name="Note 3 3 2 3 2 2" xfId="7886" xr:uid="{00000000-0005-0000-0000-0000AF210000}"/>
    <cellStyle name="Note 3 3 2 3 2 2 2" xfId="16336" xr:uid="{34D3143D-B15F-45F4-A824-4043CCA0CCB8}"/>
    <cellStyle name="Note 3 3 2 3 2 3" xfId="12118" xr:uid="{0DE52721-4D81-402A-9B6F-69B0E63EB716}"/>
    <cellStyle name="Note 3 3 2 3 3" xfId="5741" xr:uid="{00000000-0005-0000-0000-0000B0210000}"/>
    <cellStyle name="Note 3 3 2 3 3 2" xfId="14191" xr:uid="{0A68ECE1-3917-4690-835D-0833EA10F7DA}"/>
    <cellStyle name="Note 3 3 2 3 4" xfId="9973" xr:uid="{1D6C720E-5335-452D-B062-0129C4E57067}"/>
    <cellStyle name="Note 3 3 2 4" xfId="1848" xr:uid="{00000000-0005-0000-0000-0000B1210000}"/>
    <cellStyle name="Note 3 3 2 4 2" xfId="4077" xr:uid="{00000000-0005-0000-0000-0000B2210000}"/>
    <cellStyle name="Note 3 3 2 4 2 2" xfId="8299" xr:uid="{00000000-0005-0000-0000-0000B3210000}"/>
    <cellStyle name="Note 3 3 2 4 2 2 2" xfId="16749" xr:uid="{63B41514-A143-47EA-8717-0F56A4504453}"/>
    <cellStyle name="Note 3 3 2 4 2 3" xfId="12531" xr:uid="{5D0FEE74-AD97-40C0-8E27-657469255A52}"/>
    <cellStyle name="Note 3 3 2 4 3" xfId="6154" xr:uid="{00000000-0005-0000-0000-0000B4210000}"/>
    <cellStyle name="Note 3 3 2 4 3 2" xfId="14604" xr:uid="{BB1DE8C9-3684-438D-9FCF-94ED0952553B}"/>
    <cellStyle name="Note 3 3 2 4 4" xfId="10386" xr:uid="{9F33CCA4-F75A-40AB-BF7F-7549E28325D3}"/>
    <cellStyle name="Note 3 3 2 5" xfId="2261" xr:uid="{00000000-0005-0000-0000-0000B5210000}"/>
    <cellStyle name="Note 3 3 2 5 2" xfId="4490" xr:uid="{00000000-0005-0000-0000-0000B6210000}"/>
    <cellStyle name="Note 3 3 2 5 2 2" xfId="8712" xr:uid="{00000000-0005-0000-0000-0000B7210000}"/>
    <cellStyle name="Note 3 3 2 5 2 2 2" xfId="17162" xr:uid="{9E2A363D-7357-4814-820E-175F2C9D458C}"/>
    <cellStyle name="Note 3 3 2 5 2 3" xfId="12944" xr:uid="{312BBCDE-0A1C-4552-BA20-5D36D5E5C48C}"/>
    <cellStyle name="Note 3 3 2 5 3" xfId="6567" xr:uid="{00000000-0005-0000-0000-0000B8210000}"/>
    <cellStyle name="Note 3 3 2 5 3 2" xfId="15017" xr:uid="{C9DB3E2C-3C98-49E7-BA43-1F1F304C50B9}"/>
    <cellStyle name="Note 3 3 2 5 4" xfId="10799" xr:uid="{A9F16418-433B-42BF-97D9-74099185E4A5}"/>
    <cellStyle name="Note 3 3 2 6" xfId="2697" xr:uid="{00000000-0005-0000-0000-0000B9210000}"/>
    <cellStyle name="Note 3 3 2 6 2" xfId="6980" xr:uid="{00000000-0005-0000-0000-0000BA210000}"/>
    <cellStyle name="Note 3 3 2 6 2 2" xfId="15430" xr:uid="{D6524724-024C-4269-942D-EEDB5B479503}"/>
    <cellStyle name="Note 3 3 2 6 3" xfId="11212" xr:uid="{9CC7F59E-CCCC-483E-B97A-4EDFDE18FFB1}"/>
    <cellStyle name="Note 3 3 2 7" xfId="2756" xr:uid="{00000000-0005-0000-0000-0000BB210000}"/>
    <cellStyle name="Note 3 3 2 8" xfId="2837" xr:uid="{00000000-0005-0000-0000-0000BC210000}"/>
    <cellStyle name="Note 3 3 2 8 2" xfId="7060" xr:uid="{00000000-0005-0000-0000-0000BD210000}"/>
    <cellStyle name="Note 3 3 2 8 2 2" xfId="15510" xr:uid="{2C3A65FB-0377-4094-8863-488036A4B10D}"/>
    <cellStyle name="Note 3 3 2 8 3" xfId="11292" xr:uid="{E2D5FA3F-1D67-4BE5-8BB1-69CA3A620AD4}"/>
    <cellStyle name="Note 3 3 2 9" xfId="4915" xr:uid="{00000000-0005-0000-0000-0000BE210000}"/>
    <cellStyle name="Note 3 3 2 9 2" xfId="13365" xr:uid="{1A849C04-2E41-47FE-8A9B-E756DCDBFA15}"/>
    <cellStyle name="Note 3 3 3" xfId="1018" xr:uid="{00000000-0005-0000-0000-0000BF210000}"/>
    <cellStyle name="Note 3 3 3 2" xfId="3250" xr:uid="{00000000-0005-0000-0000-0000C0210000}"/>
    <cellStyle name="Note 3 3 3 2 2" xfId="7472" xr:uid="{00000000-0005-0000-0000-0000C1210000}"/>
    <cellStyle name="Note 3 3 3 2 2 2" xfId="15922" xr:uid="{1984D8BD-3FF6-4098-A4B0-B0C73A70683F}"/>
    <cellStyle name="Note 3 3 3 2 3" xfId="11704" xr:uid="{0BA06B9C-1C1E-4386-B757-C7EA3E3F045C}"/>
    <cellStyle name="Note 3 3 3 3" xfId="5327" xr:uid="{00000000-0005-0000-0000-0000C2210000}"/>
    <cellStyle name="Note 3 3 3 3 2" xfId="13777" xr:uid="{615CBFEA-DF64-4D28-B8D1-823F8D02A69E}"/>
    <cellStyle name="Note 3 3 3 4" xfId="9559" xr:uid="{A43A42FA-5E1B-4CCA-B7E5-C4B92DB3D2DA}"/>
    <cellStyle name="Note 3 3 4" xfId="1433" xr:uid="{00000000-0005-0000-0000-0000C3210000}"/>
    <cellStyle name="Note 3 3 4 2" xfId="3663" xr:uid="{00000000-0005-0000-0000-0000C4210000}"/>
    <cellStyle name="Note 3 3 4 2 2" xfId="7885" xr:uid="{00000000-0005-0000-0000-0000C5210000}"/>
    <cellStyle name="Note 3 3 4 2 2 2" xfId="16335" xr:uid="{16CBFA96-96F8-449B-B0F6-9E2403264484}"/>
    <cellStyle name="Note 3 3 4 2 3" xfId="12117" xr:uid="{69945C52-032B-49A8-9289-3BFAB0636F36}"/>
    <cellStyle name="Note 3 3 4 3" xfId="5740" xr:uid="{00000000-0005-0000-0000-0000C6210000}"/>
    <cellStyle name="Note 3 3 4 3 2" xfId="14190" xr:uid="{0429DFC9-19D4-4039-921F-4BBED171B5F1}"/>
    <cellStyle name="Note 3 3 4 4" xfId="9972" xr:uid="{B3FF0CBA-0DD7-421E-94E7-DB0AB37CDF5A}"/>
    <cellStyle name="Note 3 3 5" xfId="1847" xr:uid="{00000000-0005-0000-0000-0000C7210000}"/>
    <cellStyle name="Note 3 3 5 2" xfId="4076" xr:uid="{00000000-0005-0000-0000-0000C8210000}"/>
    <cellStyle name="Note 3 3 5 2 2" xfId="8298" xr:uid="{00000000-0005-0000-0000-0000C9210000}"/>
    <cellStyle name="Note 3 3 5 2 2 2" xfId="16748" xr:uid="{2BAE283F-3006-4FCC-9F11-93CC03C64E36}"/>
    <cellStyle name="Note 3 3 5 2 3" xfId="12530" xr:uid="{9BB0AC08-A65D-4ED6-93B5-8A986BB81A0E}"/>
    <cellStyle name="Note 3 3 5 3" xfId="6153" xr:uid="{00000000-0005-0000-0000-0000CA210000}"/>
    <cellStyle name="Note 3 3 5 3 2" xfId="14603" xr:uid="{D7FBBF52-9C36-4EED-B0B3-24DDEFBE7D29}"/>
    <cellStyle name="Note 3 3 5 4" xfId="10385" xr:uid="{2B457EAA-6332-409A-9143-1A4BC662D1F9}"/>
    <cellStyle name="Note 3 3 6" xfId="2260" xr:uid="{00000000-0005-0000-0000-0000CB210000}"/>
    <cellStyle name="Note 3 3 6 2" xfId="4489" xr:uid="{00000000-0005-0000-0000-0000CC210000}"/>
    <cellStyle name="Note 3 3 6 2 2" xfId="8711" xr:uid="{00000000-0005-0000-0000-0000CD210000}"/>
    <cellStyle name="Note 3 3 6 2 2 2" xfId="17161" xr:uid="{97176D53-FE15-47E9-8DF8-512C63C0F68D}"/>
    <cellStyle name="Note 3 3 6 2 3" xfId="12943" xr:uid="{664CC5EA-B22D-4017-8A2C-8F0F551CA26E}"/>
    <cellStyle name="Note 3 3 6 3" xfId="6566" xr:uid="{00000000-0005-0000-0000-0000CE210000}"/>
    <cellStyle name="Note 3 3 6 3 2" xfId="15016" xr:uid="{1F6ECDA1-B715-4744-B274-AB912D0729B1}"/>
    <cellStyle name="Note 3 3 6 4" xfId="10798" xr:uid="{22C910D2-7C81-4FCC-A5CD-E6803C4950FB}"/>
    <cellStyle name="Note 3 3 7" xfId="2696" xr:uid="{00000000-0005-0000-0000-0000CF210000}"/>
    <cellStyle name="Note 3 3 7 2" xfId="6979" xr:uid="{00000000-0005-0000-0000-0000D0210000}"/>
    <cellStyle name="Note 3 3 7 2 2" xfId="15429" xr:uid="{A39B0D0A-3712-40DB-81C4-62CCABAFDE79}"/>
    <cellStyle name="Note 3 3 7 3" xfId="11211" xr:uid="{F3CDE28C-48EB-47D4-A7D4-252F1954DC9F}"/>
    <cellStyle name="Note 3 3 8" xfId="2755" xr:uid="{00000000-0005-0000-0000-0000D1210000}"/>
    <cellStyle name="Note 3 3 9" xfId="2836" xr:uid="{00000000-0005-0000-0000-0000D2210000}"/>
    <cellStyle name="Note 3 3 9 2" xfId="7059" xr:uid="{00000000-0005-0000-0000-0000D3210000}"/>
    <cellStyle name="Note 3 3 9 2 2" xfId="15509" xr:uid="{72741FB6-F66E-4C5D-8CFE-94A8785DE837}"/>
    <cellStyle name="Note 3 3 9 3" xfId="11291" xr:uid="{A14FF0A9-5EBF-43EA-8A47-93A081A9E3D4}"/>
    <cellStyle name="Note 3 4" xfId="560" xr:uid="{00000000-0005-0000-0000-0000D4210000}"/>
    <cellStyle name="Note 3 4 10" xfId="9148" xr:uid="{2AE46C0E-C1A7-49BD-8E05-92461F2EA19C}"/>
    <cellStyle name="Note 3 4 2" xfId="1020" xr:uid="{00000000-0005-0000-0000-0000D5210000}"/>
    <cellStyle name="Note 3 4 2 2" xfId="3252" xr:uid="{00000000-0005-0000-0000-0000D6210000}"/>
    <cellStyle name="Note 3 4 2 2 2" xfId="7474" xr:uid="{00000000-0005-0000-0000-0000D7210000}"/>
    <cellStyle name="Note 3 4 2 2 2 2" xfId="15924" xr:uid="{DD668CF1-F0E3-4F20-9CE6-5EACBF52E311}"/>
    <cellStyle name="Note 3 4 2 2 3" xfId="11706" xr:uid="{C9C67798-7198-42B4-8866-48BC6A70A6F4}"/>
    <cellStyle name="Note 3 4 2 3" xfId="5329" xr:uid="{00000000-0005-0000-0000-0000D8210000}"/>
    <cellStyle name="Note 3 4 2 3 2" xfId="13779" xr:uid="{729270DC-C33A-4A8D-A2A7-82959CAFDF78}"/>
    <cellStyle name="Note 3 4 2 4" xfId="9561" xr:uid="{35773FF0-4EE3-4BAE-AEA8-283D761FD0A7}"/>
    <cellStyle name="Note 3 4 3" xfId="1435" xr:uid="{00000000-0005-0000-0000-0000D9210000}"/>
    <cellStyle name="Note 3 4 3 2" xfId="3665" xr:uid="{00000000-0005-0000-0000-0000DA210000}"/>
    <cellStyle name="Note 3 4 3 2 2" xfId="7887" xr:uid="{00000000-0005-0000-0000-0000DB210000}"/>
    <cellStyle name="Note 3 4 3 2 2 2" xfId="16337" xr:uid="{6DE4D94E-2213-481B-8881-7A99BE8E7C70}"/>
    <cellStyle name="Note 3 4 3 2 3" xfId="12119" xr:uid="{621DA839-6017-4645-845D-F96E267F3866}"/>
    <cellStyle name="Note 3 4 3 3" xfId="5742" xr:uid="{00000000-0005-0000-0000-0000DC210000}"/>
    <cellStyle name="Note 3 4 3 3 2" xfId="14192" xr:uid="{0B731FF9-1122-4CBC-85B9-21427E0D29FE}"/>
    <cellStyle name="Note 3 4 3 4" xfId="9974" xr:uid="{339E015A-1320-4166-8E00-BD1B5BFB8BF4}"/>
    <cellStyle name="Note 3 4 4" xfId="1849" xr:uid="{00000000-0005-0000-0000-0000DD210000}"/>
    <cellStyle name="Note 3 4 4 2" xfId="4078" xr:uid="{00000000-0005-0000-0000-0000DE210000}"/>
    <cellStyle name="Note 3 4 4 2 2" xfId="8300" xr:uid="{00000000-0005-0000-0000-0000DF210000}"/>
    <cellStyle name="Note 3 4 4 2 2 2" xfId="16750" xr:uid="{090B2DD7-00B7-449E-8828-64FF547FA648}"/>
    <cellStyle name="Note 3 4 4 2 3" xfId="12532" xr:uid="{3924E415-4218-462A-9962-829E28C0FE6C}"/>
    <cellStyle name="Note 3 4 4 3" xfId="6155" xr:uid="{00000000-0005-0000-0000-0000E0210000}"/>
    <cellStyle name="Note 3 4 4 3 2" xfId="14605" xr:uid="{42E69E56-2969-4BFF-91FD-6AB007BBD19D}"/>
    <cellStyle name="Note 3 4 4 4" xfId="10387" xr:uid="{941B4646-F118-475F-B62B-3DE04C4D7E70}"/>
    <cellStyle name="Note 3 4 5" xfId="2262" xr:uid="{00000000-0005-0000-0000-0000E1210000}"/>
    <cellStyle name="Note 3 4 5 2" xfId="4491" xr:uid="{00000000-0005-0000-0000-0000E2210000}"/>
    <cellStyle name="Note 3 4 5 2 2" xfId="8713" xr:uid="{00000000-0005-0000-0000-0000E3210000}"/>
    <cellStyle name="Note 3 4 5 2 2 2" xfId="17163" xr:uid="{CC609A88-4153-43DF-AD13-9286A273DFC9}"/>
    <cellStyle name="Note 3 4 5 2 3" xfId="12945" xr:uid="{7251B67F-041C-4D07-A5AD-4E0B0E577652}"/>
    <cellStyle name="Note 3 4 5 3" xfId="6568" xr:uid="{00000000-0005-0000-0000-0000E4210000}"/>
    <cellStyle name="Note 3 4 5 3 2" xfId="15018" xr:uid="{14AA0BE6-F3A1-475A-8F0E-69FE8156EB31}"/>
    <cellStyle name="Note 3 4 5 4" xfId="10800" xr:uid="{DA979778-B8CF-4C13-8C88-A8973DCEEEAD}"/>
    <cellStyle name="Note 3 4 6" xfId="2698" xr:uid="{00000000-0005-0000-0000-0000E5210000}"/>
    <cellStyle name="Note 3 4 6 2" xfId="6981" xr:uid="{00000000-0005-0000-0000-0000E6210000}"/>
    <cellStyle name="Note 3 4 6 2 2" xfId="15431" xr:uid="{1BC0304A-E918-4AEE-A9A5-7B0093D8EC9E}"/>
    <cellStyle name="Note 3 4 6 3" xfId="11213" xr:uid="{C1D8AA9C-38A0-43DA-8A1F-4AC95CB47D1E}"/>
    <cellStyle name="Note 3 4 7" xfId="2757" xr:uid="{00000000-0005-0000-0000-0000E7210000}"/>
    <cellStyle name="Note 3 4 8" xfId="2838" xr:uid="{00000000-0005-0000-0000-0000E8210000}"/>
    <cellStyle name="Note 3 4 8 2" xfId="7061" xr:uid="{00000000-0005-0000-0000-0000E9210000}"/>
    <cellStyle name="Note 3 4 8 2 2" xfId="15511" xr:uid="{7438AD98-B3A7-469C-AB48-A76E28DA8493}"/>
    <cellStyle name="Note 3 4 8 3" xfId="11293" xr:uid="{7552FCD0-7017-442C-82EF-47972501240C}"/>
    <cellStyle name="Note 3 4 9" xfId="4916" xr:uid="{00000000-0005-0000-0000-0000EA210000}"/>
    <cellStyle name="Note 3 4 9 2" xfId="13366" xr:uid="{5753E331-ACCB-4AFF-9BAA-CE631506CB94}"/>
    <cellStyle name="Note 3 5" xfId="561" xr:uid="{00000000-0005-0000-0000-0000EB210000}"/>
    <cellStyle name="Note 3 5 10" xfId="9149" xr:uid="{46F98D5B-0721-42C1-9277-CEBDCAE6AF48}"/>
    <cellStyle name="Note 3 5 2" xfId="1021" xr:uid="{00000000-0005-0000-0000-0000EC210000}"/>
    <cellStyle name="Note 3 5 2 2" xfId="3253" xr:uid="{00000000-0005-0000-0000-0000ED210000}"/>
    <cellStyle name="Note 3 5 2 2 2" xfId="7475" xr:uid="{00000000-0005-0000-0000-0000EE210000}"/>
    <cellStyle name="Note 3 5 2 2 2 2" xfId="15925" xr:uid="{F3815044-C975-4C9F-A910-00EE0185846D}"/>
    <cellStyle name="Note 3 5 2 2 3" xfId="11707" xr:uid="{0C76D186-0C94-4C29-98A9-0411DCA5588C}"/>
    <cellStyle name="Note 3 5 2 3" xfId="5330" xr:uid="{00000000-0005-0000-0000-0000EF210000}"/>
    <cellStyle name="Note 3 5 2 3 2" xfId="13780" xr:uid="{0366F387-98DA-4C5A-A719-68F034F15B5F}"/>
    <cellStyle name="Note 3 5 2 4" xfId="9562" xr:uid="{9288AB36-319A-4760-8BCA-C9C93BDBC69A}"/>
    <cellStyle name="Note 3 5 3" xfId="1436" xr:uid="{00000000-0005-0000-0000-0000F0210000}"/>
    <cellStyle name="Note 3 5 3 2" xfId="3666" xr:uid="{00000000-0005-0000-0000-0000F1210000}"/>
    <cellStyle name="Note 3 5 3 2 2" xfId="7888" xr:uid="{00000000-0005-0000-0000-0000F2210000}"/>
    <cellStyle name="Note 3 5 3 2 2 2" xfId="16338" xr:uid="{C60CF7B1-59B5-4BB1-881A-FD7295C52F80}"/>
    <cellStyle name="Note 3 5 3 2 3" xfId="12120" xr:uid="{B260215F-82C0-41CB-877D-B938BB7AD11C}"/>
    <cellStyle name="Note 3 5 3 3" xfId="5743" xr:uid="{00000000-0005-0000-0000-0000F3210000}"/>
    <cellStyle name="Note 3 5 3 3 2" xfId="14193" xr:uid="{C243895D-F7D8-4D9C-A1E0-93B2E14E05EE}"/>
    <cellStyle name="Note 3 5 3 4" xfId="9975" xr:uid="{6510EF35-38FD-4549-96F3-C054628E0DCD}"/>
    <cellStyle name="Note 3 5 4" xfId="1850" xr:uid="{00000000-0005-0000-0000-0000F4210000}"/>
    <cellStyle name="Note 3 5 4 2" xfId="4079" xr:uid="{00000000-0005-0000-0000-0000F5210000}"/>
    <cellStyle name="Note 3 5 4 2 2" xfId="8301" xr:uid="{00000000-0005-0000-0000-0000F6210000}"/>
    <cellStyle name="Note 3 5 4 2 2 2" xfId="16751" xr:uid="{EBE15EF0-BA96-4134-B00D-07871AC56F75}"/>
    <cellStyle name="Note 3 5 4 2 3" xfId="12533" xr:uid="{DA1302E8-17F1-4574-9AFA-4278879E520B}"/>
    <cellStyle name="Note 3 5 4 3" xfId="6156" xr:uid="{00000000-0005-0000-0000-0000F7210000}"/>
    <cellStyle name="Note 3 5 4 3 2" xfId="14606" xr:uid="{EB1106AB-5A86-4F8F-9E68-890C1CAC0726}"/>
    <cellStyle name="Note 3 5 4 4" xfId="10388" xr:uid="{FE839E50-B6F2-4240-877A-B85837518CCE}"/>
    <cellStyle name="Note 3 5 5" xfId="2263" xr:uid="{00000000-0005-0000-0000-0000F8210000}"/>
    <cellStyle name="Note 3 5 5 2" xfId="4492" xr:uid="{00000000-0005-0000-0000-0000F9210000}"/>
    <cellStyle name="Note 3 5 5 2 2" xfId="8714" xr:uid="{00000000-0005-0000-0000-0000FA210000}"/>
    <cellStyle name="Note 3 5 5 2 2 2" xfId="17164" xr:uid="{4166535C-D517-479C-B2B2-AE47CE8D92B1}"/>
    <cellStyle name="Note 3 5 5 2 3" xfId="12946" xr:uid="{13A81335-2489-445E-B0AB-80F93FAA616B}"/>
    <cellStyle name="Note 3 5 5 3" xfId="6569" xr:uid="{00000000-0005-0000-0000-0000FB210000}"/>
    <cellStyle name="Note 3 5 5 3 2" xfId="15019" xr:uid="{E7B3C4AC-28D5-4A0D-B5E2-11853F442070}"/>
    <cellStyle name="Note 3 5 5 4" xfId="10801" xr:uid="{0AAFADB1-C1DB-4548-B520-B8931D92AAF9}"/>
    <cellStyle name="Note 3 5 6" xfId="2699" xr:uid="{00000000-0005-0000-0000-0000FC210000}"/>
    <cellStyle name="Note 3 5 6 2" xfId="6982" xr:uid="{00000000-0005-0000-0000-0000FD210000}"/>
    <cellStyle name="Note 3 5 6 2 2" xfId="15432" xr:uid="{C3566DAA-D6B5-47D9-BA4E-B17CF232ABBB}"/>
    <cellStyle name="Note 3 5 6 3" xfId="11214" xr:uid="{6FAD137A-42DB-40D1-90D1-4035E8107C22}"/>
    <cellStyle name="Note 3 5 7" xfId="2758" xr:uid="{00000000-0005-0000-0000-0000FE210000}"/>
    <cellStyle name="Note 3 5 8" xfId="2839" xr:uid="{00000000-0005-0000-0000-0000FF210000}"/>
    <cellStyle name="Note 3 5 8 2" xfId="7062" xr:uid="{00000000-0005-0000-0000-000000220000}"/>
    <cellStyle name="Note 3 5 8 2 2" xfId="15512" xr:uid="{050091E0-A0F5-4D81-B487-36ECC7754B4B}"/>
    <cellStyle name="Note 3 5 8 3" xfId="11294" xr:uid="{93FE12B4-DE71-4FA3-BA0A-EB67FA6F6FD3}"/>
    <cellStyle name="Note 3 5 9" xfId="4917" xr:uid="{00000000-0005-0000-0000-000001220000}"/>
    <cellStyle name="Note 3 5 9 2" xfId="13367" xr:uid="{D3FB268B-74EA-408F-AC7B-9846F9CE4BD8}"/>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D8686E88-3600-4466-A1A5-00EA2E548EF3}"/>
    <cellStyle name="Percent 4" xfId="4502" xr:uid="{00000000-0005-0000-0000-000007220000}"/>
    <cellStyle name="Percent 4 2" xfId="8717" xr:uid="{00000000-0005-0000-0000-000008220000}"/>
    <cellStyle name="Percent 4 2 2" xfId="17167" xr:uid="{A8A2BC9E-1452-4C42-8199-6A1EC297FC35}"/>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AFA283CA-4834-4C8B-A378-F4AC76E13648}"/>
    <cellStyle name="Percent 4 3 2 2 2 3" xfId="17180" xr:uid="{C68C85DD-C06C-45DA-9A88-C8898DBE7DDA}"/>
    <cellStyle name="Percent 4 3 2 2 3" xfId="17176" xr:uid="{D006CBF7-0122-4547-9577-5BC3141D6BAD}"/>
    <cellStyle name="Percent 4 3 2 3" xfId="17173" xr:uid="{E57F7708-DC05-4330-8960-CC7E822E0A01}"/>
    <cellStyle name="Percent 4 3 3" xfId="17170" xr:uid="{1D5816F6-56A4-485E-BC9C-B750031661DA}"/>
    <cellStyle name="Percent 4 4" xfId="12953" xr:uid="{3D658E6C-BBF5-41F9-840B-EB6BE6550FF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654</v>
      </c>
      <c r="F40" s="1260" t="s">
        <v>1165</v>
      </c>
    </row>
    <row r="41" spans="1:38" s="1260"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71" sqref="H71"/>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69" t="s">
        <v>1586</v>
      </c>
      <c r="B1" s="2669"/>
      <c r="C1" s="2669"/>
      <c r="D1" s="2669"/>
      <c r="E1" s="2669"/>
      <c r="F1" s="2669"/>
      <c r="G1" s="2669"/>
      <c r="H1" s="2669"/>
      <c r="I1" s="2669"/>
      <c r="J1" s="2669"/>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24413696</v>
      </c>
      <c r="I3" s="1105"/>
    </row>
    <row r="4" spans="1:13" s="1051" customFormat="1" ht="20.100000000000001" customHeight="1">
      <c r="B4" s="1094"/>
      <c r="D4" s="1108"/>
      <c r="F4" s="1092" t="s">
        <v>1992</v>
      </c>
      <c r="G4" s="1091" t="s">
        <v>1991</v>
      </c>
      <c r="H4" s="1093">
        <f>I18</f>
        <v>23408930.294117648</v>
      </c>
      <c r="I4" s="1095"/>
      <c r="K4" s="1055"/>
    </row>
    <row r="5" spans="1:13" s="1051" customFormat="1" ht="20.100000000000001" customHeight="1" thickBot="1">
      <c r="B5" s="1096"/>
      <c r="C5" s="1097"/>
      <c r="D5" s="1109"/>
      <c r="E5" s="1098"/>
      <c r="F5" s="1109" t="s">
        <v>1942</v>
      </c>
      <c r="G5" s="1110"/>
      <c r="H5" s="1106">
        <f>IFERROR(H3/H4,0)</f>
        <v>1.0429223246538026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1940</v>
      </c>
      <c r="C8" s="2673"/>
      <c r="D8" s="2673"/>
      <c r="E8" s="2674"/>
      <c r="G8" s="2649" t="s">
        <v>1941</v>
      </c>
      <c r="H8" s="2650"/>
      <c r="I8" s="2651"/>
      <c r="K8" s="1057"/>
    </row>
    <row r="9" spans="1:13" ht="15" customHeight="1">
      <c r="A9" s="1046"/>
      <c r="B9" s="2670" t="s">
        <v>1974</v>
      </c>
      <c r="C9" s="2670"/>
      <c r="D9" s="2670"/>
      <c r="E9" s="1059">
        <f>G33</f>
        <v>7475000</v>
      </c>
      <c r="G9" s="2662" t="s">
        <v>1972</v>
      </c>
      <c r="H9" s="2662"/>
      <c r="I9" s="1060">
        <f>SUMIF(Application!M554:M565,"Loan, Tax-Exempt",Application!AM554:AM565)</f>
        <v>11498640</v>
      </c>
      <c r="K9" s="1061"/>
      <c r="M9" s="1062"/>
    </row>
    <row r="10" spans="1:13" ht="15" customHeight="1" thickBot="1">
      <c r="A10" s="1046"/>
      <c r="B10" s="2670" t="s">
        <v>1975</v>
      </c>
      <c r="C10" s="2670"/>
      <c r="D10" s="2670"/>
      <c r="E10" s="1060">
        <f>G47</f>
        <v>8286696.0000000009</v>
      </c>
      <c r="G10" s="2676" t="s">
        <v>1943</v>
      </c>
      <c r="H10" s="2676"/>
      <c r="I10" s="1140">
        <f>'Basis &amp; Credits'!AB78</f>
        <v>11377632</v>
      </c>
      <c r="M10" s="1062"/>
    </row>
    <row r="11" spans="1:13" ht="15" customHeight="1">
      <c r="A11" s="1046"/>
      <c r="B11" s="2663" t="s">
        <v>2263</v>
      </c>
      <c r="C11" s="2664"/>
      <c r="D11" s="2665"/>
      <c r="E11" s="1060">
        <f>SUM(E12,E13)</f>
        <v>280000</v>
      </c>
      <c r="G11" s="2661" t="s">
        <v>1983</v>
      </c>
      <c r="H11" s="2661"/>
      <c r="I11" s="1139">
        <f>I9+I10</f>
        <v>22876272</v>
      </c>
      <c r="M11" s="1062"/>
    </row>
    <row r="12" spans="1:13" ht="15" customHeight="1">
      <c r="A12" s="1063"/>
      <c r="B12" s="2671" t="s">
        <v>2265</v>
      </c>
      <c r="C12" s="2671"/>
      <c r="D12" s="2671"/>
      <c r="E12" s="1165">
        <f>G56</f>
        <v>0</v>
      </c>
      <c r="M12" s="1062"/>
    </row>
    <row r="13" spans="1:13" ht="15" customHeight="1">
      <c r="A13" s="1049"/>
      <c r="B13" s="2671" t="s">
        <v>2266</v>
      </c>
      <c r="C13" s="2671"/>
      <c r="D13" s="2671"/>
      <c r="E13" s="1165">
        <f>G65</f>
        <v>280000</v>
      </c>
      <c r="G13" s="2649" t="s">
        <v>2006</v>
      </c>
      <c r="H13" s="2650"/>
      <c r="I13" s="2651"/>
      <c r="M13" s="1062"/>
    </row>
    <row r="14" spans="1:13" ht="15" customHeight="1">
      <c r="A14" s="1049"/>
      <c r="B14" s="2663" t="s">
        <v>2264</v>
      </c>
      <c r="C14" s="2664"/>
      <c r="D14" s="2665"/>
      <c r="E14" s="1167">
        <f>MAX(E15,E16)+E17</f>
        <v>8372000</v>
      </c>
      <c r="G14" s="2662" t="s">
        <v>139</v>
      </c>
      <c r="H14" s="2662"/>
      <c r="I14" s="1064">
        <f>15%*(AND(G120="Yes",G122&lt;&gt;""))</f>
        <v>0</v>
      </c>
      <c r="M14" s="1062"/>
    </row>
    <row r="15" spans="1:13" ht="15" customHeight="1">
      <c r="A15" s="1049"/>
      <c r="B15" s="2646" t="s">
        <v>2270</v>
      </c>
      <c r="C15" s="2647"/>
      <c r="D15" s="2648"/>
      <c r="E15" s="1165">
        <f>G80</f>
        <v>2990000</v>
      </c>
      <c r="G15" s="1137" t="s">
        <v>1984</v>
      </c>
      <c r="H15" s="1137"/>
      <c r="I15" s="1064">
        <f>IF(Application!AJ1032&gt;0,10%,IF(Application!AJ1036&gt;0,5%,0))</f>
        <v>0</v>
      </c>
      <c r="M15" s="1062"/>
    </row>
    <row r="16" spans="1:13" ht="15" customHeight="1">
      <c r="A16" s="1049"/>
      <c r="B16" s="2646" t="s">
        <v>2269</v>
      </c>
      <c r="C16" s="2647"/>
      <c r="D16" s="2648"/>
      <c r="E16" s="1165">
        <f>G90</f>
        <v>0</v>
      </c>
      <c r="G16" s="2662" t="s">
        <v>1985</v>
      </c>
      <c r="H16" s="2662"/>
      <c r="I16" s="1064">
        <f>G132</f>
        <v>-2.3284313725490197E-2</v>
      </c>
    </row>
    <row r="17" spans="1:21" ht="15" customHeight="1" thickBot="1">
      <c r="A17" s="1049"/>
      <c r="B17" s="2646" t="s">
        <v>2268</v>
      </c>
      <c r="C17" s="2647"/>
      <c r="D17" s="2648"/>
      <c r="E17" s="1165">
        <f>G115</f>
        <v>5382000</v>
      </c>
      <c r="G17" s="2662" t="s">
        <v>2278</v>
      </c>
      <c r="H17" s="2662"/>
      <c r="I17" s="1064">
        <f>IF(AND(G139="Yes",OR(G136,G137)),IF(G143&gt;15%,15%,G143),0)</f>
        <v>0</v>
      </c>
    </row>
    <row r="18" spans="1:21" ht="15" customHeight="1">
      <c r="A18" s="1046"/>
      <c r="B18" s="2675" t="s">
        <v>1939</v>
      </c>
      <c r="C18" s="2675"/>
      <c r="D18" s="2675"/>
      <c r="E18" s="1111">
        <f>SUM(E9:E11,E14)</f>
        <v>24413696</v>
      </c>
      <c r="G18" s="1138" t="s">
        <v>1973</v>
      </c>
      <c r="H18" s="1138"/>
      <c r="I18" s="1112">
        <f>I11-((I11*I14)+(I11*I15)+(I11*I16)+(I11*I17))</f>
        <v>23408930.294117648</v>
      </c>
      <c r="M18" s="1065">
        <f>SUM(Cdlac[Quantity])</f>
        <v>119</v>
      </c>
      <c r="O18" s="1084" t="s">
        <v>583</v>
      </c>
      <c r="P18" s="1044">
        <f>MATCH(Application!T189,Application!CB160:CB217,0)</f>
        <v>45</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546.6</v>
      </c>
      <c r="Q20" s="1164"/>
      <c r="R20" s="1065" cm="1">
        <f t="array" ref="R20">IF(Cdlac[[#This Row],[Quantity]]&gt;0,INDEX(HudFmrs,$P$18,Cdlac[[#This Row],[Bedrooms]]+1),"")</f>
        <v>1229</v>
      </c>
      <c r="S20" s="1065">
        <f>IF(Cdlac[[#This Row],[Quantity]]&gt;0,MAX(0,Cdlac[[#This Row],[Fair Market Rent]]-IF(AND($G$37,$G$38,$G$38&lt;&gt;"",NOT(Cdlac[[#This Row],[Federal]]),Cdlac[[#This Row],[Preservation Rent]]&lt;&gt;""),Cdlac[[#This Row],[Preservation Rent]],Cdlac[[#This Row],[Restricted Rent]])),"")</f>
        <v>682.4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911</v>
      </c>
      <c r="Q21" s="1164"/>
      <c r="R21" s="1065" cm="1">
        <f t="array" ref="R21">IF(Cdlac[[#This Row],[Quantity]]&gt;0,INDEX(HudFmrs,$P$18,Cdlac[[#This Row],[Bedrooms]]+1),"")</f>
        <v>1229</v>
      </c>
      <c r="S21" s="1065">
        <f>IF(Cdlac[[#This Row],[Quantity]]&gt;0,MAX(0,Cdlac[[#This Row],[Fair Market Rent]]-IF(AND($G$37,$G$38,$G$38&lt;&gt;"",NOT(Cdlac[[#This Row],[Federal]]),Cdlac[[#This Row],[Preservation Rent]]&lt;&gt;""),Cdlac[[#This Row],[Preservation Rent]],Cdlac[[#This Row],[Restricted Rent]])),"")</f>
        <v>318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3" t="s">
        <v>1987</v>
      </c>
      <c r="D22" s="2653" t="s">
        <v>1988</v>
      </c>
      <c r="E22" s="2653" t="s">
        <v>1989</v>
      </c>
      <c r="F22" s="2653" t="s">
        <v>2609</v>
      </c>
      <c r="G22" s="2653" t="s">
        <v>1986</v>
      </c>
      <c r="H22" s="1070"/>
      <c r="I22" s="1069"/>
      <c r="L22" s="1044">
        <f>IFERROR(MIN(4,MATCH(Application!B720,UnitSizes,0)-1),"")</f>
        <v>1</v>
      </c>
      <c r="M22" s="1065">
        <f>Application!G720</f>
        <v>9</v>
      </c>
      <c r="N22" s="1071">
        <f>Application!AC720</f>
        <v>0.6</v>
      </c>
      <c r="O22" s="1071">
        <f>IF(Cdlac[[#This Row],[Quantity]]&gt;0,IF(Cdlac[[#This Row],[Federal]],30%,IF(AND(OR(NOT($G$38),$G$38=""),$G$43),40%,Cdlac[[#This Row],[iAMI]])),"")</f>
        <v>0.6</v>
      </c>
      <c r="P22" s="1065" cm="1">
        <f t="array" ref="P22">IF(Cdlac[[#This Row],[Quantity]]&gt;0,INDEX(TcacRents,$P$18,Cdlac[[#This Row],[Bedrooms]]+1)*Cdlac[[#This Row],[AMI]],"")</f>
        <v>1093.2</v>
      </c>
      <c r="Q22" s="1164"/>
      <c r="R22" s="1065" cm="1">
        <f t="array" ref="R22">IF(Cdlac[[#This Row],[Quantity]]&gt;0,INDEX(HudFmrs,$P$18,Cdlac[[#This Row],[Bedrooms]]+1),"")</f>
        <v>1229</v>
      </c>
      <c r="S22" s="1065">
        <f>IF(Cdlac[[#This Row],[Quantity]]&gt;0,MAX(0,Cdlac[[#This Row],[Fair Market Rent]]-IF(AND($G$37,$G$38,$G$38&lt;&gt;"",NOT(Cdlac[[#This Row],[Federal]]),Cdlac[[#This Row],[Preservation Rent]]&lt;&gt;""),Cdlac[[#This Row],[Preservation Rent]],Cdlac[[#This Row],[Restricted Rent]])),"")</f>
        <v>135.79999999999995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4"/>
      <c r="D23" s="2654"/>
      <c r="E23" s="2654"/>
      <c r="F23" s="2654"/>
      <c r="G23" s="2654"/>
      <c r="H23" s="1070"/>
      <c r="I23" s="1069"/>
      <c r="L23" s="1044">
        <f>IFERROR(MIN(4,MATCH(Application!B721,UnitSizes,0)-1),"")</f>
        <v>1</v>
      </c>
      <c r="M23" s="1065">
        <f>Application!G721</f>
        <v>14</v>
      </c>
      <c r="N23" s="1071">
        <f>Application!AC721</f>
        <v>0.7</v>
      </c>
      <c r="O23" s="1071">
        <f>IF(Cdlac[[#This Row],[Quantity]]&gt;0,IF(Cdlac[[#This Row],[Federal]],30%,IF(AND(OR(NOT($G$38),$G$38=""),$G$43),40%,Cdlac[[#This Row],[iAMI]])),"")</f>
        <v>0.7</v>
      </c>
      <c r="P23" s="1065" cm="1">
        <f t="array" ref="P23">IF(Cdlac[[#This Row],[Quantity]]&gt;0,INDEX(TcacRents,$P$18,Cdlac[[#This Row],[Bedrooms]]+1)*Cdlac[[#This Row],[AMI]],"")</f>
        <v>1275.3999999999999</v>
      </c>
      <c r="Q23" s="1164"/>
      <c r="R23" s="1065" cm="1">
        <f t="array" ref="R23">IF(Cdlac[[#This Row],[Quantity]]&gt;0,INDEX(HudFmrs,$P$18,Cdlac[[#This Row],[Bedrooms]]+1),"")</f>
        <v>1229</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6</v>
      </c>
      <c r="N24" s="1071">
        <f>Application!AC722</f>
        <v>0.3</v>
      </c>
      <c r="O24" s="1071">
        <f>IF(Cdlac[[#This Row],[Quantity]]&gt;0,IF(Cdlac[[#This Row],[Federal]],30%,IF(AND(OR(NOT($G$38),$G$38=""),$G$43),40%,Cdlac[[#This Row],[iAMI]])),"")</f>
        <v>0.3</v>
      </c>
      <c r="P24" s="1065" cm="1">
        <f t="array" ref="P24">IF(Cdlac[[#This Row],[Quantity]]&gt;0,INDEX(TcacRents,$P$18,Cdlac[[#This Row],[Bedrooms]]+1)*Cdlac[[#This Row],[AMI]],"")</f>
        <v>657</v>
      </c>
      <c r="Q24" s="1164"/>
      <c r="R24" s="1065" cm="1">
        <f t="array" ref="R24">IF(Cdlac[[#This Row],[Quantity]]&gt;0,INDEX(HudFmrs,$P$18,Cdlac[[#This Row],[Bedrooms]]+1),"")</f>
        <v>1613</v>
      </c>
      <c r="S24" s="1065">
        <f>IF(Cdlac[[#This Row],[Quantity]]&gt;0,MAX(0,Cdlac[[#This Row],[Fair Market Rent]]-IF(AND($G$37,$G$38,$G$38&lt;&gt;"",NOT(Cdlac[[#This Row],[Federal]]),Cdlac[[#This Row],[Preservation Rent]]&lt;&gt;""),Cdlac[[#This Row],[Preservation Rent]],Cdlac[[#This Row],[Restricted Rent]])),"")</f>
        <v>956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32</v>
      </c>
      <c r="F25" s="1072">
        <f>E25</f>
        <v>32</v>
      </c>
      <c r="G25" s="1072">
        <f>D25*F25</f>
        <v>32</v>
      </c>
      <c r="L25" s="1044">
        <f>IFERROR(MIN(4,MATCH(Application!B723,UnitSizes,0)-1),"")</f>
        <v>2</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1095</v>
      </c>
      <c r="Q25" s="1164"/>
      <c r="R25" s="1065" cm="1">
        <f t="array" ref="R25">IF(Cdlac[[#This Row],[Quantity]]&gt;0,INDEX(HudFmrs,$P$18,Cdlac[[#This Row],[Bedrooms]]+1),"")</f>
        <v>1613</v>
      </c>
      <c r="S25" s="1065">
        <f>IF(Cdlac[[#This Row],[Quantity]]&gt;0,MAX(0,Cdlac[[#This Row],[Fair Market Rent]]-IF(AND($G$37,$G$38,$G$38&lt;&gt;"",NOT(Cdlac[[#This Row],[Federal]]),Cdlac[[#This Row],[Preservation Rent]]&lt;&gt;""),Cdlac[[#This Row],[Preservation Rent]],Cdlac[[#This Row],[Restricted Rent]])),"")</f>
        <v>518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56</v>
      </c>
      <c r="F26" s="1075">
        <f>SUM(E26:E28)-SUM(F27:F28)</f>
        <v>56</v>
      </c>
      <c r="G26" s="1072">
        <f>D26*F26</f>
        <v>70</v>
      </c>
      <c r="H26" s="1074"/>
      <c r="I26" s="1074"/>
      <c r="L26" s="1044">
        <f>IFERROR(MIN(4,MATCH(Application!B724,UnitSizes,0)-1),"")</f>
        <v>2</v>
      </c>
      <c r="M26" s="1065">
        <f>Application!G724</f>
        <v>15</v>
      </c>
      <c r="N26" s="1071">
        <f>Application!AC724</f>
        <v>0.6</v>
      </c>
      <c r="O26" s="1071">
        <f>IF(Cdlac[[#This Row],[Quantity]]&gt;0,IF(Cdlac[[#This Row],[Federal]],30%,IF(AND(OR(NOT($G$38),$G$38=""),$G$43),40%,Cdlac[[#This Row],[iAMI]])),"")</f>
        <v>0.6</v>
      </c>
      <c r="P26" s="1065" cm="1">
        <f t="array" ref="P26">IF(Cdlac[[#This Row],[Quantity]]&gt;0,INDEX(TcacRents,$P$18,Cdlac[[#This Row],[Bedrooms]]+1)*Cdlac[[#This Row],[AMI]],"")</f>
        <v>1314</v>
      </c>
      <c r="Q26" s="1164"/>
      <c r="R26" s="1065" cm="1">
        <f t="array" ref="R26">IF(Cdlac[[#This Row],[Quantity]]&gt;0,INDEX(HudFmrs,$P$18,Cdlac[[#This Row],[Bedrooms]]+1),"")</f>
        <v>1613</v>
      </c>
      <c r="S26" s="1065">
        <f>IF(Cdlac[[#This Row],[Quantity]]&gt;0,MAX(0,Cdlac[[#This Row],[Fair Market Rent]]-IF(AND($G$37,$G$38,$G$38&lt;&gt;"",NOT(Cdlac[[#This Row],[Federal]]),Cdlac[[#This Row],[Preservation Rent]]&lt;&gt;""),Cdlac[[#This Row],[Preservation Rent]],Cdlac[[#This Row],[Restricted Rent]])),"")</f>
        <v>299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27</v>
      </c>
      <c r="F27" s="1075">
        <f>MIN(E27,ROUNDDOWN(E29*30%,0))</f>
        <v>27</v>
      </c>
      <c r="G27" s="1072">
        <f>D27*F27</f>
        <v>40.5</v>
      </c>
      <c r="H27" s="1074"/>
      <c r="I27" s="1074"/>
      <c r="L27" s="1044">
        <f>IFERROR(MIN(4,MATCH(Application!B725,UnitSizes,0)-1),"")</f>
        <v>2</v>
      </c>
      <c r="M27" s="1065">
        <f>Application!G725</f>
        <v>30</v>
      </c>
      <c r="N27" s="1071">
        <f>Application!AC725</f>
        <v>0.7</v>
      </c>
      <c r="O27" s="1071">
        <f>IF(Cdlac[[#This Row],[Quantity]]&gt;0,IF(Cdlac[[#This Row],[Federal]],30%,IF(AND(OR(NOT($G$38),$G$38=""),$G$43),40%,Cdlac[[#This Row],[iAMI]])),"")</f>
        <v>0.7</v>
      </c>
      <c r="P27" s="1065" cm="1">
        <f t="array" ref="P27">IF(Cdlac[[#This Row],[Quantity]]&gt;0,INDEX(TcacRents,$P$18,Cdlac[[#This Row],[Bedrooms]]+1)*Cdlac[[#This Row],[AMI]],"")</f>
        <v>1533</v>
      </c>
      <c r="Q27" s="1164"/>
      <c r="R27" s="1065" cm="1">
        <f t="array" ref="R27">IF(Cdlac[[#This Row],[Quantity]]&gt;0,INDEX(HudFmrs,$P$18,Cdlac[[#This Row],[Bedrooms]]+1),"")</f>
        <v>1613</v>
      </c>
      <c r="S27" s="1065">
        <f>IF(Cdlac[[#This Row],[Quantity]]&gt;0,MAX(0,Cdlac[[#This Row],[Fair Market Rent]]-IF(AND($G$37,$G$38,$G$38&lt;&gt;"",NOT(Cdlac[[#This Row],[Federal]]),Cdlac[[#This Row],[Preservation Rent]]&lt;&gt;""),Cdlac[[#This Row],[Preservation Rent]],Cdlac[[#This Row],[Restricted Rent]])),"")</f>
        <v>80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4</v>
      </c>
      <c r="F28" s="1086">
        <f>MIN(E28,ROUNDDOWN(E29*10%,0))</f>
        <v>4</v>
      </c>
      <c r="G28" s="1088">
        <f>D28*F28</f>
        <v>7</v>
      </c>
      <c r="H28" s="1074"/>
      <c r="I28" s="1074"/>
      <c r="L28" s="1044">
        <f>IFERROR(MIN(4,MATCH(Application!B726,UnitSizes,0)-1),"")</f>
        <v>3</v>
      </c>
      <c r="M28" s="1065">
        <f>Application!G726</f>
        <v>3</v>
      </c>
      <c r="N28" s="1071">
        <f>Application!AC726</f>
        <v>0.3</v>
      </c>
      <c r="O28" s="1071">
        <f>IF(Cdlac[[#This Row],[Quantity]]&gt;0,IF(Cdlac[[#This Row],[Federal]],30%,IF(AND(OR(NOT($G$38),$G$38=""),$G$43),40%,Cdlac[[#This Row],[iAMI]])),"")</f>
        <v>0.3</v>
      </c>
      <c r="P28" s="1065" cm="1">
        <f t="array" ref="P28">IF(Cdlac[[#This Row],[Quantity]]&gt;0,INDEX(TcacRents,$P$18,Cdlac[[#This Row],[Bedrooms]]+1)*Cdlac[[#This Row],[AMI]],"")</f>
        <v>759</v>
      </c>
      <c r="Q28" s="1164"/>
      <c r="R28" s="1065" cm="1">
        <f t="array" ref="R28">IF(Cdlac[[#This Row],[Quantity]]&gt;0,INDEX(HudFmrs,$P$18,Cdlac[[#This Row],[Bedrooms]]+1),"")</f>
        <v>2260</v>
      </c>
      <c r="S28" s="1065">
        <f>IF(Cdlac[[#This Row],[Quantity]]&gt;0,MAX(0,Cdlac[[#This Row],[Fair Market Rent]]-IF(AND($G$37,$G$38,$G$38&lt;&gt;"",NOT(Cdlac[[#This Row],[Federal]]),Cdlac[[#This Row],[Preservation Rent]]&lt;&gt;""),Cdlac[[#This Row],[Preservation Rent]],Cdlac[[#This Row],[Restricted Rent]])),"")</f>
        <v>1501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5" t="s">
        <v>1587</v>
      </c>
      <c r="D29" s="2656"/>
      <c r="E29" s="1089">
        <f>SUM(E24:E28)</f>
        <v>119</v>
      </c>
      <c r="F29" s="1089">
        <f>SUM(F24:F28)</f>
        <v>119</v>
      </c>
      <c r="G29" s="1090">
        <f>SUMPRODUCT(D24:D28,F24:F28)</f>
        <v>149.5</v>
      </c>
      <c r="H29" s="1074"/>
      <c r="I29" s="1074"/>
      <c r="L29" s="1044">
        <f>IFERROR(MIN(4,MATCH(Application!B727,UnitSizes,0)-1),"")</f>
        <v>3</v>
      </c>
      <c r="M29" s="1065">
        <f>Application!G727</f>
        <v>5</v>
      </c>
      <c r="N29" s="1071">
        <f>Application!AC727</f>
        <v>0.5</v>
      </c>
      <c r="O29" s="1071">
        <f>IF(Cdlac[[#This Row],[Quantity]]&gt;0,IF(Cdlac[[#This Row],[Federal]],30%,IF(AND(OR(NOT($G$38),$G$38=""),$G$43),40%,Cdlac[[#This Row],[iAMI]])),"")</f>
        <v>0.5</v>
      </c>
      <c r="P29" s="1065" cm="1">
        <f t="array" ref="P29">IF(Cdlac[[#This Row],[Quantity]]&gt;0,INDEX(TcacRents,$P$18,Cdlac[[#This Row],[Bedrooms]]+1)*Cdlac[[#This Row],[AMI]],"")</f>
        <v>1265</v>
      </c>
      <c r="Q29" s="1164"/>
      <c r="R29" s="1065" cm="1">
        <f t="array" ref="R29">IF(Cdlac[[#This Row],[Quantity]]&gt;0,INDEX(HudFmrs,$P$18,Cdlac[[#This Row],[Bedrooms]]+1),"")</f>
        <v>2260</v>
      </c>
      <c r="S29" s="1065">
        <f>IF(Cdlac[[#This Row],[Quantity]]&gt;0,MAX(0,Cdlac[[#This Row],[Fair Market Rent]]-IF(AND($G$37,$G$38,$G$38&lt;&gt;"",NOT(Cdlac[[#This Row],[Federal]]),Cdlac[[#This Row],[Preservation Rent]]&lt;&gt;""),Cdlac[[#This Row],[Preservation Rent]],Cdlac[[#This Row],[Restricted Rent]])),"")</f>
        <v>995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3</v>
      </c>
      <c r="N30" s="1071">
        <f>Application!AC728</f>
        <v>0.6</v>
      </c>
      <c r="O30" s="1071">
        <f>IF(Cdlac[[#This Row],[Quantity]]&gt;0,IF(Cdlac[[#This Row],[Federal]],30%,IF(AND(OR(NOT($G$38),$G$38=""),$G$43),40%,Cdlac[[#This Row],[iAMI]])),"")</f>
        <v>0.6</v>
      </c>
      <c r="P30" s="1065" cm="1">
        <f t="array" ref="P30">IF(Cdlac[[#This Row],[Quantity]]&gt;0,INDEX(TcacRents,$P$18,Cdlac[[#This Row],[Bedrooms]]+1)*Cdlac[[#This Row],[AMI]],"")</f>
        <v>1518</v>
      </c>
      <c r="Q30" s="1164"/>
      <c r="R30" s="1065" cm="1">
        <f t="array" ref="R30">IF(Cdlac[[#This Row],[Quantity]]&gt;0,INDEX(HudFmrs,$P$18,Cdlac[[#This Row],[Bedrooms]]+1),"")</f>
        <v>2260</v>
      </c>
      <c r="S30" s="1065">
        <f>IF(Cdlac[[#This Row],[Quantity]]&gt;0,MAX(0,Cdlac[[#This Row],[Fair Market Rent]]-IF(AND($G$37,$G$38,$G$38&lt;&gt;"",NOT(Cdlac[[#This Row],[Federal]]),Cdlac[[#This Row],[Preservation Rent]]&lt;&gt;""),Cdlac[[#This Row],[Preservation Rent]],Cdlac[[#This Row],[Restricted Rent]])),"")</f>
        <v>742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149.5</v>
      </c>
      <c r="H31" s="1074"/>
      <c r="I31" s="1074"/>
      <c r="L31" s="1044">
        <f>IFERROR(MIN(4,MATCH(Application!B729,UnitSizes,0)-1),"")</f>
        <v>3</v>
      </c>
      <c r="M31" s="1065">
        <f>Application!G729</f>
        <v>16</v>
      </c>
      <c r="N31" s="1071">
        <f>Application!AC729</f>
        <v>0.7</v>
      </c>
      <c r="O31" s="1071">
        <f>IF(Cdlac[[#This Row],[Quantity]]&gt;0,IF(Cdlac[[#This Row],[Federal]],30%,IF(AND(OR(NOT($G$38),$G$38=""),$G$43),40%,Cdlac[[#This Row],[iAMI]])),"")</f>
        <v>0.7</v>
      </c>
      <c r="P31" s="1065" cm="1">
        <f t="array" ref="P31">IF(Cdlac[[#This Row],[Quantity]]&gt;0,INDEX(TcacRents,$P$18,Cdlac[[#This Row],[Bedrooms]]+1)*Cdlac[[#This Row],[AMI]],"")</f>
        <v>1771</v>
      </c>
      <c r="Q31" s="1164"/>
      <c r="R31" s="1065" cm="1">
        <f t="array" ref="R31">IF(Cdlac[[#This Row],[Quantity]]&gt;0,INDEX(HudFmrs,$P$18,Cdlac[[#This Row],[Bedrooms]]+1),"")</f>
        <v>2260</v>
      </c>
      <c r="S31" s="1065">
        <f>IF(Cdlac[[#This Row],[Quantity]]&gt;0,MAX(0,Cdlac[[#This Row],[Fair Market Rent]]-IF(AND($G$37,$G$38,$G$38&lt;&gt;"",NOT(Cdlac[[#This Row],[Federal]]),Cdlac[[#This Row],[Preservation Rent]]&lt;&gt;""),Cdlac[[#This Row],[Preservation Rent]],Cdlac[[#This Row],[Restricted Rent]])),"")</f>
        <v>489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4</v>
      </c>
      <c r="M32" s="1065">
        <f>Application!G730</f>
        <v>1</v>
      </c>
      <c r="N32" s="1071">
        <f>Application!AC730</f>
        <v>0.3</v>
      </c>
      <c r="O32" s="1071">
        <f>IF(Cdlac[[#This Row],[Quantity]]&gt;0,IF(Cdlac[[#This Row],[Federal]],30%,IF(AND(OR(NOT($G$38),$G$38=""),$G$43),40%,Cdlac[[#This Row],[iAMI]])),"")</f>
        <v>0.3</v>
      </c>
      <c r="P32" s="1065" cm="1">
        <f t="array" ref="P32">IF(Cdlac[[#This Row],[Quantity]]&gt;0,INDEX(TcacRents,$P$18,Cdlac[[#This Row],[Bedrooms]]+1)*Cdlac[[#This Row],[AMI]],"")</f>
        <v>846.6</v>
      </c>
      <c r="Q32" s="1164"/>
      <c r="R32" s="1065" cm="1">
        <f t="array" ref="R32">IF(Cdlac[[#This Row],[Quantity]]&gt;0,INDEX(HudFmrs,$P$18,Cdlac[[#This Row],[Bedrooms]]+1),"")</f>
        <v>2709</v>
      </c>
      <c r="S32" s="1065">
        <f>IF(Cdlac[[#This Row],[Quantity]]&gt;0,MAX(0,Cdlac[[#This Row],[Fair Market Rent]]-IF(AND($G$37,$G$38,$G$38&lt;&gt;"",NOT(Cdlac[[#This Row],[Federal]]),Cdlac[[#This Row],[Preservation Rent]]&lt;&gt;""),Cdlac[[#This Row],[Preservation Rent]],Cdlac[[#This Row],[Restricted Rent]])),"")</f>
        <v>1862.4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7475000</v>
      </c>
      <c r="H33" s="1074"/>
      <c r="I33" s="1074"/>
      <c r="L33" s="1044">
        <f>IFERROR(MIN(4,MATCH(Application!B731,UnitSizes,0)-1),"")</f>
        <v>4</v>
      </c>
      <c r="M33" s="1065">
        <f>Application!G731</f>
        <v>3</v>
      </c>
      <c r="N33" s="1071">
        <f>Application!AC731</f>
        <v>0.5</v>
      </c>
      <c r="O33" s="1071">
        <f>IF(Cdlac[[#This Row],[Quantity]]&gt;0,IF(Cdlac[[#This Row],[Federal]],30%,IF(AND(OR(NOT($G$38),$G$38=""),$G$43),40%,Cdlac[[#This Row],[iAMI]])),"")</f>
        <v>0.5</v>
      </c>
      <c r="P33" s="1065" cm="1">
        <f t="array" ref="P33">IF(Cdlac[[#This Row],[Quantity]]&gt;0,INDEX(TcacRents,$P$18,Cdlac[[#This Row],[Bedrooms]]+1)*Cdlac[[#This Row],[AMI]],"")</f>
        <v>1411</v>
      </c>
      <c r="Q33" s="1164"/>
      <c r="R33" s="1065" cm="1">
        <f t="array" ref="R33">IF(Cdlac[[#This Row],[Quantity]]&gt;0,INDEX(HudFmrs,$P$18,Cdlac[[#This Row],[Bedrooms]]+1),"")</f>
        <v>2709</v>
      </c>
      <c r="S33" s="1065">
        <f>IF(Cdlac[[#This Row],[Quantity]]&gt;0,MAX(0,Cdlac[[#This Row],[Fair Market Rent]]-IF(AND($G$37,$G$38,$G$38&lt;&gt;"",NOT(Cdlac[[#This Row],[Federal]]),Cdlac[[#This Row],[Preservation Rent]]&lt;&gt;""),Cdlac[[#This Row],[Preservation Rent]],Cdlac[[#This Row],[Restricted Rent]])),"")</f>
        <v>1298</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46037.200000000004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8286696.0000000009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14</v>
      </c>
    </row>
    <row r="61" spans="2:21" ht="15" customHeight="1">
      <c r="E61" s="1117" t="s">
        <v>1995</v>
      </c>
      <c r="G61" s="1079">
        <f>ROUNDDOWN(E29*50%,0)</f>
        <v>59</v>
      </c>
    </row>
    <row r="62" spans="2:21" ht="15" customHeight="1">
      <c r="E62" s="1117"/>
      <c r="G62" s="1079"/>
    </row>
    <row r="63" spans="2:21" ht="15" customHeight="1">
      <c r="E63" s="1117" t="s">
        <v>1955</v>
      </c>
      <c r="G63" s="1114">
        <f>MIN(G60:G61)</f>
        <v>14</v>
      </c>
    </row>
    <row r="64" spans="2:21" ht="15" customHeight="1">
      <c r="E64" s="1117" t="s">
        <v>1945</v>
      </c>
      <c r="F64" s="1113" t="s">
        <v>1993</v>
      </c>
      <c r="G64" s="1124">
        <v>20000</v>
      </c>
    </row>
    <row r="65" spans="2:14" ht="15" customHeight="1">
      <c r="E65" s="1118" t="s">
        <v>1977</v>
      </c>
      <c r="F65" s="1046"/>
      <c r="G65" s="1123">
        <f>G63*G64</f>
        <v>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High Resource</v>
      </c>
      <c r="L72" s="2666" t="s">
        <v>1970</v>
      </c>
      <c r="M72" s="2667"/>
      <c r="N72" s="1131">
        <v>30000</v>
      </c>
    </row>
    <row r="73" spans="2:14" ht="15" customHeight="1">
      <c r="C73" s="2668" t="s">
        <v>2262</v>
      </c>
      <c r="D73" s="2668"/>
      <c r="E73" s="2668"/>
      <c r="F73" s="2668"/>
      <c r="G73" s="1043"/>
      <c r="L73" s="2677" t="s">
        <v>1938</v>
      </c>
      <c r="M73" s="2678"/>
      <c r="N73" s="1132">
        <v>20000</v>
      </c>
    </row>
    <row r="74" spans="2:14" ht="15" customHeight="1" thickBot="1">
      <c r="C74" s="2668"/>
      <c r="D74" s="2668"/>
      <c r="E74" s="2668"/>
      <c r="F74" s="2668"/>
      <c r="L74" s="2679" t="s">
        <v>1971</v>
      </c>
      <c r="M74" s="2680"/>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149.5</v>
      </c>
    </row>
    <row r="80" spans="2:14" ht="15" customHeight="1">
      <c r="D80" s="1046"/>
      <c r="E80" s="1118" t="s">
        <v>2267</v>
      </c>
      <c r="F80" s="1046"/>
      <c r="G80" s="1123">
        <f>G79*G78*G76</f>
        <v>2990000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149.5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6</v>
      </c>
    </row>
    <row r="95" spans="2:9" ht="15" customHeight="1">
      <c r="E95" s="1084" t="s">
        <v>1945</v>
      </c>
      <c r="F95" s="1113" t="s">
        <v>1993</v>
      </c>
      <c r="G95" s="1076">
        <v>4000</v>
      </c>
    </row>
    <row r="96" spans="2:9" ht="15" customHeight="1" thickBot="1">
      <c r="E96" s="1084" t="s">
        <v>1997</v>
      </c>
      <c r="F96" s="1113" t="s">
        <v>1993</v>
      </c>
      <c r="G96" s="1126">
        <f>G29</f>
        <v>149.5</v>
      </c>
    </row>
    <row r="97" spans="2:14" ht="15" customHeight="1">
      <c r="E97" s="1118" t="s">
        <v>1962</v>
      </c>
      <c r="F97" s="1046"/>
      <c r="G97" s="1123">
        <f>G94*G95*G96</f>
        <v>3588000</v>
      </c>
      <c r="L97" s="1127" t="str">
        <f>'Points System'!H638</f>
        <v>(ii)</v>
      </c>
      <c r="M97" s="2685" t="s">
        <v>1406</v>
      </c>
      <c r="N97" s="2686"/>
    </row>
    <row r="98" spans="2:14" ht="15" customHeight="1">
      <c r="C98" s="1077"/>
      <c r="G98" s="1114"/>
      <c r="L98" s="1128" t="str">
        <f>'Points System'!H650</f>
        <v>N/A</v>
      </c>
      <c r="M98" s="2681" t="s">
        <v>1957</v>
      </c>
      <c r="N98" s="2682"/>
    </row>
    <row r="99" spans="2:14" ht="15" customHeight="1">
      <c r="E99" s="1084" t="s">
        <v>1998</v>
      </c>
      <c r="G99" s="1126">
        <f>COUNTIFS(L97:L104,"(i)")</f>
        <v>3</v>
      </c>
      <c r="L99" s="1128" t="str">
        <f>'Points System'!H685</f>
        <v>(i)</v>
      </c>
      <c r="M99" s="2681" t="s">
        <v>1958</v>
      </c>
      <c r="N99" s="2682"/>
    </row>
    <row r="100" spans="2:14" ht="15" customHeight="1">
      <c r="E100" s="1084" t="s">
        <v>1945</v>
      </c>
      <c r="F100" s="1113" t="s">
        <v>1993</v>
      </c>
      <c r="G100" s="1124">
        <v>4000</v>
      </c>
      <c r="L100" s="1128" t="str">
        <f>IF(OR('Points System'!H709="(ii)",'Points System'!H709="(i)"),"(i)","N/A")</f>
        <v>N/A</v>
      </c>
      <c r="M100" s="2681" t="s">
        <v>1959</v>
      </c>
      <c r="N100" s="2682"/>
    </row>
    <row r="101" spans="2:14" ht="15" customHeight="1">
      <c r="E101" s="1118" t="s">
        <v>1963</v>
      </c>
      <c r="F101" s="1046"/>
      <c r="G101" s="1123">
        <f>G96*G99*G100</f>
        <v>1794000</v>
      </c>
      <c r="L101" s="1129" t="str">
        <f>'Points System'!H723</f>
        <v>N/A</v>
      </c>
      <c r="M101" s="2681" t="s">
        <v>1432</v>
      </c>
      <c r="N101" s="2682"/>
    </row>
    <row r="102" spans="2:14" ht="15" customHeight="1">
      <c r="L102" s="1128" t="str">
        <f>'Points System'!H735</f>
        <v>N/A</v>
      </c>
      <c r="M102" s="2681" t="s">
        <v>1960</v>
      </c>
      <c r="N102" s="2682"/>
    </row>
    <row r="103" spans="2:14" ht="15" customHeight="1">
      <c r="C103" s="1080" t="s">
        <v>1965</v>
      </c>
      <c r="L103" s="1128" t="str">
        <f>'Points System'!H751</f>
        <v>(i)</v>
      </c>
      <c r="M103" s="2681" t="s">
        <v>1961</v>
      </c>
      <c r="N103" s="2682"/>
    </row>
    <row r="104" spans="2:14" ht="15" customHeight="1" thickBot="1">
      <c r="C104" s="1077" t="s">
        <v>1966</v>
      </c>
      <c r="G104" s="1043"/>
      <c r="L104" s="1130" t="str">
        <f>'Points System'!H763</f>
        <v>(i)</v>
      </c>
      <c r="M104" s="2683" t="s">
        <v>1435</v>
      </c>
      <c r="N104" s="2684"/>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149.5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5382000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2227</v>
      </c>
      <c r="D119" s="2657"/>
      <c r="E119" s="2657"/>
      <c r="F119" s="2657"/>
    </row>
    <row r="120" spans="2:9" ht="15" customHeight="1">
      <c r="C120" s="2657"/>
      <c r="D120" s="2657"/>
      <c r="E120" s="2657"/>
      <c r="F120" s="2657"/>
      <c r="G120" s="1043"/>
    </row>
    <row r="121" spans="2:9" ht="15" customHeight="1"/>
    <row r="122" spans="2:9" ht="15" customHeight="1">
      <c r="C122" s="1044" t="s">
        <v>2229</v>
      </c>
      <c r="G122" s="2659"/>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Shasta</v>
      </c>
    </row>
    <row r="129" spans="2:9">
      <c r="E129" s="1084"/>
      <c r="G129" s="1078"/>
    </row>
    <row r="130" spans="2:9">
      <c r="E130" s="1084" t="str">
        <f>"2-Bedroom "&amp;G128&amp;" County Basis Limit"</f>
        <v>2-Bedroom Shasta County Basis Limit</v>
      </c>
      <c r="G130" s="1078">
        <f>Application!R988</f>
        <v>444000</v>
      </c>
    </row>
    <row r="131" spans="2:9">
      <c r="E131" s="1084" t="s">
        <v>2001</v>
      </c>
      <c r="G131" s="1078">
        <f>MEDIAN((Application!CU160:CU217))</f>
        <v>489600</v>
      </c>
    </row>
    <row r="132" spans="2:9">
      <c r="D132" s="1046"/>
      <c r="E132" s="1118" t="s">
        <v>2003</v>
      </c>
      <c r="F132" s="1134"/>
      <c r="G132" s="1135">
        <f>((G130-G131)/G131)*0.25</f>
        <v>-2.3284313725490197E-2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2" t="s">
        <v>2275</v>
      </c>
      <c r="D138" s="2652"/>
      <c r="E138" s="2652"/>
      <c r="F138" s="2652"/>
    </row>
    <row r="139" spans="2:9">
      <c r="B139" s="1045"/>
      <c r="C139" s="2652"/>
      <c r="D139" s="2652"/>
      <c r="E139" s="2652"/>
      <c r="F139" s="2652"/>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1724796</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83.4">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4</v>
      </c>
      <c r="C4" s="1162"/>
      <c r="D4" s="428">
        <f>Application!O718</f>
        <v>535</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c r="D5" s="428">
        <f>Application!O719</f>
        <v>899</v>
      </c>
      <c r="E5" s="429"/>
      <c r="F5" s="1083"/>
      <c r="G5" s="428">
        <f t="shared" ref="G5:G38" si="2">F5*B5</f>
        <v>0</v>
      </c>
      <c r="H5" s="429"/>
      <c r="I5" s="428" t="str">
        <f t="shared" si="0"/>
        <v/>
      </c>
      <c r="J5" s="428" t="str">
        <f t="shared" si="1"/>
        <v/>
      </c>
      <c r="K5" s="204"/>
      <c r="L5" s="305"/>
    </row>
    <row r="6" spans="1:12">
      <c r="A6" s="428" t="str">
        <f>Application!B720</f>
        <v>1 Bedroom</v>
      </c>
      <c r="B6" s="1082">
        <f>Application!G720</f>
        <v>9</v>
      </c>
      <c r="C6" s="1162"/>
      <c r="D6" s="428">
        <f>Application!O720</f>
        <v>1038</v>
      </c>
      <c r="E6" s="429"/>
      <c r="F6" s="1083"/>
      <c r="G6" s="428">
        <f t="shared" si="2"/>
        <v>0</v>
      </c>
      <c r="H6" s="429"/>
      <c r="I6" s="428" t="str">
        <f t="shared" si="0"/>
        <v/>
      </c>
      <c r="J6" s="428" t="str">
        <f t="shared" si="1"/>
        <v/>
      </c>
      <c r="K6" s="204"/>
      <c r="L6" s="305"/>
    </row>
    <row r="7" spans="1:12">
      <c r="A7" s="428" t="str">
        <f>Application!B721</f>
        <v>1 Bedroom</v>
      </c>
      <c r="B7" s="1082">
        <f>Application!G721</f>
        <v>14</v>
      </c>
      <c r="C7" s="1162"/>
      <c r="D7" s="428">
        <f>Application!O721</f>
        <v>1038</v>
      </c>
      <c r="E7" s="429"/>
      <c r="F7" s="1083"/>
      <c r="G7" s="428">
        <f t="shared" si="2"/>
        <v>0</v>
      </c>
      <c r="H7" s="429"/>
      <c r="I7" s="428" t="str">
        <f t="shared" si="0"/>
        <v/>
      </c>
      <c r="J7" s="428" t="str">
        <f t="shared" si="1"/>
        <v/>
      </c>
      <c r="K7" s="204"/>
      <c r="L7" s="305"/>
    </row>
    <row r="8" spans="1:12">
      <c r="A8" s="428" t="str">
        <f>Application!B722</f>
        <v>2 Bedrooms</v>
      </c>
      <c r="B8" s="1082">
        <f>Application!G722</f>
        <v>6</v>
      </c>
      <c r="C8" s="1162"/>
      <c r="D8" s="428">
        <f>Application!O722</f>
        <v>645</v>
      </c>
      <c r="E8" s="429"/>
      <c r="F8" s="1083"/>
      <c r="G8" s="428">
        <f t="shared" si="2"/>
        <v>0</v>
      </c>
      <c r="H8" s="429"/>
      <c r="I8" s="428" t="str">
        <f t="shared" si="0"/>
        <v/>
      </c>
      <c r="J8" s="428" t="str">
        <f t="shared" si="1"/>
        <v/>
      </c>
      <c r="K8" s="204"/>
      <c r="L8" s="305"/>
    </row>
    <row r="9" spans="1:12">
      <c r="A9" s="428" t="str">
        <f>Application!B723</f>
        <v>2 Bedrooms</v>
      </c>
      <c r="B9" s="1082">
        <f>Application!G723</f>
        <v>5</v>
      </c>
      <c r="C9" s="1162"/>
      <c r="D9" s="428">
        <f>Application!O723</f>
        <v>898</v>
      </c>
      <c r="E9" s="429"/>
      <c r="F9" s="1083"/>
      <c r="G9" s="428">
        <f t="shared" si="2"/>
        <v>0</v>
      </c>
      <c r="H9" s="429"/>
      <c r="I9" s="428" t="str">
        <f t="shared" si="0"/>
        <v/>
      </c>
      <c r="J9" s="428" t="str">
        <f t="shared" si="1"/>
        <v/>
      </c>
      <c r="K9" s="204"/>
      <c r="L9" s="305"/>
    </row>
    <row r="10" spans="1:12">
      <c r="A10" s="428" t="str">
        <f>Application!B724</f>
        <v>2 Bedrooms</v>
      </c>
      <c r="B10" s="1082">
        <f>Application!G724</f>
        <v>15</v>
      </c>
      <c r="C10" s="1162"/>
      <c r="D10" s="428">
        <f>Application!O724</f>
        <v>898</v>
      </c>
      <c r="E10" s="429"/>
      <c r="F10" s="1083"/>
      <c r="G10" s="428">
        <f t="shared" si="2"/>
        <v>0</v>
      </c>
      <c r="H10" s="429"/>
      <c r="I10" s="428" t="str">
        <f t="shared" si="0"/>
        <v/>
      </c>
      <c r="J10" s="428" t="str">
        <f t="shared" si="1"/>
        <v/>
      </c>
      <c r="K10" s="204"/>
      <c r="L10" s="305"/>
    </row>
    <row r="11" spans="1:12">
      <c r="A11" s="428" t="str">
        <f>Application!B725</f>
        <v>2 Bedrooms</v>
      </c>
      <c r="B11" s="1082">
        <f>Application!G725</f>
        <v>30</v>
      </c>
      <c r="C11" s="1162"/>
      <c r="D11" s="428">
        <f>Application!O725</f>
        <v>898</v>
      </c>
      <c r="E11" s="429"/>
      <c r="F11" s="1083"/>
      <c r="G11" s="428">
        <f t="shared" si="2"/>
        <v>0</v>
      </c>
      <c r="H11" s="429"/>
      <c r="I11" s="428" t="str">
        <f t="shared" si="0"/>
        <v/>
      </c>
      <c r="J11" s="428" t="str">
        <f t="shared" si="1"/>
        <v/>
      </c>
      <c r="K11" s="204"/>
      <c r="L11" s="305"/>
    </row>
    <row r="12" spans="1:12">
      <c r="A12" s="428" t="str">
        <f>Application!B726</f>
        <v>3 Bedrooms</v>
      </c>
      <c r="B12" s="1082">
        <f>Application!G726</f>
        <v>3</v>
      </c>
      <c r="C12" s="1162"/>
      <c r="D12" s="428">
        <f>Application!O726</f>
        <v>747</v>
      </c>
      <c r="E12" s="429"/>
      <c r="F12" s="1083"/>
      <c r="G12" s="428">
        <f t="shared" si="2"/>
        <v>0</v>
      </c>
      <c r="H12" s="429"/>
      <c r="I12" s="428" t="str">
        <f t="shared" si="0"/>
        <v/>
      </c>
      <c r="J12" s="428" t="str">
        <f t="shared" si="1"/>
        <v/>
      </c>
      <c r="K12" s="204"/>
      <c r="L12" s="305"/>
    </row>
    <row r="13" spans="1:12">
      <c r="A13" s="428" t="str">
        <f>Application!B727</f>
        <v>3 Bedrooms</v>
      </c>
      <c r="B13" s="1082">
        <f>Application!G727</f>
        <v>5</v>
      </c>
      <c r="C13" s="1162"/>
      <c r="D13" s="428">
        <f>Application!O727</f>
        <v>1253</v>
      </c>
      <c r="E13" s="429"/>
      <c r="F13" s="1083"/>
      <c r="G13" s="428">
        <f t="shared" si="2"/>
        <v>0</v>
      </c>
      <c r="H13" s="429"/>
      <c r="I13" s="428" t="str">
        <f t="shared" si="0"/>
        <v/>
      </c>
      <c r="J13" s="428" t="str">
        <f t="shared" si="1"/>
        <v/>
      </c>
      <c r="K13" s="204"/>
      <c r="L13" s="305"/>
    </row>
    <row r="14" spans="1:12">
      <c r="A14" s="428" t="str">
        <f>Application!B728</f>
        <v>3 Bedrooms</v>
      </c>
      <c r="B14" s="1082">
        <f>Application!G728</f>
        <v>3</v>
      </c>
      <c r="C14" s="1162"/>
      <c r="D14" s="428">
        <f>Application!O728</f>
        <v>1506</v>
      </c>
      <c r="E14" s="429"/>
      <c r="F14" s="1083"/>
      <c r="G14" s="428">
        <f t="shared" si="2"/>
        <v>0</v>
      </c>
      <c r="H14" s="429"/>
      <c r="I14" s="428" t="str">
        <f t="shared" si="0"/>
        <v/>
      </c>
      <c r="J14" s="428" t="str">
        <f t="shared" si="1"/>
        <v/>
      </c>
      <c r="K14" s="204"/>
      <c r="L14" s="305"/>
    </row>
    <row r="15" spans="1:12">
      <c r="A15" s="428" t="str">
        <f>Application!B729</f>
        <v>3 Bedrooms</v>
      </c>
      <c r="B15" s="1082">
        <f>Application!G729</f>
        <v>16</v>
      </c>
      <c r="C15" s="1162"/>
      <c r="D15" s="428">
        <f>Application!O729</f>
        <v>1679</v>
      </c>
      <c r="E15" s="429"/>
      <c r="F15" s="1083"/>
      <c r="G15" s="428">
        <f t="shared" si="2"/>
        <v>0</v>
      </c>
      <c r="H15" s="429"/>
      <c r="I15" s="428" t="str">
        <f t="shared" si="0"/>
        <v/>
      </c>
      <c r="J15" s="428" t="str">
        <f t="shared" si="1"/>
        <v/>
      </c>
      <c r="K15" s="204"/>
      <c r="L15" s="305"/>
    </row>
    <row r="16" spans="1:12">
      <c r="A16" s="428" t="str">
        <f>Application!B730</f>
        <v>4 Bedrooms</v>
      </c>
      <c r="B16" s="1082">
        <f>Application!G730</f>
        <v>1</v>
      </c>
      <c r="C16" s="1162"/>
      <c r="D16" s="428">
        <f>Application!O730</f>
        <v>834</v>
      </c>
      <c r="E16" s="429"/>
      <c r="F16" s="1083"/>
      <c r="G16" s="428">
        <f t="shared" si="2"/>
        <v>0</v>
      </c>
      <c r="H16" s="429"/>
      <c r="I16" s="428" t="str">
        <f t="shared" si="0"/>
        <v/>
      </c>
      <c r="J16" s="428" t="str">
        <f t="shared" si="1"/>
        <v/>
      </c>
      <c r="K16" s="204"/>
      <c r="L16" s="305"/>
    </row>
    <row r="17" spans="1:12">
      <c r="A17" s="428" t="str">
        <f>Application!B731</f>
        <v>4 Bedrooms</v>
      </c>
      <c r="B17" s="1082">
        <f>Application!G731</f>
        <v>3</v>
      </c>
      <c r="C17" s="1162"/>
      <c r="D17" s="428">
        <f>Application!O731</f>
        <v>1399</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124198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88" t="s">
        <v>2496</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2258</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D18" workbookViewId="0">
      <selection activeCell="E13" sqref="E13"/>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2094</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1490376</v>
      </c>
      <c r="G4" s="219">
        <f>E4*$C$4</f>
        <v>1527635.4</v>
      </c>
      <c r="I4" s="219">
        <f>G4*$C$4</f>
        <v>1565826.2849999997</v>
      </c>
      <c r="K4" s="219">
        <f>I4*$C$4</f>
        <v>1604971.9421249996</v>
      </c>
      <c r="M4" s="219">
        <f>K4*$C$4</f>
        <v>1645096.2406781244</v>
      </c>
      <c r="O4" s="219">
        <f>M4*$C$4</f>
        <v>1686223.6466950774</v>
      </c>
      <c r="Q4" s="219">
        <f>O4*$C$4</f>
        <v>1728379.2378624543</v>
      </c>
      <c r="S4" s="219">
        <f>Q4*$C$4</f>
        <v>1771588.7188090154</v>
      </c>
      <c r="U4" s="219">
        <f>S4*$C$4</f>
        <v>1815878.4367792406</v>
      </c>
      <c r="W4" s="219">
        <f>U4*$C$4</f>
        <v>1861275.3976987214</v>
      </c>
      <c r="Y4" s="219">
        <f>W4*$C$4</f>
        <v>1907807.2826411892</v>
      </c>
      <c r="AA4" s="219">
        <f>Y4*$C$4</f>
        <v>1955502.4647072188</v>
      </c>
      <c r="AC4" s="219">
        <f>AA4*$C$4</f>
        <v>2004390.0263248992</v>
      </c>
      <c r="AE4" s="219">
        <f>AC4*$C$4</f>
        <v>2054499.7769830215</v>
      </c>
      <c r="AG4" s="219">
        <f>AE4*$C$4</f>
        <v>2105862.2714075968</v>
      </c>
    </row>
    <row r="5" spans="1:34" s="210" customFormat="1" ht="13.8">
      <c r="B5" s="210" t="s">
        <v>839</v>
      </c>
      <c r="C5" s="238">
        <f>IF(Application!$D$211="Special Needs",(((0.1*Application!$T$212)+(0.05*(1-Application!$T$212)))),0.05)</f>
        <v>0.05</v>
      </c>
      <c r="E5" s="221">
        <f>-E4*$C$5</f>
        <v>-74518.8</v>
      </c>
      <c r="F5" s="221"/>
      <c r="G5" s="221">
        <f>-G4*$C$5</f>
        <v>-76381.77</v>
      </c>
      <c r="H5" s="221"/>
      <c r="I5" s="221">
        <f>-I4*$C$5</f>
        <v>-78291.314249999981</v>
      </c>
      <c r="J5" s="221"/>
      <c r="K5" s="221">
        <f>-K4*$C$5</f>
        <v>-80248.597106249988</v>
      </c>
      <c r="L5" s="221"/>
      <c r="M5" s="221">
        <f>-M4*$C$5</f>
        <v>-82254.81203390623</v>
      </c>
      <c r="N5" s="221"/>
      <c r="O5" s="221">
        <f>-O4*$C$5</f>
        <v>-84311.182334753874</v>
      </c>
      <c r="P5" s="221"/>
      <c r="Q5" s="221">
        <f>-Q4*$C$5</f>
        <v>-86418.961893122716</v>
      </c>
      <c r="R5" s="221"/>
      <c r="S5" s="221">
        <f>-S4*$C$5</f>
        <v>-88579.43594045077</v>
      </c>
      <c r="T5" s="221"/>
      <c r="U5" s="221">
        <f>-U4*$C$5</f>
        <v>-90793.921838962036</v>
      </c>
      <c r="V5" s="221"/>
      <c r="W5" s="221">
        <f>-W4*$C$5</f>
        <v>-93063.769884936075</v>
      </c>
      <c r="X5" s="221"/>
      <c r="Y5" s="221">
        <f>-Y4*$C$5</f>
        <v>-95390.364132059462</v>
      </c>
      <c r="Z5" s="221"/>
      <c r="AA5" s="221">
        <f>-AA4*$C$5</f>
        <v>-97775.123235360952</v>
      </c>
      <c r="AB5" s="221"/>
      <c r="AC5" s="221">
        <f>-AC4*$C$5</f>
        <v>-100219.50131624496</v>
      </c>
      <c r="AD5" s="221"/>
      <c r="AE5" s="221">
        <f>-AE4*$C$5</f>
        <v>-102724.98884915108</v>
      </c>
      <c r="AF5" s="221"/>
      <c r="AG5" s="221">
        <f>-AG4*$C$5</f>
        <v>-105293.11357037985</v>
      </c>
    </row>
    <row r="6" spans="1:34" s="210" customFormat="1" ht="13.8">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25000</v>
      </c>
      <c r="F8" s="222"/>
      <c r="G8" s="222">
        <f>E8*$C$8</f>
        <v>25624.999999999996</v>
      </c>
      <c r="H8" s="222"/>
      <c r="I8" s="222">
        <f>G8*$C$8</f>
        <v>26265.624999999993</v>
      </c>
      <c r="J8" s="222"/>
      <c r="K8" s="222">
        <f>I8*$C$8</f>
        <v>26922.265624999989</v>
      </c>
      <c r="L8" s="222"/>
      <c r="M8" s="222">
        <f>K8*$C$8</f>
        <v>27595.322265624985</v>
      </c>
      <c r="N8" s="222"/>
      <c r="O8" s="222">
        <f>M8*$C$8</f>
        <v>28285.205322265607</v>
      </c>
      <c r="P8" s="222"/>
      <c r="Q8" s="222">
        <f>O8*$C$8</f>
        <v>28992.335455322245</v>
      </c>
      <c r="R8" s="222"/>
      <c r="S8" s="222">
        <f>Q8*$C$8</f>
        <v>29717.1438417053</v>
      </c>
      <c r="T8" s="222"/>
      <c r="U8" s="222">
        <f>S8*$C$8</f>
        <v>30460.072437747931</v>
      </c>
      <c r="V8" s="222"/>
      <c r="W8" s="222">
        <f>U8*$C$8</f>
        <v>31221.574248691628</v>
      </c>
      <c r="X8" s="222"/>
      <c r="Y8" s="222">
        <f>W8*$C$8</f>
        <v>32002.113604908915</v>
      </c>
      <c r="Z8" s="222"/>
      <c r="AA8" s="222">
        <f>Y8*$C$8</f>
        <v>32802.166445031631</v>
      </c>
      <c r="AB8" s="222"/>
      <c r="AC8" s="222">
        <f>AA8*$C$8</f>
        <v>33622.220606157418</v>
      </c>
      <c r="AD8" s="222"/>
      <c r="AE8" s="222">
        <f>AC8*$C$8</f>
        <v>34462.776121311348</v>
      </c>
      <c r="AF8" s="222"/>
      <c r="AG8" s="222">
        <f>AE8*$C$8</f>
        <v>35324.345524344128</v>
      </c>
    </row>
    <row r="9" spans="1:34" s="210" customFormat="1" ht="13.8">
      <c r="B9" s="210" t="s">
        <v>839</v>
      </c>
      <c r="C9" s="238">
        <f>IF(Application!$D$211="Special Needs",(((0.1*Application!$T$212)+(0.05*(1-Application!$T$212)))),0.05)</f>
        <v>0.05</v>
      </c>
      <c r="E9" s="221">
        <f>-E8*$C$9</f>
        <v>-1250</v>
      </c>
      <c r="F9" s="221"/>
      <c r="G9" s="221">
        <f>-G8*$C$9</f>
        <v>-1281.25</v>
      </c>
      <c r="H9" s="221"/>
      <c r="I9" s="221">
        <f>-I8*$C$9</f>
        <v>-1313.2812499999998</v>
      </c>
      <c r="J9" s="221"/>
      <c r="K9" s="221">
        <f>-K8*$C$9</f>
        <v>-1346.1132812499995</v>
      </c>
      <c r="L9" s="221"/>
      <c r="M9" s="221">
        <f>-M8*$C$9</f>
        <v>-1379.7661132812493</v>
      </c>
      <c r="N9" s="221"/>
      <c r="O9" s="221">
        <f>-O8*$C$9</f>
        <v>-1414.2602661132805</v>
      </c>
      <c r="P9" s="221"/>
      <c r="Q9" s="221">
        <f>-Q8*$C$9</f>
        <v>-1449.6167727661123</v>
      </c>
      <c r="R9" s="221"/>
      <c r="S9" s="221">
        <f>-S8*$C$9</f>
        <v>-1485.8571920852651</v>
      </c>
      <c r="T9" s="221"/>
      <c r="U9" s="221">
        <f>-U8*$C$9</f>
        <v>-1523.0036218873965</v>
      </c>
      <c r="V9" s="221"/>
      <c r="W9" s="221">
        <f>-W8*$C$9</f>
        <v>-1561.0787124345816</v>
      </c>
      <c r="X9" s="221"/>
      <c r="Y9" s="221">
        <f>-Y8*$C$9</f>
        <v>-1600.1056802454459</v>
      </c>
      <c r="Z9" s="221"/>
      <c r="AA9" s="221">
        <f>-AA8*$C$9</f>
        <v>-1640.1083222515817</v>
      </c>
      <c r="AB9" s="221"/>
      <c r="AC9" s="221">
        <f>-AC8*$C$9</f>
        <v>-1681.111030307871</v>
      </c>
      <c r="AD9" s="221"/>
      <c r="AE9" s="221">
        <f>-AE8*$C$9</f>
        <v>-1723.1388060655675</v>
      </c>
      <c r="AF9" s="221"/>
      <c r="AG9" s="221">
        <f>-AG8*$C$9</f>
        <v>-1766.2172762172065</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1439607.2</v>
      </c>
      <c r="G11" s="223">
        <f>SUM(G4:G10)</f>
        <v>1475597.38</v>
      </c>
      <c r="I11" s="223">
        <f>SUM(I4:I10)</f>
        <v>1512487.3144999996</v>
      </c>
      <c r="K11" s="223">
        <f>SUM(K4:K10)</f>
        <v>1550299.4973624996</v>
      </c>
      <c r="M11" s="223">
        <f>SUM(M4:M10)</f>
        <v>1589056.9847965618</v>
      </c>
      <c r="O11" s="223">
        <f>SUM(O4:O10)</f>
        <v>1628783.4094164758</v>
      </c>
      <c r="Q11" s="223">
        <f>SUM(Q4:Q10)</f>
        <v>1669502.9946518876</v>
      </c>
      <c r="S11" s="223">
        <f>SUM(S4:S10)</f>
        <v>1711240.5695181845</v>
      </c>
      <c r="U11" s="223">
        <f>SUM(U4:U10)</f>
        <v>1754021.583756139</v>
      </c>
      <c r="W11" s="223">
        <f>SUM(W4:W10)</f>
        <v>1797872.1233500424</v>
      </c>
      <c r="Y11" s="223">
        <f>SUM(Y4:Y10)</f>
        <v>1842818.926433793</v>
      </c>
      <c r="AA11" s="223">
        <f>SUM(AA4:AA10)</f>
        <v>1888889.3995946378</v>
      </c>
      <c r="AC11" s="223">
        <f>SUM(AC4:AC10)</f>
        <v>1936111.6345845037</v>
      </c>
      <c r="AE11" s="223">
        <f>SUM(AE4:AE10)</f>
        <v>1984514.4254491162</v>
      </c>
      <c r="AG11" s="223">
        <f>SUM(AG4:AG10)</f>
        <v>2034127.2860853439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30500</v>
      </c>
      <c r="G15" s="219">
        <f>E15*$C$14</f>
        <v>31567.499999999996</v>
      </c>
      <c r="I15" s="219">
        <f>G15*$C$14</f>
        <v>32672.362499999992</v>
      </c>
      <c r="K15" s="219">
        <f>I15*$C$14</f>
        <v>33815.895187499991</v>
      </c>
      <c r="M15" s="219">
        <f>K15*$C$14</f>
        <v>34999.451519062488</v>
      </c>
      <c r="O15" s="219">
        <f>M15*$C$14</f>
        <v>36224.432322229673</v>
      </c>
      <c r="Q15" s="219">
        <f>O15*$C$14</f>
        <v>37492.287453507706</v>
      </c>
      <c r="S15" s="219">
        <f>Q15*$C$14</f>
        <v>38804.517514380474</v>
      </c>
      <c r="U15" s="219">
        <f>S15*$C$14</f>
        <v>40162.675627383789</v>
      </c>
      <c r="W15" s="219">
        <f>U15*$C$14</f>
        <v>41568.369274342222</v>
      </c>
      <c r="Y15" s="219">
        <f>W15*$C$14</f>
        <v>43023.262198944198</v>
      </c>
      <c r="AA15" s="219">
        <f>Y15*$C$14</f>
        <v>44529.076375907243</v>
      </c>
      <c r="AC15" s="219">
        <f>AA15*$C$14</f>
        <v>46087.594049063991</v>
      </c>
      <c r="AE15" s="219">
        <f>AC15*$C$14</f>
        <v>47700.659840781227</v>
      </c>
      <c r="AG15" s="219">
        <f>AE15*$C$14</f>
        <v>49370.18293520857</v>
      </c>
    </row>
    <row r="16" spans="1:34" s="210" customFormat="1" ht="13.8">
      <c r="A16" s="210" t="s">
        <v>344</v>
      </c>
      <c r="C16" s="233"/>
      <c r="E16" s="222">
        <f>Application!W849</f>
        <v>86376</v>
      </c>
      <c r="F16" s="222"/>
      <c r="G16" s="222">
        <f t="shared" ref="G16:AG21" si="0">E16*$C$14</f>
        <v>89399.159999999989</v>
      </c>
      <c r="H16" s="222"/>
      <c r="I16" s="222">
        <f t="shared" si="0"/>
        <v>92528.130599999975</v>
      </c>
      <c r="J16" s="222"/>
      <c r="K16" s="222">
        <f t="shared" si="0"/>
        <v>95766.615170999969</v>
      </c>
      <c r="L16" s="222"/>
      <c r="M16" s="222">
        <f t="shared" si="0"/>
        <v>99118.446701984954</v>
      </c>
      <c r="N16" s="222"/>
      <c r="O16" s="222">
        <f t="shared" si="0"/>
        <v>102587.59233655441</v>
      </c>
      <c r="P16" s="222"/>
      <c r="Q16" s="222">
        <f t="shared" si="0"/>
        <v>106178.15806833381</v>
      </c>
      <c r="R16" s="222"/>
      <c r="S16" s="222">
        <f t="shared" si="0"/>
        <v>109894.39360072548</v>
      </c>
      <c r="T16" s="222"/>
      <c r="U16" s="222">
        <f t="shared" si="0"/>
        <v>113740.69737675086</v>
      </c>
      <c r="V16" s="222"/>
      <c r="W16" s="222">
        <f t="shared" si="0"/>
        <v>117721.62178493713</v>
      </c>
      <c r="X16" s="222"/>
      <c r="Y16" s="222">
        <f t="shared" si="0"/>
        <v>121841.87854740993</v>
      </c>
      <c r="Z16" s="222"/>
      <c r="AA16" s="222">
        <f t="shared" si="0"/>
        <v>126106.34429656927</v>
      </c>
      <c r="AB16" s="222"/>
      <c r="AC16" s="222">
        <f t="shared" si="0"/>
        <v>130520.06634694918</v>
      </c>
      <c r="AD16" s="222"/>
      <c r="AE16" s="222">
        <f t="shared" si="0"/>
        <v>135088.26866909239</v>
      </c>
      <c r="AF16" s="222"/>
      <c r="AG16" s="222">
        <f t="shared" si="0"/>
        <v>139816.3580725106</v>
      </c>
    </row>
    <row r="17" spans="1:33" s="210" customFormat="1" ht="13.8">
      <c r="A17" s="210" t="s">
        <v>562</v>
      </c>
      <c r="C17" s="233"/>
      <c r="E17" s="222">
        <f>Application!W855</f>
        <v>180000</v>
      </c>
      <c r="F17" s="222"/>
      <c r="G17" s="222">
        <f t="shared" si="0"/>
        <v>186300</v>
      </c>
      <c r="H17" s="222"/>
      <c r="I17" s="222">
        <f t="shared" si="0"/>
        <v>192820.49999999997</v>
      </c>
      <c r="J17" s="222"/>
      <c r="K17" s="222">
        <f t="shared" si="0"/>
        <v>199569.21749999994</v>
      </c>
      <c r="L17" s="222"/>
      <c r="M17" s="222">
        <f t="shared" si="0"/>
        <v>206554.14011249991</v>
      </c>
      <c r="N17" s="222"/>
      <c r="O17" s="222">
        <f t="shared" si="0"/>
        <v>213783.53501643738</v>
      </c>
      <c r="P17" s="222"/>
      <c r="Q17" s="222">
        <f t="shared" si="0"/>
        <v>221265.95874201268</v>
      </c>
      <c r="R17" s="222"/>
      <c r="S17" s="222">
        <f t="shared" si="0"/>
        <v>229010.26729798311</v>
      </c>
      <c r="T17" s="222"/>
      <c r="U17" s="222">
        <f t="shared" si="0"/>
        <v>237025.6266534125</v>
      </c>
      <c r="V17" s="222"/>
      <c r="W17" s="222">
        <f t="shared" si="0"/>
        <v>245321.52358628192</v>
      </c>
      <c r="X17" s="222"/>
      <c r="Y17" s="222">
        <f t="shared" si="0"/>
        <v>253907.77691180177</v>
      </c>
      <c r="Z17" s="222"/>
      <c r="AA17" s="222">
        <f t="shared" si="0"/>
        <v>262794.54910371482</v>
      </c>
      <c r="AB17" s="222"/>
      <c r="AC17" s="222">
        <f t="shared" si="0"/>
        <v>271992.35832234484</v>
      </c>
      <c r="AD17" s="222"/>
      <c r="AE17" s="222">
        <f t="shared" si="0"/>
        <v>281512.09086362686</v>
      </c>
      <c r="AF17" s="222"/>
      <c r="AG17" s="222">
        <f t="shared" si="0"/>
        <v>291365.01404385379</v>
      </c>
    </row>
    <row r="18" spans="1:33" s="210" customFormat="1" ht="13.8">
      <c r="A18" s="210" t="s">
        <v>843</v>
      </c>
      <c r="C18" s="233"/>
      <c r="E18" s="222">
        <f>Application!W862</f>
        <v>81670</v>
      </c>
      <c r="F18" s="222"/>
      <c r="G18" s="222">
        <f t="shared" si="0"/>
        <v>84528.45</v>
      </c>
      <c r="H18" s="222"/>
      <c r="I18" s="222">
        <f t="shared" si="0"/>
        <v>87486.945749999984</v>
      </c>
      <c r="J18" s="222"/>
      <c r="K18" s="222">
        <f t="shared" si="0"/>
        <v>90548.988851249975</v>
      </c>
      <c r="L18" s="222"/>
      <c r="M18" s="222">
        <f t="shared" si="0"/>
        <v>93718.203461043711</v>
      </c>
      <c r="N18" s="222"/>
      <c r="O18" s="222">
        <f t="shared" si="0"/>
        <v>96998.34058218023</v>
      </c>
      <c r="P18" s="222"/>
      <c r="Q18" s="222">
        <f t="shared" si="0"/>
        <v>100393.28250255653</v>
      </c>
      <c r="R18" s="222"/>
      <c r="S18" s="222">
        <f t="shared" si="0"/>
        <v>103907.04739014599</v>
      </c>
      <c r="T18" s="222"/>
      <c r="U18" s="222">
        <f t="shared" si="0"/>
        <v>107543.79404880109</v>
      </c>
      <c r="V18" s="222"/>
      <c r="W18" s="222">
        <f t="shared" si="0"/>
        <v>111307.82684050912</v>
      </c>
      <c r="X18" s="222"/>
      <c r="Y18" s="222">
        <f t="shared" si="0"/>
        <v>115203.60077992693</v>
      </c>
      <c r="Z18" s="222"/>
      <c r="AA18" s="222">
        <f t="shared" si="0"/>
        <v>119235.72680722436</v>
      </c>
      <c r="AB18" s="222"/>
      <c r="AC18" s="222">
        <f t="shared" si="0"/>
        <v>123408.9772454772</v>
      </c>
      <c r="AD18" s="222"/>
      <c r="AE18" s="222">
        <f t="shared" si="0"/>
        <v>127728.2914490689</v>
      </c>
      <c r="AF18" s="222"/>
      <c r="AG18" s="222">
        <f t="shared" si="0"/>
        <v>132198.78164978631</v>
      </c>
    </row>
    <row r="19" spans="1:33" s="210" customFormat="1" ht="13.8">
      <c r="A19" s="210" t="s">
        <v>155</v>
      </c>
      <c r="C19" s="233"/>
      <c r="E19" s="222">
        <f>Application!W863</f>
        <v>108104</v>
      </c>
      <c r="F19" s="222"/>
      <c r="G19" s="222">
        <f t="shared" si="0"/>
        <v>111887.63999999998</v>
      </c>
      <c r="H19" s="222"/>
      <c r="I19" s="222">
        <f t="shared" si="0"/>
        <v>115803.70739999997</v>
      </c>
      <c r="J19" s="222"/>
      <c r="K19" s="222">
        <f t="shared" si="0"/>
        <v>119856.83715899996</v>
      </c>
      <c r="L19" s="222"/>
      <c r="M19" s="222">
        <f t="shared" si="0"/>
        <v>124051.82645956495</v>
      </c>
      <c r="N19" s="222"/>
      <c r="O19" s="222">
        <f t="shared" si="0"/>
        <v>128393.64038564972</v>
      </c>
      <c r="P19" s="222"/>
      <c r="Q19" s="222">
        <f t="shared" si="0"/>
        <v>132887.41779914746</v>
      </c>
      <c r="R19" s="222"/>
      <c r="S19" s="222">
        <f t="shared" si="0"/>
        <v>137538.4774221176</v>
      </c>
      <c r="T19" s="222"/>
      <c r="U19" s="222">
        <f t="shared" si="0"/>
        <v>142352.32413189171</v>
      </c>
      <c r="V19" s="222"/>
      <c r="W19" s="222">
        <f t="shared" si="0"/>
        <v>147334.65547650791</v>
      </c>
      <c r="X19" s="222"/>
      <c r="Y19" s="222">
        <f t="shared" si="0"/>
        <v>152491.36841818568</v>
      </c>
      <c r="Z19" s="222"/>
      <c r="AA19" s="222">
        <f t="shared" si="0"/>
        <v>157828.56631282216</v>
      </c>
      <c r="AB19" s="222"/>
      <c r="AC19" s="222">
        <f t="shared" si="0"/>
        <v>163352.56613377092</v>
      </c>
      <c r="AD19" s="222"/>
      <c r="AE19" s="222">
        <f t="shared" si="0"/>
        <v>169069.90594845288</v>
      </c>
      <c r="AF19" s="222"/>
      <c r="AG19" s="222">
        <f t="shared" si="0"/>
        <v>174987.35265664873</v>
      </c>
    </row>
    <row r="20" spans="1:33" s="210" customFormat="1" ht="13.8">
      <c r="A20" s="210" t="s">
        <v>390</v>
      </c>
      <c r="C20" s="233"/>
      <c r="E20" s="222">
        <f>Application!W872</f>
        <v>89610</v>
      </c>
      <c r="F20" s="222"/>
      <c r="G20" s="222">
        <f t="shared" si="0"/>
        <v>92746.349999999991</v>
      </c>
      <c r="H20" s="222"/>
      <c r="I20" s="222">
        <f t="shared" si="0"/>
        <v>95992.472249999977</v>
      </c>
      <c r="J20" s="222"/>
      <c r="K20" s="222">
        <f t="shared" si="0"/>
        <v>99352.208778749962</v>
      </c>
      <c r="L20" s="222"/>
      <c r="M20" s="222">
        <f t="shared" si="0"/>
        <v>102829.53608600621</v>
      </c>
      <c r="N20" s="222"/>
      <c r="O20" s="222">
        <f t="shared" si="0"/>
        <v>106428.56984901642</v>
      </c>
      <c r="P20" s="222"/>
      <c r="Q20" s="222">
        <f t="shared" si="0"/>
        <v>110153.56979373199</v>
      </c>
      <c r="R20" s="222"/>
      <c r="S20" s="222">
        <f t="shared" si="0"/>
        <v>114008.94473651261</v>
      </c>
      <c r="T20" s="222"/>
      <c r="U20" s="222">
        <f t="shared" si="0"/>
        <v>117999.25780229054</v>
      </c>
      <c r="V20" s="222"/>
      <c r="W20" s="222">
        <f t="shared" si="0"/>
        <v>122129.23182537069</v>
      </c>
      <c r="X20" s="222"/>
      <c r="Y20" s="222">
        <f t="shared" si="0"/>
        <v>126403.75493925865</v>
      </c>
      <c r="Z20" s="222"/>
      <c r="AA20" s="222">
        <f t="shared" si="0"/>
        <v>130827.88636213269</v>
      </c>
      <c r="AB20" s="222"/>
      <c r="AC20" s="222">
        <f t="shared" si="0"/>
        <v>135406.86238480732</v>
      </c>
      <c r="AD20" s="222"/>
      <c r="AE20" s="222">
        <f t="shared" si="0"/>
        <v>140146.10256827556</v>
      </c>
      <c r="AF20" s="222"/>
      <c r="AG20" s="222">
        <f t="shared" si="0"/>
        <v>145051.21615816519</v>
      </c>
    </row>
    <row r="21" spans="1:33" s="210" customFormat="1" ht="13.8">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844</v>
      </c>
      <c r="C22" s="233"/>
      <c r="E22" s="223">
        <f>SUM(E15:E21)</f>
        <v>576260</v>
      </c>
      <c r="G22" s="223">
        <f>SUM(G15:G21)</f>
        <v>596429.1</v>
      </c>
      <c r="I22" s="223">
        <f>SUM(I15:I21)</f>
        <v>617304.11849999987</v>
      </c>
      <c r="K22" s="223">
        <f>SUM(K15:K21)</f>
        <v>638909.7626474998</v>
      </c>
      <c r="M22" s="223">
        <f>SUM(M15:M21)</f>
        <v>661271.60434016224</v>
      </c>
      <c r="O22" s="223">
        <f>SUM(O15:O21)</f>
        <v>684416.11049206776</v>
      </c>
      <c r="Q22" s="223">
        <f>SUM(Q15:Q21)</f>
        <v>708370.67435929016</v>
      </c>
      <c r="S22" s="223">
        <f>SUM(S15:S21)</f>
        <v>733163.6479618653</v>
      </c>
      <c r="U22" s="223">
        <f>SUM(U15:U21)</f>
        <v>758824.37564053049</v>
      </c>
      <c r="W22" s="223">
        <f>SUM(W15:W21)</f>
        <v>785383.22878794896</v>
      </c>
      <c r="Y22" s="223">
        <f>SUM(Y15:Y21)</f>
        <v>812871.64179552731</v>
      </c>
      <c r="AA22" s="223">
        <f>SUM(AA15:AA21)</f>
        <v>841322.14925837063</v>
      </c>
      <c r="AC22" s="223">
        <f>SUM(AC15:AC21)</f>
        <v>870768.42448241333</v>
      </c>
      <c r="AE22" s="223">
        <f>SUM(AE15:AE21)</f>
        <v>901245.31933929783</v>
      </c>
      <c r="AG22" s="223">
        <f>SUM(AG15:AG21)</f>
        <v>932788.90551617322</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3.8">
      <c r="A28" s="210" t="s">
        <v>847</v>
      </c>
      <c r="C28" s="237"/>
      <c r="E28" s="222">
        <f>Application!AC889</f>
        <v>30000</v>
      </c>
      <c r="F28" s="222"/>
      <c r="G28" s="222">
        <f>$E$28</f>
        <v>30000</v>
      </c>
      <c r="H28" s="222"/>
      <c r="I28" s="222">
        <f>$E$28</f>
        <v>30000</v>
      </c>
      <c r="J28" s="222"/>
      <c r="K28" s="222">
        <f>$E$28</f>
        <v>30000</v>
      </c>
      <c r="L28" s="222"/>
      <c r="M28" s="222">
        <f>$E$28</f>
        <v>30000</v>
      </c>
      <c r="N28" s="222"/>
      <c r="O28" s="222">
        <f>$E$28</f>
        <v>30000</v>
      </c>
      <c r="P28" s="222"/>
      <c r="Q28" s="222">
        <f>$E$28</f>
        <v>30000</v>
      </c>
      <c r="R28" s="222"/>
      <c r="S28" s="222">
        <f>$E$28</f>
        <v>30000</v>
      </c>
      <c r="T28" s="222"/>
      <c r="U28" s="222">
        <f>$E$28</f>
        <v>30000</v>
      </c>
      <c r="V28" s="222"/>
      <c r="W28" s="222">
        <f>$E$28</f>
        <v>30000</v>
      </c>
      <c r="X28" s="222"/>
      <c r="Y28" s="222">
        <f>$E$28</f>
        <v>30000</v>
      </c>
      <c r="Z28" s="222"/>
      <c r="AA28" s="222">
        <f>$E$28</f>
        <v>30000</v>
      </c>
      <c r="AB28" s="222"/>
      <c r="AC28" s="222">
        <f>$E$28</f>
        <v>30000</v>
      </c>
      <c r="AD28" s="222"/>
      <c r="AE28" s="222">
        <f>$E$28</f>
        <v>30000</v>
      </c>
      <c r="AF28" s="222"/>
      <c r="AG28" s="222">
        <f>$E$28</f>
        <v>30000</v>
      </c>
    </row>
    <row r="29" spans="1:33" s="210" customFormat="1" ht="13.8">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629060</v>
      </c>
      <c r="G35" s="223">
        <f>SUM(G22:G33)</f>
        <v>650027.1</v>
      </c>
      <c r="I35" s="223">
        <f>SUM(I22:I33)</f>
        <v>671728.0484999998</v>
      </c>
      <c r="K35" s="223">
        <f>SUM(K22:K33)</f>
        <v>694188.53019749979</v>
      </c>
      <c r="M35" s="223">
        <f>SUM(M22:M33)</f>
        <v>717435.12875441229</v>
      </c>
      <c r="O35" s="223">
        <f>SUM(O22:O33)</f>
        <v>741495.35826081655</v>
      </c>
      <c r="Q35" s="223">
        <f>SUM(Q22:Q33)</f>
        <v>766397.69579994516</v>
      </c>
      <c r="S35" s="223">
        <f>SUM(S22:S33)</f>
        <v>792171.61515294318</v>
      </c>
      <c r="U35" s="223">
        <f>SUM(U22:U33)</f>
        <v>818847.62168329605</v>
      </c>
      <c r="W35" s="223">
        <f>SUM(W22:W33)</f>
        <v>846457.28844221134</v>
      </c>
      <c r="Y35" s="223">
        <f>SUM(Y22:Y33)</f>
        <v>875033.29353768891</v>
      </c>
      <c r="AA35" s="223">
        <f>SUM(AA22:AA33)</f>
        <v>904609.45881150779</v>
      </c>
      <c r="AC35" s="223">
        <f>SUM(AC22:AC33)</f>
        <v>935220.78986991034</v>
      </c>
      <c r="AE35" s="223">
        <f>SUM(AE22:AE33)</f>
        <v>966903.51751535723</v>
      </c>
      <c r="AG35" s="223">
        <f>SUM(AG22:AG33)</f>
        <v>999695.14062839467</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810547.19999999995</v>
      </c>
      <c r="G37" s="223">
        <f>G11-G35</f>
        <v>825570.27999999991</v>
      </c>
      <c r="I37" s="223">
        <f>I11-I35</f>
        <v>840759.26599999983</v>
      </c>
      <c r="K37" s="223">
        <f>K11-K35</f>
        <v>856110.96716499981</v>
      </c>
      <c r="M37" s="223">
        <f>M11-M35</f>
        <v>871621.85604214948</v>
      </c>
      <c r="O37" s="223">
        <f>O11-O35</f>
        <v>887288.05115565925</v>
      </c>
      <c r="Q37" s="223">
        <f>Q11-Q35</f>
        <v>903105.29885194241</v>
      </c>
      <c r="S37" s="223">
        <f>S11-S35</f>
        <v>919068.95436524134</v>
      </c>
      <c r="U37" s="223">
        <f>U11-U35</f>
        <v>935173.96207284299</v>
      </c>
      <c r="W37" s="223">
        <f>W11-W35</f>
        <v>951414.83490783104</v>
      </c>
      <c r="Y37" s="223">
        <f>Y11-Y35</f>
        <v>967785.63289610413</v>
      </c>
      <c r="AA37" s="223">
        <f>AA11-AA35</f>
        <v>984279.94078313001</v>
      </c>
      <c r="AC37" s="223">
        <f>AC11-AC35</f>
        <v>1000890.8447145934</v>
      </c>
      <c r="AE37" s="223">
        <f>AE11-AE35</f>
        <v>1017610.9079337589</v>
      </c>
      <c r="AG37" s="223">
        <f>AG11-AG35</f>
        <v>1034432.1454569492</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 Bank Permanent Loan</v>
      </c>
      <c r="B40" s="226"/>
      <c r="C40" s="220"/>
      <c r="E40" s="222">
        <f>Application!AF627</f>
        <v>704816</v>
      </c>
      <c r="F40" s="222"/>
      <c r="G40" s="222">
        <f>$E$40</f>
        <v>704816</v>
      </c>
      <c r="H40" s="222"/>
      <c r="I40" s="222">
        <f>$E$40</f>
        <v>704816</v>
      </c>
      <c r="J40" s="222"/>
      <c r="K40" s="222">
        <f>$E$40</f>
        <v>704816</v>
      </c>
      <c r="L40" s="222"/>
      <c r="M40" s="222">
        <f>$E$40</f>
        <v>704816</v>
      </c>
      <c r="N40" s="222"/>
      <c r="O40" s="222">
        <f>$E$40</f>
        <v>704816</v>
      </c>
      <c r="P40" s="222"/>
      <c r="Q40" s="222">
        <f>$E$40</f>
        <v>704816</v>
      </c>
      <c r="R40" s="222"/>
      <c r="S40" s="222">
        <f>$E$40</f>
        <v>704816</v>
      </c>
      <c r="T40" s="222"/>
      <c r="U40" s="222">
        <f>$E$40</f>
        <v>704816</v>
      </c>
      <c r="V40" s="222"/>
      <c r="W40" s="222">
        <f>$E$40</f>
        <v>704816</v>
      </c>
      <c r="X40" s="222"/>
      <c r="Y40" s="222">
        <f>$E$40</f>
        <v>704816</v>
      </c>
      <c r="Z40" s="222"/>
      <c r="AA40" s="222">
        <f>$E$40</f>
        <v>704816</v>
      </c>
      <c r="AB40" s="222"/>
      <c r="AC40" s="222">
        <f>$E$40</f>
        <v>704816</v>
      </c>
      <c r="AD40" s="222"/>
      <c r="AE40" s="222">
        <f>$E$40</f>
        <v>704816</v>
      </c>
      <c r="AF40" s="222"/>
      <c r="AG40" s="222">
        <f>$E$40</f>
        <v>704816</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704816</v>
      </c>
      <c r="G43" s="223">
        <f>SUM(G40:G42)</f>
        <v>704816</v>
      </c>
      <c r="I43" s="223">
        <f>SUM(I40:I42)</f>
        <v>704816</v>
      </c>
      <c r="K43" s="223">
        <f>SUM(K40:K42)</f>
        <v>704816</v>
      </c>
      <c r="M43" s="223">
        <f>SUM(M40:M42)</f>
        <v>704816</v>
      </c>
      <c r="O43" s="223">
        <f>SUM(O40:O42)</f>
        <v>704816</v>
      </c>
      <c r="Q43" s="223">
        <f>SUM(Q40:Q42)</f>
        <v>704816</v>
      </c>
      <c r="S43" s="223">
        <f>SUM(S40:S42)</f>
        <v>704816</v>
      </c>
      <c r="U43" s="223">
        <f>SUM(U40:U42)</f>
        <v>704816</v>
      </c>
      <c r="W43" s="223">
        <f>SUM(W40:W42)</f>
        <v>704816</v>
      </c>
      <c r="Y43" s="223">
        <f>SUM(Y40:Y42)</f>
        <v>704816</v>
      </c>
      <c r="AA43" s="223">
        <f>SUM(AA40:AA42)</f>
        <v>704816</v>
      </c>
      <c r="AC43" s="223">
        <f>SUM(AC40:AC42)</f>
        <v>704816</v>
      </c>
      <c r="AE43" s="223">
        <f>SUM(AE40:AE42)</f>
        <v>704816</v>
      </c>
      <c r="AG43" s="223">
        <f>SUM(AG40:AG42)</f>
        <v>704816</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105731.19999999995</v>
      </c>
      <c r="G45" s="223">
        <f>G37-G43</f>
        <v>120754.27999999991</v>
      </c>
      <c r="I45" s="223">
        <f>I37-I43</f>
        <v>135943.26599999983</v>
      </c>
      <c r="K45" s="223">
        <f>K37-K43</f>
        <v>151294.96716499981</v>
      </c>
      <c r="M45" s="223">
        <f>M37-M43</f>
        <v>166805.85604214948</v>
      </c>
      <c r="O45" s="223">
        <f>O37-O43</f>
        <v>182472.05115565925</v>
      </c>
      <c r="Q45" s="223">
        <f>Q37-Q43</f>
        <v>198289.29885194241</v>
      </c>
      <c r="S45" s="223">
        <f>S37-S43</f>
        <v>214252.95436524134</v>
      </c>
      <c r="U45" s="223">
        <f>U37-U43</f>
        <v>230357.96207284299</v>
      </c>
      <c r="W45" s="223">
        <f>W37-W43</f>
        <v>246598.83490783104</v>
      </c>
      <c r="Y45" s="223">
        <f>Y37-Y43</f>
        <v>262969.63289610413</v>
      </c>
      <c r="AA45" s="223">
        <f>AA37-AA43</f>
        <v>279463.94078313001</v>
      </c>
      <c r="AC45" s="223">
        <f>AC37-AC43</f>
        <v>296074.84471459338</v>
      </c>
      <c r="AE45" s="223">
        <f>AE37-AE43</f>
        <v>312794.90793375892</v>
      </c>
      <c r="AG45" s="223">
        <f>AG37-AG43</f>
        <v>329616.14545694925</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6.9772254542766907E-2</v>
      </c>
      <c r="G47" s="227">
        <f>G45/(G4+G6+G8)</f>
        <v>7.7742457092191311E-2</v>
      </c>
      <c r="I47" s="227">
        <f>I45/(I4+I6+I8)</f>
        <v>8.5386569171122695E-2</v>
      </c>
      <c r="K47" s="227">
        <f>K45/(K4+K6+K8)</f>
        <v>9.2711259373608648E-2</v>
      </c>
      <c r="M47" s="227">
        <f>M45/(M4+M6+M8)</f>
        <v>9.9723021110114232E-2</v>
      </c>
      <c r="O47" s="227">
        <f>O45/(O4+O6+O8)</f>
        <v>0.10642817675800105</v>
      </c>
      <c r="Q47" s="227">
        <f>Q45/(Q4+Q6+Q8)</f>
        <v>0.11283288170957957</v>
      </c>
      <c r="S47" s="227">
        <f>S45/(S4+S6+S8)</f>
        <v>0.11894312832022672</v>
      </c>
      <c r="U47" s="227">
        <f>U45/(U4+U6+U8)</f>
        <v>0.12476474975898934</v>
      </c>
      <c r="W47" s="227">
        <f>W45/(W4+W6+W8)</f>
        <v>0.13030342376404253</v>
      </c>
      <c r="Y47" s="227">
        <f>Y45/(Y4+Y6+Y8)</f>
        <v>0.13556467630531158</v>
      </c>
      <c r="AA47" s="227">
        <f>AA45/(AA4+AA6+AA8)</f>
        <v>0.14055388515650982</v>
      </c>
      <c r="AC47" s="227">
        <f>AC45/(AC4+AC6+AC8)</f>
        <v>0.1452762833787864</v>
      </c>
      <c r="AE47" s="227">
        <f>AE45/(AE4+AE6+AE8)</f>
        <v>0.14973696271813275</v>
      </c>
      <c r="AG47" s="227">
        <f>AG45/(AG4+AG6+AG8)</f>
        <v>0.15394087691863539</v>
      </c>
    </row>
    <row r="48" spans="1:33" s="227" customFormat="1" ht="13.8">
      <c r="A48" s="227" t="s">
        <v>853</v>
      </c>
      <c r="C48" s="220"/>
      <c r="E48" s="227">
        <f>E45/E43</f>
        <v>0.15001248552813778</v>
      </c>
      <c r="G48" s="227">
        <f>G45/G43</f>
        <v>0.17132738189825417</v>
      </c>
      <c r="I48" s="227">
        <f>I45/I43</f>
        <v>0.19287766736282921</v>
      </c>
      <c r="K48" s="227">
        <f>K45/K43</f>
        <v>0.21465881473320669</v>
      </c>
      <c r="M48" s="227">
        <f>M45/M43</f>
        <v>0.23666581922395274</v>
      </c>
      <c r="O48" s="227">
        <f>O45/O43</f>
        <v>0.25889317375834153</v>
      </c>
      <c r="Q48" s="227">
        <f>Q45/Q43</f>
        <v>0.28133484321006108</v>
      </c>
      <c r="S48" s="227">
        <f>S45/S43</f>
        <v>0.30398423753893405</v>
      </c>
      <c r="U48" s="227">
        <f>U45/U43</f>
        <v>0.32683418377681972</v>
      </c>
      <c r="W48" s="227">
        <f>W45/W43</f>
        <v>0.34987689681822071</v>
      </c>
      <c r="Y48" s="227">
        <f>Y45/Y43</f>
        <v>0.37310394896838911</v>
      </c>
      <c r="AA48" s="227">
        <f>AA45/AA43</f>
        <v>0.39650623819994157</v>
      </c>
      <c r="AC48" s="227">
        <f>AC45/AC43</f>
        <v>0.42007395506712869</v>
      </c>
      <c r="AE48" s="227">
        <f>AE45/AE43</f>
        <v>0.44379654822501041</v>
      </c>
      <c r="AG48" s="227">
        <f>AG45/AG43</f>
        <v>0.46766268849877024</v>
      </c>
    </row>
    <row r="49" spans="1:34" s="228" customFormat="1" ht="13.8">
      <c r="A49" s="228" t="s">
        <v>851</v>
      </c>
      <c r="C49" s="229"/>
      <c r="E49" s="228">
        <f>E37/E43</f>
        <v>1.1500124855281377</v>
      </c>
      <c r="G49" s="228">
        <f>G37/G43</f>
        <v>1.1713273818982541</v>
      </c>
      <c r="I49" s="228">
        <f>I37/I43</f>
        <v>1.1928776673628292</v>
      </c>
      <c r="K49" s="228">
        <f>K37/K43</f>
        <v>1.2146588147332067</v>
      </c>
      <c r="M49" s="228">
        <f>M37/M43</f>
        <v>1.2366658192239528</v>
      </c>
      <c r="O49" s="228">
        <f>O37/O43</f>
        <v>1.2588931737583415</v>
      </c>
      <c r="Q49" s="228">
        <f>Q37/Q43</f>
        <v>1.2813348432100611</v>
      </c>
      <c r="S49" s="228">
        <f>S37/S43</f>
        <v>1.3039842375389341</v>
      </c>
      <c r="U49" s="228">
        <f>U37/U43</f>
        <v>1.3268341837768198</v>
      </c>
      <c r="W49" s="228">
        <f>W37/W43</f>
        <v>1.3498768968182207</v>
      </c>
      <c r="Y49" s="228">
        <f>Y37/Y43</f>
        <v>1.3731039489683892</v>
      </c>
      <c r="AA49" s="228">
        <f>AA37/AA43</f>
        <v>1.3965062381999416</v>
      </c>
      <c r="AC49" s="228">
        <f>AC37/AC43</f>
        <v>1.4200739550671286</v>
      </c>
      <c r="AE49" s="228">
        <f>AE37/AE43</f>
        <v>1.4437965482250104</v>
      </c>
      <c r="AG49" s="228">
        <f>AG37/AG43</f>
        <v>1.4676626884987702</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1185</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f>+Application!AO628</f>
        <v>3233250</v>
      </c>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105731.19999999995</v>
      </c>
      <c r="G60" s="962">
        <f>G45-G58</f>
        <v>120754.27999999991</v>
      </c>
      <c r="I60" s="962">
        <f>I45-I58</f>
        <v>135943.26599999983</v>
      </c>
      <c r="K60" s="962">
        <f>K45-K58</f>
        <v>151294.96716499981</v>
      </c>
      <c r="M60" s="962">
        <f>M45-M58</f>
        <v>166805.85604214948</v>
      </c>
      <c r="O60" s="962">
        <f>O45-O58</f>
        <v>182472.05115565925</v>
      </c>
      <c r="Q60" s="962">
        <f>Q45-Q58</f>
        <v>198289.29885194241</v>
      </c>
      <c r="S60" s="962">
        <f>S45-S58</f>
        <v>214252.95436524134</v>
      </c>
      <c r="U60" s="962">
        <f>U45-U58</f>
        <v>230357.96207284299</v>
      </c>
      <c r="W60" s="962">
        <f>W45-W58</f>
        <v>246598.83490783104</v>
      </c>
      <c r="Y60" s="962">
        <f>Y45-Y58</f>
        <v>262969.63289610413</v>
      </c>
      <c r="AA60" s="962">
        <f>AA45-AA58</f>
        <v>279463.94078313001</v>
      </c>
      <c r="AC60" s="962">
        <f>AC45-AC58</f>
        <v>296074.84471459338</v>
      </c>
      <c r="AE60" s="962">
        <f>AE45-AE58</f>
        <v>312794.90793375892</v>
      </c>
      <c r="AG60" s="962">
        <f>AG45-AG58</f>
        <v>329616.14545694925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105731.19999999995</v>
      </c>
      <c r="G62" s="962">
        <f>G60*$C$62</f>
        <v>120754.27999999991</v>
      </c>
      <c r="I62" s="962">
        <f>I60*$C$62</f>
        <v>135943.26599999983</v>
      </c>
      <c r="K62" s="962">
        <f>K60*$C$62</f>
        <v>151294.96716499981</v>
      </c>
      <c r="M62" s="962">
        <f>M60*$C$62</f>
        <v>166805.85604214948</v>
      </c>
      <c r="O62" s="962">
        <f>O60*$C$62</f>
        <v>182472.05115565925</v>
      </c>
      <c r="Q62" s="962">
        <f>Q60*$C$62</f>
        <v>198289.29885194241</v>
      </c>
      <c r="S62" s="962">
        <f>S60*$C$62</f>
        <v>214252.95436524134</v>
      </c>
      <c r="U62" s="962">
        <f>U60*$C$62</f>
        <v>230357.96207284299</v>
      </c>
      <c r="W62" s="962">
        <f>W60*$C$62</f>
        <v>246598.83490783104</v>
      </c>
      <c r="Y62" s="962">
        <f>Y60*$C$62</f>
        <v>262969.63289610413</v>
      </c>
      <c r="AA62" s="962">
        <f>AA60*$C$62</f>
        <v>279463.94078313001</v>
      </c>
      <c r="AC62" s="962">
        <f>AC60*$C$62</f>
        <v>296074.84471459338</v>
      </c>
      <c r="AE62" s="962">
        <f>AE60*$C$62</f>
        <v>312794.90793375892</v>
      </c>
      <c r="AG62" s="962">
        <f>AG60*$C$62</f>
        <v>329616.14545694925</v>
      </c>
    </row>
    <row r="63" spans="1:34" s="962" customFormat="1">
      <c r="A63" s="2691" t="s">
        <v>1185</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972</v>
      </c>
    </row>
    <row r="2" spans="1:1" ht="15.6">
      <c r="A2" s="314"/>
    </row>
    <row r="3" spans="1:1" ht="15.6">
      <c r="A3" s="315" t="s">
        <v>967</v>
      </c>
    </row>
    <row r="4" spans="1:1" ht="15.6">
      <c r="A4" s="315" t="s">
        <v>968</v>
      </c>
    </row>
    <row r="5" spans="1:1" ht="15.6">
      <c r="A5" s="315" t="s">
        <v>969</v>
      </c>
    </row>
    <row r="6" spans="1:1" ht="15.6">
      <c r="A6" s="315" t="s">
        <v>971</v>
      </c>
    </row>
    <row r="7" spans="1:1" ht="15.6">
      <c r="A7" s="315" t="s">
        <v>970</v>
      </c>
    </row>
    <row r="8" spans="1:1" ht="15.6">
      <c r="A8" s="346" t="s">
        <v>1025</v>
      </c>
    </row>
    <row r="9" spans="1:1" ht="15.6">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1725000</v>
      </c>
      <c r="C5" s="266">
        <f>'Sources and Uses Budget'!$C4</f>
        <v>1725000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1725000</v>
      </c>
      <c r="C9" s="270">
        <f>SUM(C5:C8)</f>
        <v>1725000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1725000</v>
      </c>
      <c r="C13" s="270">
        <f>SUM(C9+C12)</f>
        <v>1725000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22470683</v>
      </c>
      <c r="C31" s="266">
        <f>'Sources and Uses Budget'!$C30</f>
        <v>22470683</v>
      </c>
      <c r="D31" s="270">
        <f t="shared" si="0"/>
        <v>0</v>
      </c>
      <c r="E31" s="268"/>
      <c r="F31" s="267"/>
    </row>
    <row r="32" spans="1:6" s="352" customFormat="1">
      <c r="A32" s="145" t="s">
        <v>601</v>
      </c>
      <c r="B32" s="266">
        <f>'Sources and Uses Budget'!$C31</f>
        <v>1348241</v>
      </c>
      <c r="C32" s="266">
        <f>'Sources and Uses Budget'!$C31</f>
        <v>1348241</v>
      </c>
      <c r="D32" s="270">
        <f t="shared" si="0"/>
        <v>0</v>
      </c>
      <c r="E32" s="268"/>
      <c r="F32" s="267"/>
    </row>
    <row r="33" spans="1:6" s="352" customFormat="1">
      <c r="A33" s="145" t="s">
        <v>137</v>
      </c>
      <c r="B33" s="266">
        <f>'Sources and Uses Budget'!$C32</f>
        <v>476378</v>
      </c>
      <c r="C33" s="266">
        <f>'Sources and Uses Budget'!$C32</f>
        <v>476378</v>
      </c>
      <c r="D33" s="270">
        <f t="shared" si="0"/>
        <v>0</v>
      </c>
      <c r="E33" s="268"/>
      <c r="F33" s="267"/>
    </row>
    <row r="34" spans="1:6" s="352" customFormat="1">
      <c r="A34" s="145" t="s">
        <v>138</v>
      </c>
      <c r="B34" s="266">
        <f>'Sources and Uses Budget'!$C33</f>
        <v>1429135</v>
      </c>
      <c r="C34" s="266">
        <f>'Sources and Uses Budget'!$C33</f>
        <v>1429135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771733</v>
      </c>
      <c r="C36" s="266">
        <f>'Sources and Uses Budget'!$C35</f>
        <v>771733</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26496170</v>
      </c>
      <c r="C39" s="270">
        <f>SUM(C30:C38)</f>
        <v>26496170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998897</v>
      </c>
      <c r="C41" s="266">
        <f>'Sources and Uses Budget'!$C40</f>
        <v>998897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998897</v>
      </c>
      <c r="C43" s="270">
        <f>SUM(C41:C42)</f>
        <v>998897</v>
      </c>
      <c r="D43" s="270">
        <f t="shared" si="0"/>
        <v>0</v>
      </c>
      <c r="E43" s="268"/>
      <c r="F43" s="267"/>
    </row>
    <row r="44" spans="1:6" s="352" customFormat="1">
      <c r="A44" s="271" t="s">
        <v>148</v>
      </c>
      <c r="B44" s="266">
        <f>'Sources and Uses Budget'!$C43</f>
        <v>100000</v>
      </c>
      <c r="C44" s="266">
        <f>'Sources and Uses Budget'!$C43</f>
        <v>100000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1500000</v>
      </c>
      <c r="C46" s="266">
        <f>'Sources and Uses Budget'!$C45</f>
        <v>1500000</v>
      </c>
      <c r="D46" s="270">
        <f t="shared" si="0"/>
        <v>0</v>
      </c>
      <c r="E46" s="268"/>
      <c r="F46" s="267"/>
    </row>
    <row r="47" spans="1:6" s="352" customFormat="1">
      <c r="A47" s="145" t="s">
        <v>151</v>
      </c>
      <c r="B47" s="266">
        <f>'Sources and Uses Budget'!$C46</f>
        <v>346684</v>
      </c>
      <c r="C47" s="266">
        <f>'Sources and Uses Budget'!$C46</f>
        <v>346684</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199302</v>
      </c>
      <c r="C50" s="266">
        <f>'Sources and Uses Budget'!$C49</f>
        <v>199302</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34500</v>
      </c>
      <c r="C52" s="266">
        <f>'Sources and Uses Budget'!$C51</f>
        <v>34500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2175486</v>
      </c>
      <c r="C55" s="273">
        <f>SUM(C46:C54)</f>
        <v>2175486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f>'Sources and Uses Budget'!A61</f>
        <v>0</v>
      </c>
      <c r="B62" s="266">
        <f>'Sources and Uses Budget'!$C61</f>
        <v>0</v>
      </c>
      <c r="C62" s="266">
        <f>'Sources and Uses Budget'!$C61</f>
        <v>0</v>
      </c>
      <c r="D62" s="270">
        <f t="shared" si="0"/>
        <v>0</v>
      </c>
      <c r="E62" s="268"/>
      <c r="F62" s="267"/>
    </row>
    <row r="63" spans="1:6" s="352" customFormat="1" ht="13.65" customHeight="1">
      <c r="A63" s="271" t="s">
        <v>301</v>
      </c>
      <c r="B63" s="270">
        <f>SUM(B57:B62)</f>
        <v>15000</v>
      </c>
      <c r="C63" s="270">
        <f>SUM(C57:C62)</f>
        <v>15000</v>
      </c>
      <c r="D63" s="270">
        <f t="shared" si="0"/>
        <v>0</v>
      </c>
      <c r="E63" s="268"/>
      <c r="F63" s="267"/>
    </row>
    <row r="64" spans="1:6" s="352" customFormat="1">
      <c r="A64" s="274" t="s">
        <v>302</v>
      </c>
      <c r="B64" s="270">
        <f>SUM(B9+B12+B14+B15+B17+B26+B28+B39+B43+B44+B55+B63)</f>
        <v>31510553</v>
      </c>
      <c r="C64" s="270">
        <f>SUM(C9+C12+C14+C15+C17+C26+C28+C39+C43+C44+C55+C63)</f>
        <v>31510553</v>
      </c>
      <c r="D64" s="270">
        <f t="shared" si="0"/>
        <v>0</v>
      </c>
      <c r="E64" s="268"/>
      <c r="F64" s="267"/>
    </row>
    <row r="65" spans="1:6" s="352" customFormat="1" ht="22.8">
      <c r="A65" s="141" t="s">
        <v>1645</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2.8">
      <c r="A67" s="283" t="s">
        <v>1642</v>
      </c>
      <c r="B67" s="266">
        <f>'Sources and Uses Budget'!$C66</f>
        <v>0</v>
      </c>
      <c r="C67" s="266">
        <f>'Sources and Uses Budget'!$C66</f>
        <v>0</v>
      </c>
      <c r="D67" s="270"/>
      <c r="E67" s="268"/>
      <c r="F67" s="267"/>
    </row>
    <row r="68" spans="1:6" s="352" customFormat="1" ht="22.8">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1646</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333471</v>
      </c>
      <c r="C76" s="266">
        <f>'Sources and Uses Budget'!$C75</f>
        <v>333471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333471</v>
      </c>
      <c r="C78" s="270">
        <f>SUM(C73:C77)</f>
        <v>333471</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1324809</v>
      </c>
      <c r="C80" s="266">
        <f>'Sources and Uses Budget'!$C79</f>
        <v>1324809</v>
      </c>
      <c r="D80" s="270">
        <f t="shared" si="1"/>
        <v>0</v>
      </c>
      <c r="E80" s="268"/>
      <c r="F80" s="267"/>
    </row>
    <row r="81" spans="1:6" s="352" customFormat="1">
      <c r="A81" s="510" t="s">
        <v>58</v>
      </c>
      <c r="B81" s="266">
        <f>'Sources and Uses Budget'!$C80</f>
        <v>183122</v>
      </c>
      <c r="C81" s="266">
        <f>'Sources and Uses Budget'!$C80</f>
        <v>183122</v>
      </c>
      <c r="D81" s="270">
        <f>C81-B81</f>
        <v>0</v>
      </c>
      <c r="E81" s="268"/>
      <c r="F81" s="267"/>
    </row>
    <row r="82" spans="1:6" s="352" customFormat="1">
      <c r="A82" s="271" t="s">
        <v>1210</v>
      </c>
      <c r="B82" s="270">
        <f>SUM(B80:B81)</f>
        <v>1507931</v>
      </c>
      <c r="C82" s="270">
        <f>SUM(C80:C81)</f>
        <v>1507931</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159114</v>
      </c>
      <c r="C84" s="266">
        <f>'Sources and Uses Budget'!$C83</f>
        <v>159114</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1500000</v>
      </c>
      <c r="C87" s="266">
        <f>'Sources and Uses Budget'!$C86</f>
        <v>1500000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52800</v>
      </c>
      <c r="C89" s="266">
        <f>'Sources and Uses Budget'!$C88</f>
        <v>52800</v>
      </c>
      <c r="D89" s="270">
        <f t="shared" si="1"/>
        <v>0</v>
      </c>
      <c r="E89" s="268"/>
      <c r="F89" s="267"/>
    </row>
    <row r="90" spans="1:6" s="352" customFormat="1">
      <c r="A90" s="269" t="s">
        <v>773</v>
      </c>
      <c r="B90" s="266">
        <f>'Sources and Uses Budget'!$C89</f>
        <v>40000</v>
      </c>
      <c r="C90" s="266">
        <f>'Sources and Uses Budget'!$C89</f>
        <v>40000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175000</v>
      </c>
      <c r="C94" s="266">
        <f>'Sources and Uses Budget'!$C93</f>
        <v>175000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1996414</v>
      </c>
      <c r="C97" s="270">
        <f>SUM(C84:C96)</f>
        <v>1996414</v>
      </c>
      <c r="D97" s="270">
        <f t="shared" si="1"/>
        <v>0</v>
      </c>
      <c r="E97" s="268"/>
      <c r="F97" s="267"/>
    </row>
    <row r="98" spans="1:6" s="352" customFormat="1">
      <c r="A98" s="271" t="s">
        <v>776</v>
      </c>
      <c r="B98" s="270">
        <f>SUM(B64+B71+B78+B82+B97)</f>
        <v>35463369</v>
      </c>
      <c r="C98" s="270">
        <f>SUM(C64+C71+C78+C82+C97)</f>
        <v>35463369</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4946802</v>
      </c>
      <c r="C100" s="266">
        <f>'Sources and Uses Budget'!$C99</f>
        <v>4946802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4946802</v>
      </c>
      <c r="C105" s="270">
        <f>SUM(C100:C104)</f>
        <v>4946802</v>
      </c>
      <c r="D105" s="270">
        <f t="shared" si="1"/>
        <v>0</v>
      </c>
      <c r="E105" s="268"/>
      <c r="F105" s="267"/>
    </row>
    <row r="106" spans="1:6" s="352" customFormat="1">
      <c r="A106" s="271" t="s">
        <v>781</v>
      </c>
      <c r="B106" s="273">
        <f>SUM(B98+B105)</f>
        <v>40410171</v>
      </c>
      <c r="C106" s="273">
        <f>SUM(C98+C105)</f>
        <v>40410171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3.2"/>
    <row r="4" spans="1:10" ht="12.75" customHeight="1">
      <c r="A4" s="1276" t="s">
        <v>2047</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1190</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1191</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1190</v>
      </c>
    </row>
    <row r="61" spans="1:10" ht="13.2"/>
    <row r="62" spans="1:10" ht="13.2"/>
    <row r="63" spans="1:10" ht="13.2"/>
    <row r="64" spans="1:10" ht="13.2"/>
    <row r="65" spans="1:9" ht="13.2"/>
    <row r="66" spans="1:9" ht="13.2"/>
    <row r="67" spans="1:9" ht="13.2"/>
    <row r="68" spans="1:9" ht="13.2"/>
    <row r="69" spans="1:9" ht="13.2"/>
    <row r="70" spans="1:9" ht="13.2"/>
    <row r="71" spans="1:9" ht="13.2">
      <c r="A71" s="1277" t="s">
        <v>1870</v>
      </c>
      <c r="B71" s="1277"/>
      <c r="C71" s="1277"/>
      <c r="D71" s="1277"/>
      <c r="E71" s="1277"/>
      <c r="F71" s="1277"/>
      <c r="G71" s="1277"/>
      <c r="H71" s="1277"/>
      <c r="I71" s="1277"/>
    </row>
    <row r="72" spans="1:9" ht="13.2">
      <c r="A72" s="1267" t="s">
        <v>2045</v>
      </c>
      <c r="B72" s="1267"/>
      <c r="C72" s="1267"/>
      <c r="D72" s="1267"/>
      <c r="E72" s="1267"/>
    </row>
    <row r="73" spans="1:9" ht="13.2">
      <c r="A73" s="1267" t="s">
        <v>2046</v>
      </c>
      <c r="B73" s="1267"/>
      <c r="C73" s="1267"/>
      <c r="D73" s="1267"/>
      <c r="E73" s="1267"/>
    </row>
    <row r="74" spans="1:9" ht="13.2">
      <c r="A74" s="1267" t="s">
        <v>1871</v>
      </c>
      <c r="B74" s="1267"/>
      <c r="C74" s="1267"/>
      <c r="D74" s="1267"/>
      <c r="E74" s="1267"/>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6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4">
      <c r="A15" s="484"/>
      <c r="B15" s="485" t="s">
        <v>307</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4">
      <c r="A20" s="484"/>
      <c r="B20" s="485" t="s">
        <v>307</v>
      </c>
      <c r="D20" s="1283" t="s">
        <v>1923</v>
      </c>
      <c r="E20" s="1283"/>
      <c r="F20" s="1283"/>
      <c r="I20" s="490"/>
    </row>
    <row r="21" spans="1:9" ht="14.4">
      <c r="A21" s="484"/>
      <c r="D21" s="1283"/>
      <c r="E21" s="1283"/>
      <c r="F21" s="1283"/>
      <c r="I21" s="490"/>
    </row>
    <row r="22" spans="1:9" ht="14.4">
      <c r="A22" s="484"/>
      <c r="D22" s="392"/>
      <c r="E22" s="96" t="s">
        <v>1919</v>
      </c>
      <c r="F22" s="392"/>
      <c r="I22" s="490"/>
    </row>
    <row r="23" spans="1:9" ht="14.4">
      <c r="A23" s="484"/>
      <c r="B23" s="484"/>
      <c r="D23" s="446"/>
      <c r="I23" s="490"/>
    </row>
    <row r="24" spans="1:9" ht="14.4">
      <c r="A24" s="484"/>
      <c r="B24" s="485" t="s">
        <v>307</v>
      </c>
      <c r="D24" s="1283" t="s">
        <v>1092</v>
      </c>
      <c r="E24" s="1283"/>
      <c r="F24" s="1283"/>
      <c r="I24" s="490"/>
    </row>
    <row r="25" spans="1:9" ht="14.4">
      <c r="A25" s="484"/>
      <c r="B25" s="484"/>
      <c r="D25" s="1283"/>
      <c r="E25" s="1283"/>
      <c r="F25" s="1283"/>
      <c r="I25" s="490"/>
    </row>
    <row r="26" spans="1:9">
      <c r="I26" s="490"/>
    </row>
    <row r="27" spans="1:9" ht="14.4">
      <c r="A27" s="484"/>
      <c r="B27" s="485" t="s">
        <v>307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2049</v>
      </c>
      <c r="E33" s="1283"/>
      <c r="F33" s="1283"/>
      <c r="I33" s="490"/>
    </row>
    <row r="34" spans="1:9">
      <c r="D34" s="1283"/>
      <c r="E34" s="1283"/>
      <c r="F34" s="1283"/>
      <c r="I34" s="490"/>
    </row>
    <row r="35" spans="1:9" ht="14.4">
      <c r="A35" s="484"/>
      <c r="B35" s="484"/>
      <c r="D35" s="447"/>
      <c r="I35" s="490"/>
    </row>
    <row r="36" spans="1:9" ht="14.4" customHeight="1">
      <c r="A36" s="484"/>
      <c r="B36" s="485" t="s">
        <v>307</v>
      </c>
      <c r="D36" s="1283" t="s">
        <v>1215</v>
      </c>
      <c r="E36" s="1283"/>
      <c r="F36" s="1283"/>
      <c r="I36" s="490"/>
    </row>
    <row r="37" spans="1:9" ht="14.4">
      <c r="A37" s="484"/>
      <c r="B37" s="484"/>
      <c r="D37" s="1283"/>
      <c r="E37" s="1283"/>
      <c r="F37" s="1283"/>
      <c r="I37" s="490"/>
    </row>
    <row r="38" spans="1:9" ht="14.4">
      <c r="A38" s="484"/>
      <c r="B38" s="484"/>
      <c r="D38" s="1283"/>
      <c r="E38" s="1283"/>
      <c r="F38" s="1283"/>
      <c r="I38" s="490"/>
    </row>
    <row r="39" spans="1:9" ht="14.4">
      <c r="A39" s="484"/>
      <c r="B39" s="484"/>
      <c r="D39" s="1283"/>
      <c r="E39" s="1283"/>
      <c r="F39" s="1283"/>
      <c r="I39" s="490"/>
    </row>
    <row r="40" spans="1:9" ht="14.4">
      <c r="A40" s="484"/>
      <c r="B40" s="484"/>
      <c r="I40" s="490"/>
    </row>
    <row r="41" spans="1:9" ht="14.4">
      <c r="A41" s="484"/>
      <c r="B41" s="485" t="s">
        <v>307</v>
      </c>
      <c r="D41" s="1283" t="s">
        <v>1093</v>
      </c>
      <c r="E41" s="1283"/>
      <c r="F41" s="1283"/>
      <c r="I41" s="490"/>
    </row>
    <row r="42" spans="1:9" ht="14.4">
      <c r="A42" s="484"/>
      <c r="B42" s="484"/>
      <c r="D42" s="1283"/>
      <c r="E42" s="1283"/>
      <c r="F42" s="1283"/>
      <c r="I42" s="490"/>
    </row>
    <row r="43" spans="1:9" ht="14.4">
      <c r="A43" s="484"/>
      <c r="B43" s="484"/>
      <c r="D43" s="1283"/>
      <c r="E43" s="1283"/>
      <c r="F43" s="1283"/>
      <c r="I43" s="490"/>
    </row>
    <row r="44" spans="1:9" ht="14.4">
      <c r="A44" s="484"/>
      <c r="B44" s="484"/>
      <c r="D44" s="1283"/>
      <c r="E44" s="1283"/>
      <c r="F44" s="1283"/>
      <c r="I44" s="490"/>
    </row>
    <row r="45" spans="1:9" ht="14.4">
      <c r="A45" s="484"/>
      <c r="B45" s="484"/>
      <c r="D45" s="1283"/>
      <c r="E45" s="1283"/>
      <c r="F45" s="1283"/>
      <c r="I45" s="490"/>
    </row>
    <row r="46" spans="1:9" ht="14.4">
      <c r="A46" s="484"/>
      <c r="B46" s="484"/>
      <c r="D46" s="445"/>
      <c r="E46" s="445"/>
      <c r="F46" s="445"/>
      <c r="I46" s="490"/>
    </row>
    <row r="47" spans="1:9" ht="14.4">
      <c r="A47" s="484"/>
      <c r="B47" s="485" t="s">
        <v>307</v>
      </c>
      <c r="D47" s="1283" t="s">
        <v>1094</v>
      </c>
      <c r="E47" s="1283"/>
      <c r="F47" s="1283"/>
      <c r="I47" s="490"/>
    </row>
    <row r="48" spans="1:9" ht="14.4">
      <c r="A48" s="484"/>
      <c r="B48" s="484"/>
      <c r="D48" s="1283"/>
      <c r="E48" s="1283"/>
      <c r="F48" s="1283"/>
      <c r="I48" s="490"/>
    </row>
    <row r="49" spans="1:9" ht="14.4">
      <c r="A49" s="484"/>
      <c r="B49" s="484"/>
      <c r="D49" s="1283"/>
      <c r="E49" s="1283"/>
      <c r="F49" s="1283"/>
      <c r="I49" s="490"/>
    </row>
    <row r="50" spans="1:9" ht="23.25" customHeight="1">
      <c r="A50" s="484"/>
      <c r="B50" s="484"/>
      <c r="D50" s="1283"/>
      <c r="E50" s="1283"/>
      <c r="F50" s="1283"/>
      <c r="I50" s="490"/>
    </row>
    <row r="51" spans="1:9" ht="14.4">
      <c r="A51" s="484"/>
      <c r="B51" s="484"/>
      <c r="D51" s="446"/>
      <c r="I51" s="490"/>
    </row>
    <row r="52" spans="1:9" ht="14.4" customHeight="1">
      <c r="A52" s="484"/>
      <c r="B52" s="485" t="s">
        <v>307</v>
      </c>
      <c r="D52" s="1283" t="s">
        <v>1095</v>
      </c>
      <c r="E52" s="1283"/>
      <c r="F52" s="1283"/>
      <c r="I52" s="490"/>
    </row>
    <row r="53" spans="1:9" ht="14.4">
      <c r="A53" s="484"/>
      <c r="B53" s="484"/>
      <c r="D53" s="1283"/>
      <c r="E53" s="1283"/>
      <c r="F53" s="1283"/>
      <c r="I53" s="490"/>
    </row>
    <row r="54" spans="1:9" ht="14.4">
      <c r="A54" s="484"/>
      <c r="B54" s="484"/>
      <c r="D54" s="1283"/>
      <c r="E54" s="1283"/>
      <c r="F54" s="1283"/>
      <c r="I54" s="490"/>
    </row>
    <row r="55" spans="1:9" ht="14.4">
      <c r="A55" s="484"/>
      <c r="B55" s="484"/>
      <c r="I55" s="490"/>
    </row>
    <row r="56" spans="1:9" ht="14.4">
      <c r="A56" s="484"/>
      <c r="B56" s="485" t="s">
        <v>307</v>
      </c>
      <c r="D56" s="1307" t="s">
        <v>1096</v>
      </c>
      <c r="E56" s="1307"/>
      <c r="F56" s="1307"/>
      <c r="I56" s="490"/>
    </row>
    <row r="57" spans="1:9" ht="14.4">
      <c r="A57" s="484"/>
      <c r="B57" s="484"/>
      <c r="D57" s="1307"/>
      <c r="E57" s="1307"/>
      <c r="F57" s="1307"/>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4">
      <c r="A65" s="484"/>
      <c r="B65" s="485" t="s">
        <v>307</v>
      </c>
      <c r="D65" s="1283" t="s">
        <v>1098</v>
      </c>
      <c r="E65" s="1283"/>
      <c r="F65" s="1283"/>
      <c r="I65" s="490"/>
    </row>
    <row r="66" spans="1:9">
      <c r="D66" s="1283"/>
      <c r="E66" s="1283"/>
      <c r="F66" s="1283"/>
      <c r="I66" s="490"/>
    </row>
    <row r="67" spans="1:9">
      <c r="I67" s="490"/>
    </row>
    <row r="68" spans="1:9" ht="14.4">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4">
      <c r="A72" s="484"/>
      <c r="B72" s="485" t="s">
        <v>307</v>
      </c>
      <c r="D72" s="1283" t="s">
        <v>1100</v>
      </c>
      <c r="E72" s="1283"/>
      <c r="F72" s="1283"/>
      <c r="I72" s="490"/>
    </row>
    <row r="73" spans="1:9">
      <c r="D73" s="1283"/>
      <c r="E73" s="1283"/>
      <c r="F73" s="1283"/>
      <c r="I73" s="490"/>
    </row>
    <row r="74" spans="1:9" ht="14.4">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65" customHeight="1">
      <c r="A80" s="484"/>
      <c r="B80" s="485" t="s">
        <v>307</v>
      </c>
      <c r="D80" s="1283" t="s">
        <v>1246</v>
      </c>
      <c r="E80" s="1283"/>
      <c r="F80" s="1283"/>
      <c r="I80" s="490"/>
    </row>
    <row r="81" spans="1:9" ht="14.4">
      <c r="A81" s="484"/>
      <c r="B81" s="484"/>
      <c r="D81" s="1283"/>
      <c r="E81" s="1283"/>
      <c r="F81" s="1283"/>
      <c r="I81" s="490"/>
    </row>
    <row r="82" spans="1:9" ht="14.4">
      <c r="A82" s="484"/>
      <c r="B82" s="484"/>
      <c r="D82" s="1283"/>
      <c r="E82" s="1283"/>
      <c r="F82" s="1283"/>
      <c r="I82" s="490"/>
    </row>
    <row r="83" spans="1:9" ht="14.4">
      <c r="A83" s="484"/>
      <c r="B83" s="484"/>
      <c r="D83" s="1283"/>
      <c r="E83" s="1283"/>
      <c r="F83" s="1283"/>
      <c r="I83" s="490"/>
    </row>
    <row r="84" spans="1:9" ht="14.4">
      <c r="A84" s="484"/>
      <c r="B84" s="484"/>
      <c r="D84" s="1283"/>
      <c r="E84" s="1283"/>
      <c r="F84" s="1283"/>
      <c r="I84" s="490"/>
    </row>
    <row r="85" spans="1:9" ht="14.4">
      <c r="A85" s="484"/>
      <c r="B85" s="484"/>
      <c r="D85" s="1283"/>
      <c r="E85" s="1283"/>
      <c r="F85" s="1283"/>
      <c r="I85" s="490"/>
    </row>
    <row r="86" spans="1:9" ht="14.4">
      <c r="A86" s="484"/>
      <c r="B86" s="484"/>
      <c r="D86" s="1283"/>
      <c r="E86" s="1283"/>
      <c r="F86" s="1283"/>
      <c r="I86" s="490"/>
    </row>
    <row r="87" spans="1:9" ht="14.4">
      <c r="A87" s="484"/>
      <c r="B87" s="484"/>
      <c r="D87" s="1283"/>
      <c r="E87" s="1283"/>
      <c r="F87" s="1283"/>
      <c r="I87" s="490"/>
    </row>
    <row r="88" spans="1:9" ht="14.4">
      <c r="A88" s="484"/>
      <c r="B88" s="484"/>
      <c r="D88" s="385"/>
      <c r="E88" s="385"/>
      <c r="F88" s="385"/>
      <c r="I88" s="490"/>
    </row>
    <row r="89" spans="1:9" ht="15" customHeight="1">
      <c r="A89" s="484"/>
      <c r="B89" s="485" t="s">
        <v>307</v>
      </c>
      <c r="D89" s="1283" t="s">
        <v>1743</v>
      </c>
      <c r="E89" s="1283"/>
      <c r="F89" s="1283"/>
      <c r="I89" s="490"/>
    </row>
    <row r="90" spans="1:9" ht="14.4">
      <c r="A90" s="484"/>
      <c r="B90" s="484"/>
      <c r="D90" s="1283"/>
      <c r="E90" s="1283"/>
      <c r="F90" s="1283"/>
      <c r="I90" s="490"/>
    </row>
    <row r="91" spans="1:9" ht="14.4">
      <c r="A91" s="484"/>
      <c r="B91" s="484"/>
      <c r="D91" s="445"/>
      <c r="E91" s="445"/>
      <c r="F91" s="445"/>
      <c r="I91" s="490"/>
    </row>
    <row r="92" spans="1:9" ht="14.4">
      <c r="A92" s="484"/>
      <c r="B92" s="485" t="s">
        <v>307</v>
      </c>
      <c r="D92" s="1283" t="s">
        <v>1746</v>
      </c>
      <c r="E92" s="1283"/>
      <c r="F92" s="1283"/>
      <c r="I92" s="490"/>
    </row>
    <row r="93" spans="1:9" ht="14.4">
      <c r="A93" s="484"/>
      <c r="B93" s="484"/>
      <c r="D93" s="1283"/>
      <c r="E93" s="1283"/>
      <c r="F93" s="1283"/>
      <c r="I93" s="490"/>
    </row>
    <row r="94" spans="1:9" ht="14.4">
      <c r="A94" s="484"/>
      <c r="B94" s="484"/>
      <c r="D94" s="1283"/>
      <c r="E94" s="1283"/>
      <c r="F94" s="1283"/>
      <c r="I94" s="490"/>
    </row>
    <row r="95" spans="1:9" ht="14.4">
      <c r="A95" s="484"/>
      <c r="B95" s="484"/>
      <c r="D95" s="445"/>
      <c r="E95" s="445"/>
      <c r="F95" s="445"/>
      <c r="I95" s="490"/>
    </row>
    <row r="96" spans="1:9" ht="14.4">
      <c r="A96" s="484"/>
      <c r="B96" s="485" t="s">
        <v>307</v>
      </c>
      <c r="D96" s="1283" t="s">
        <v>1745</v>
      </c>
      <c r="E96" s="1283"/>
      <c r="F96" s="1283"/>
      <c r="I96" s="490"/>
    </row>
    <row r="97" spans="1:9" s="987" customFormat="1" ht="14.4">
      <c r="A97" s="985"/>
      <c r="B97" s="985"/>
      <c r="C97" s="986"/>
      <c r="D97" s="1283"/>
      <c r="E97" s="1283"/>
      <c r="F97" s="1283"/>
      <c r="I97" s="1154"/>
    </row>
    <row r="98" spans="1:9" ht="14.4">
      <c r="A98" s="484"/>
      <c r="B98" s="484"/>
      <c r="D98" s="392"/>
      <c r="E98" s="312" t="s">
        <v>1924</v>
      </c>
      <c r="F98" s="445"/>
      <c r="I98" s="490"/>
    </row>
    <row r="99" spans="1:9" ht="14.4">
      <c r="A99" s="484"/>
      <c r="B99" s="484"/>
      <c r="D99" s="385"/>
      <c r="E99" s="385"/>
      <c r="F99" s="385"/>
      <c r="I99" s="490"/>
    </row>
    <row r="100" spans="1:9" ht="14.4">
      <c r="A100" s="484"/>
      <c r="B100" s="485" t="s">
        <v>307</v>
      </c>
      <c r="D100" s="1283" t="s">
        <v>1744</v>
      </c>
      <c r="E100" s="1283"/>
      <c r="F100" s="1283"/>
      <c r="I100" s="490"/>
    </row>
    <row r="101" spans="1:9" ht="14.4">
      <c r="A101" s="484"/>
      <c r="B101" s="484"/>
      <c r="D101" s="1283"/>
      <c r="E101" s="1283"/>
      <c r="F101" s="1283"/>
      <c r="I101" s="490"/>
    </row>
    <row r="102" spans="1:9" ht="14.4">
      <c r="A102" s="484"/>
      <c r="B102" s="484"/>
      <c r="D102" s="445"/>
      <c r="E102" s="445"/>
      <c r="F102" s="445"/>
      <c r="I102" s="490"/>
    </row>
    <row r="103" spans="1:9" ht="14.4" customHeight="1">
      <c r="A103" s="484"/>
      <c r="B103" s="485" t="s">
        <v>307</v>
      </c>
      <c r="D103" s="1283" t="s">
        <v>1195</v>
      </c>
      <c r="E103" s="1283"/>
      <c r="F103" s="1283"/>
      <c r="I103" s="490"/>
    </row>
    <row r="104" spans="1:9" ht="14.4">
      <c r="A104" s="484"/>
      <c r="B104" s="484"/>
      <c r="D104" s="1283"/>
      <c r="E104" s="1283"/>
      <c r="F104" s="1283"/>
      <c r="I104" s="490"/>
    </row>
    <row r="105" spans="1:9" ht="14.4">
      <c r="A105" s="484"/>
      <c r="B105" s="484"/>
      <c r="D105" s="1283"/>
      <c r="E105" s="1283"/>
      <c r="F105" s="1283"/>
      <c r="I105" s="490"/>
    </row>
    <row r="106" spans="1:9" ht="14.4">
      <c r="A106" s="484"/>
      <c r="B106" s="484"/>
      <c r="D106" s="1283"/>
      <c r="E106" s="1283"/>
      <c r="F106" s="1283"/>
      <c r="I106" s="490"/>
    </row>
    <row r="107" spans="1:9" ht="14.4">
      <c r="A107" s="484"/>
      <c r="B107" s="484"/>
      <c r="D107" s="1283"/>
      <c r="E107" s="1283"/>
      <c r="F107" s="1283"/>
      <c r="I107" s="490"/>
    </row>
    <row r="108" spans="1:9" ht="14.4">
      <c r="A108" s="484"/>
      <c r="B108" s="484"/>
      <c r="D108" s="1283"/>
      <c r="E108" s="1283"/>
      <c r="F108" s="1283"/>
      <c r="I108" s="490"/>
    </row>
    <row r="109" spans="1:9" ht="14.4">
      <c r="A109" s="484"/>
      <c r="B109" s="484"/>
      <c r="D109" s="1283"/>
      <c r="E109" s="1283"/>
      <c r="F109" s="1283"/>
      <c r="I109" s="490"/>
    </row>
    <row r="110" spans="1:9" ht="14.4">
      <c r="A110" s="484"/>
      <c r="B110" s="484"/>
      <c r="D110" s="1283"/>
      <c r="E110" s="1283"/>
      <c r="F110" s="1283"/>
      <c r="I110" s="490"/>
    </row>
    <row r="111" spans="1:9" ht="14.4">
      <c r="A111" s="484"/>
      <c r="B111" s="484"/>
      <c r="D111" s="1283"/>
      <c r="E111" s="1283"/>
      <c r="F111" s="1283"/>
      <c r="I111" s="490"/>
    </row>
    <row r="112" spans="1:9" ht="14.4">
      <c r="A112" s="484"/>
      <c r="B112" s="484"/>
      <c r="D112" s="1283"/>
      <c r="E112" s="1283"/>
      <c r="F112" s="1283"/>
      <c r="I112" s="490"/>
    </row>
    <row r="113" spans="1:9" ht="14.4">
      <c r="A113" s="484"/>
      <c r="B113" s="484"/>
      <c r="D113" s="1283"/>
      <c r="E113" s="1283"/>
      <c r="F113" s="1283"/>
      <c r="I113" s="490"/>
    </row>
    <row r="114" spans="1:9" ht="14.4">
      <c r="A114" s="484"/>
      <c r="B114" s="484"/>
      <c r="D114" s="1283"/>
      <c r="E114" s="1283"/>
      <c r="F114" s="1283"/>
      <c r="I114" s="490"/>
    </row>
    <row r="115" spans="1:9" ht="14.4">
      <c r="A115" s="484"/>
      <c r="B115" s="484"/>
      <c r="D115" s="1283"/>
      <c r="E115" s="1283"/>
      <c r="F115" s="1283"/>
      <c r="I115" s="490"/>
    </row>
    <row r="116" spans="1:9" ht="14.4">
      <c r="A116" s="484"/>
      <c r="B116" s="484"/>
      <c r="D116" s="1283"/>
      <c r="E116" s="1283"/>
      <c r="F116" s="1283"/>
      <c r="I116" s="490"/>
    </row>
    <row r="117" spans="1:9" ht="14.4">
      <c r="A117" s="484"/>
      <c r="B117" s="484"/>
      <c r="D117" s="1283"/>
      <c r="E117" s="1283"/>
      <c r="F117" s="1283"/>
      <c r="I117" s="490"/>
    </row>
    <row r="118" spans="1:9" ht="14.4">
      <c r="A118" s="484"/>
      <c r="B118" s="484"/>
      <c r="D118" s="524"/>
      <c r="E118" s="524"/>
      <c r="F118" s="524"/>
      <c r="I118" s="490"/>
    </row>
    <row r="119" spans="1:9" ht="14.25" customHeight="1">
      <c r="A119" s="484"/>
      <c r="B119" s="485" t="s">
        <v>307</v>
      </c>
      <c r="D119" s="1303" t="s">
        <v>1104</v>
      </c>
      <c r="E119" s="1303"/>
      <c r="F119" s="1303"/>
      <c r="I119" s="490"/>
    </row>
    <row r="120" spans="1:9" ht="14.4">
      <c r="A120" s="484"/>
      <c r="B120" s="484"/>
      <c r="D120" s="1303"/>
      <c r="E120" s="1303"/>
      <c r="F120" s="1303"/>
      <c r="I120" s="490"/>
    </row>
    <row r="121" spans="1:9" ht="14.4">
      <c r="A121" s="484"/>
      <c r="B121" s="484"/>
      <c r="D121" s="1303"/>
      <c r="E121" s="1303"/>
      <c r="F121" s="1303"/>
      <c r="I121" s="490"/>
    </row>
    <row r="122" spans="1:9" ht="14.4">
      <c r="A122" s="484"/>
      <c r="B122" s="484"/>
      <c r="D122" s="1303"/>
      <c r="E122" s="1303"/>
      <c r="F122" s="1303"/>
      <c r="I122" s="490"/>
    </row>
    <row r="123" spans="1:9" ht="14.4">
      <c r="A123" s="484"/>
      <c r="B123" s="484"/>
      <c r="D123" s="1303"/>
      <c r="E123" s="1303"/>
      <c r="F123" s="1303"/>
      <c r="I123" s="490"/>
    </row>
    <row r="124" spans="1:9" ht="14.4">
      <c r="A124" s="484"/>
      <c r="B124" s="484"/>
      <c r="D124" s="1303"/>
      <c r="E124" s="1303"/>
      <c r="F124" s="1303"/>
      <c r="I124" s="490"/>
    </row>
    <row r="125" spans="1:9" ht="14.4">
      <c r="A125" s="484"/>
      <c r="B125" s="484"/>
      <c r="D125" s="1303"/>
      <c r="E125" s="1303"/>
      <c r="F125" s="1303"/>
      <c r="I125" s="490"/>
    </row>
    <row r="126" spans="1:9" ht="14.4">
      <c r="A126" s="484"/>
      <c r="B126" s="484"/>
      <c r="D126" s="1303"/>
      <c r="E126" s="1303"/>
      <c r="F126" s="1303"/>
      <c r="I126" s="490"/>
    </row>
    <row r="127" spans="1:9">
      <c r="C127" s="402"/>
      <c r="D127" s="525"/>
      <c r="E127" s="525"/>
      <c r="F127" s="525"/>
      <c r="I127" s="490"/>
    </row>
    <row r="128" spans="1:9" ht="14.4">
      <c r="A128" s="484"/>
      <c r="B128" s="485" t="s">
        <v>307</v>
      </c>
      <c r="C128" s="402"/>
      <c r="D128" s="1303" t="s">
        <v>2050</v>
      </c>
      <c r="E128" s="1303"/>
      <c r="F128" s="1303"/>
      <c r="I128" s="490"/>
    </row>
    <row r="129" spans="1:9" ht="14.4">
      <c r="A129" s="484"/>
      <c r="B129" s="484"/>
      <c r="C129" s="402"/>
      <c r="D129" s="1303"/>
      <c r="E129" s="1303"/>
      <c r="F129" s="1303"/>
      <c r="I129" s="490"/>
    </row>
    <row r="130" spans="1:9">
      <c r="I130" s="490"/>
    </row>
    <row r="131" spans="1:9" ht="14.4">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4">
      <c r="A137" s="484"/>
      <c r="B137" s="485" t="s">
        <v>307</v>
      </c>
      <c r="D137" s="1283" t="s">
        <v>1106</v>
      </c>
      <c r="E137" s="1283"/>
      <c r="F137" s="1283"/>
      <c r="I137" s="490"/>
    </row>
    <row r="138" spans="1:9" s="417" customFormat="1" ht="13.65" customHeight="1">
      <c r="A138" s="488"/>
      <c r="B138" s="488"/>
      <c r="C138" s="488"/>
      <c r="D138" s="1283"/>
      <c r="E138" s="1283"/>
      <c r="F138" s="1283"/>
      <c r="I138" s="1155"/>
    </row>
    <row r="139" spans="1:9" ht="13.65" customHeight="1">
      <c r="D139" s="1283"/>
      <c r="E139" s="1283"/>
      <c r="F139" s="1283"/>
      <c r="I139" s="490"/>
    </row>
    <row r="140" spans="1:9" ht="13.65" customHeight="1">
      <c r="D140" s="1283"/>
      <c r="E140" s="1283"/>
      <c r="F140" s="1283"/>
      <c r="I140" s="490"/>
    </row>
    <row r="141" spans="1:9" ht="13.65" customHeight="1">
      <c r="D141" s="1283"/>
      <c r="E141" s="1283"/>
      <c r="F141" s="1283"/>
      <c r="I141" s="490"/>
    </row>
    <row r="142" spans="1:9" ht="13.65" customHeight="1">
      <c r="A142" s="489"/>
      <c r="B142" s="489"/>
      <c r="D142" s="1283"/>
      <c r="E142" s="1283"/>
      <c r="F142" s="1283"/>
      <c r="I142" s="490"/>
    </row>
    <row r="143" spans="1:9" ht="13.65" customHeight="1">
      <c r="D143" s="1283"/>
      <c r="E143" s="1283"/>
      <c r="F143" s="1283"/>
      <c r="I143" s="490"/>
    </row>
    <row r="144" spans="1:9" ht="13.65" customHeight="1">
      <c r="D144" s="1283"/>
      <c r="E144" s="1283"/>
      <c r="F144" s="1283"/>
      <c r="I144" s="490"/>
    </row>
    <row r="145" spans="2:9" ht="13.65" customHeight="1">
      <c r="D145" s="1283"/>
      <c r="E145" s="1283"/>
      <c r="F145" s="1283"/>
      <c r="I145" s="490"/>
    </row>
    <row r="146" spans="2:9" ht="13.65" customHeight="1">
      <c r="D146" s="1283"/>
      <c r="E146" s="1283"/>
      <c r="F146" s="1283"/>
      <c r="I146" s="490"/>
    </row>
    <row r="147" spans="2:9" ht="13.65" customHeight="1">
      <c r="D147" s="1283"/>
      <c r="E147" s="1283"/>
      <c r="F147" s="1283"/>
      <c r="I147" s="490"/>
    </row>
    <row r="148" spans="2:9" ht="13.65" customHeight="1">
      <c r="D148" s="1283"/>
      <c r="E148" s="1283"/>
      <c r="F148" s="1283"/>
      <c r="I148" s="490"/>
    </row>
    <row r="149" spans="2:9" ht="13.65" customHeight="1">
      <c r="D149" s="1283"/>
      <c r="E149" s="1283"/>
      <c r="F149" s="1283"/>
      <c r="I149" s="490"/>
    </row>
    <row r="150" spans="2:9" ht="13.65" customHeight="1">
      <c r="D150" s="476"/>
      <c r="E150" s="446"/>
      <c r="F150" s="446"/>
      <c r="I150" s="490"/>
    </row>
    <row r="151" spans="2:9" ht="13.65" customHeight="1">
      <c r="B151" s="485" t="s">
        <v>307</v>
      </c>
      <c r="D151" s="1283" t="s">
        <v>1178</v>
      </c>
      <c r="E151" s="1283"/>
      <c r="F151" s="1283"/>
      <c r="I151" s="490"/>
    </row>
    <row r="152" spans="2:9" ht="13.65" customHeight="1">
      <c r="D152" s="1283"/>
      <c r="E152" s="1283"/>
      <c r="F152" s="1283"/>
      <c r="I152" s="490"/>
    </row>
    <row r="153" spans="2:9" ht="13.65" customHeight="1">
      <c r="D153" s="1283"/>
      <c r="E153" s="1283"/>
      <c r="F153" s="1283"/>
      <c r="I153" s="490"/>
    </row>
    <row r="154" spans="2:9" ht="13.65" customHeight="1">
      <c r="D154" s="1283"/>
      <c r="E154" s="1283"/>
      <c r="F154" s="1283"/>
      <c r="I154" s="490"/>
    </row>
    <row r="155" spans="2:9" ht="13.65" customHeight="1">
      <c r="D155" s="1283"/>
      <c r="E155" s="1283"/>
      <c r="F155" s="1283"/>
      <c r="I155" s="490"/>
    </row>
    <row r="156" spans="2:9" ht="13.65" customHeight="1">
      <c r="D156" s="1283"/>
      <c r="E156" s="1283"/>
      <c r="F156" s="1283"/>
      <c r="I156" s="490"/>
    </row>
    <row r="157" spans="2:9" ht="13.65" customHeight="1">
      <c r="D157" s="1283"/>
      <c r="E157" s="1283"/>
      <c r="F157" s="1283"/>
      <c r="I157" s="490"/>
    </row>
    <row r="158" spans="2:9" ht="13.65" customHeight="1">
      <c r="D158" s="1283"/>
      <c r="E158" s="1283"/>
      <c r="F158" s="1283"/>
      <c r="I158" s="490"/>
    </row>
    <row r="159" spans="2:9" ht="13.65" customHeight="1">
      <c r="D159" s="1283"/>
      <c r="E159" s="1283"/>
      <c r="F159" s="1283"/>
      <c r="I159" s="490"/>
    </row>
    <row r="160" spans="2:9" ht="13.65" customHeight="1">
      <c r="D160" s="1283"/>
      <c r="E160" s="1283"/>
      <c r="F160" s="1283"/>
      <c r="I160" s="490"/>
    </row>
    <row r="161" spans="1:9" ht="13.65" customHeight="1">
      <c r="D161" s="1283"/>
      <c r="E161" s="1283"/>
      <c r="F161" s="1283"/>
      <c r="I161" s="490"/>
    </row>
    <row r="162" spans="1:9" ht="13.65" customHeight="1">
      <c r="D162" s="1283"/>
      <c r="E162" s="1283"/>
      <c r="F162" s="1283"/>
      <c r="I162" s="490"/>
    </row>
    <row r="163" spans="1:9" ht="13.65" customHeight="1">
      <c r="D163" s="1283"/>
      <c r="E163" s="1283"/>
      <c r="F163" s="1283"/>
      <c r="I163" s="490"/>
    </row>
    <row r="164" spans="1:9" ht="13.65" customHeight="1">
      <c r="D164" s="1283"/>
      <c r="E164" s="1283"/>
      <c r="F164" s="1283"/>
      <c r="I164" s="490"/>
    </row>
    <row r="165" spans="1:9" ht="13.65" customHeight="1">
      <c r="D165" s="1283"/>
      <c r="E165" s="1283"/>
      <c r="F165" s="1283"/>
      <c r="I165" s="490"/>
    </row>
    <row r="166" spans="1:9" ht="13.65" customHeight="1">
      <c r="D166" s="1283"/>
      <c r="E166" s="1283"/>
      <c r="F166" s="1283"/>
      <c r="I166" s="490"/>
    </row>
    <row r="167" spans="1:9" ht="13.65" customHeight="1">
      <c r="D167" s="1283"/>
      <c r="E167" s="1283"/>
      <c r="F167" s="1283"/>
      <c r="I167" s="490"/>
    </row>
    <row r="168" spans="1:9" ht="13.65" customHeight="1">
      <c r="D168" s="1283"/>
      <c r="E168" s="1283"/>
      <c r="F168" s="1283"/>
      <c r="I168" s="490"/>
    </row>
    <row r="169" spans="1:9" ht="13.65" customHeight="1">
      <c r="D169" s="1304" t="s">
        <v>2073</v>
      </c>
      <c r="E169" s="1304"/>
      <c r="F169" s="1304"/>
      <c r="G169" s="507"/>
      <c r="I169" s="490"/>
    </row>
    <row r="170" spans="1:9" ht="13.65" customHeight="1">
      <c r="D170" s="1295"/>
      <c r="E170" s="1295"/>
      <c r="F170" s="1295"/>
      <c r="G170" s="1295"/>
      <c r="I170" s="490"/>
    </row>
    <row r="171" spans="1:9" ht="14.4" customHeight="1">
      <c r="A171" s="489"/>
      <c r="B171" s="485" t="s">
        <v>307</v>
      </c>
      <c r="C171" s="476"/>
      <c r="D171" s="1263" t="s">
        <v>2213</v>
      </c>
      <c r="E171" s="1263"/>
      <c r="F171" s="1263"/>
      <c r="G171" s="476"/>
      <c r="I171" s="490"/>
    </row>
    <row r="172" spans="1:9" ht="14.4" customHeight="1">
      <c r="A172" s="489"/>
      <c r="B172" s="489"/>
      <c r="C172" s="476"/>
      <c r="D172" s="1263"/>
      <c r="E172" s="1263"/>
      <c r="F172" s="1263"/>
      <c r="G172" s="476"/>
      <c r="I172" s="490"/>
    </row>
    <row r="173" spans="1:9" ht="14.4" customHeight="1">
      <c r="A173" s="489"/>
      <c r="B173" s="489"/>
      <c r="C173" s="476"/>
      <c r="D173" s="1263"/>
      <c r="E173" s="1263"/>
      <c r="F173" s="1263"/>
      <c r="G173" s="476"/>
      <c r="I173" s="490"/>
    </row>
    <row r="174" spans="1:9" ht="14.4" customHeight="1">
      <c r="A174" s="489"/>
      <c r="B174" s="489"/>
      <c r="C174" s="476"/>
      <c r="D174" s="1263"/>
      <c r="E174" s="1263"/>
      <c r="F174" s="1263"/>
      <c r="G174" s="476"/>
      <c r="I174" s="490"/>
    </row>
    <row r="175" spans="1:9" ht="13.65" customHeight="1">
      <c r="A175" s="489"/>
      <c r="B175" s="489"/>
      <c r="C175" s="476"/>
      <c r="D175" s="1263"/>
      <c r="E175" s="1263"/>
      <c r="F175" s="1263"/>
      <c r="G175" s="476"/>
      <c r="I175" s="490"/>
    </row>
    <row r="176" spans="1:9" ht="13.65" customHeight="1">
      <c r="A176" s="489"/>
      <c r="B176" s="489"/>
      <c r="C176" s="476"/>
      <c r="D176" s="476"/>
      <c r="E176" s="476"/>
      <c r="F176" s="476"/>
      <c r="G176" s="476"/>
      <c r="I176" s="490"/>
    </row>
    <row r="177" spans="1:9" ht="13.65" customHeight="1">
      <c r="A177" s="489"/>
      <c r="B177" s="485" t="s">
        <v>307</v>
      </c>
      <c r="C177" s="476"/>
      <c r="D177" s="1263" t="s">
        <v>1107</v>
      </c>
      <c r="E177" s="1263"/>
      <c r="F177" s="1263"/>
      <c r="G177" s="476"/>
      <c r="I177" s="490"/>
    </row>
    <row r="178" spans="1:9" ht="13.65" customHeight="1">
      <c r="A178" s="489"/>
      <c r="B178" s="489"/>
      <c r="C178" s="476"/>
      <c r="D178" s="1263"/>
      <c r="E178" s="1263"/>
      <c r="F178" s="1263"/>
      <c r="G178" s="476"/>
      <c r="I178" s="490"/>
    </row>
    <row r="179" spans="1:9" ht="13.65" customHeight="1">
      <c r="A179" s="489"/>
      <c r="B179" s="489"/>
      <c r="C179" s="476"/>
      <c r="D179" s="1263"/>
      <c r="E179" s="1263"/>
      <c r="F179" s="1263"/>
      <c r="G179" s="476"/>
      <c r="I179" s="490"/>
    </row>
    <row r="180" spans="1:9" ht="13.65" customHeight="1">
      <c r="A180" s="489"/>
      <c r="B180" s="489"/>
      <c r="C180" s="476"/>
      <c r="D180" s="1263"/>
      <c r="E180" s="1263"/>
      <c r="F180" s="1263"/>
      <c r="G180" s="476"/>
      <c r="I180" s="490"/>
    </row>
    <row r="181" spans="1:9" ht="13.65" customHeight="1">
      <c r="D181" s="446"/>
      <c r="E181" s="446"/>
      <c r="F181" s="446"/>
      <c r="I181" s="490"/>
    </row>
    <row r="182" spans="1:9" ht="13.65" customHeight="1">
      <c r="B182" s="485" t="s">
        <v>307</v>
      </c>
      <c r="D182" s="1287" t="s">
        <v>2051</v>
      </c>
      <c r="E182" s="1287"/>
      <c r="F182" s="1287"/>
      <c r="I182" s="490"/>
    </row>
    <row r="183" spans="1:9" ht="13.65" customHeight="1">
      <c r="D183" s="1287"/>
      <c r="E183" s="1287"/>
      <c r="F183" s="1287"/>
      <c r="I183" s="490"/>
    </row>
    <row r="184" spans="1:9" ht="13.65" customHeight="1">
      <c r="D184" s="1287"/>
      <c r="E184" s="1287"/>
      <c r="F184" s="1287"/>
      <c r="I184" s="490"/>
    </row>
    <row r="185" spans="1:9" ht="13.6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6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4">
      <c r="A210" s="484"/>
      <c r="B210" s="484"/>
      <c r="D210" s="1300" t="s">
        <v>1902</v>
      </c>
      <c r="E210" s="1300"/>
      <c r="F210" s="1300"/>
      <c r="I210" s="490"/>
    </row>
    <row r="211" spans="1:9">
      <c r="D211" s="385"/>
      <c r="E211" s="1302" t="s">
        <v>1928</v>
      </c>
      <c r="F211" s="1302"/>
      <c r="I211" s="490"/>
    </row>
    <row r="212" spans="1:9">
      <c r="D212" s="447"/>
      <c r="I212" s="490"/>
    </row>
    <row r="213" spans="1:9">
      <c r="B213" s="485" t="s">
        <v>307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4">
      <c r="A217" s="484"/>
      <c r="B217" s="485" t="s">
        <v>307</v>
      </c>
      <c r="D217" s="1283" t="s">
        <v>1217</v>
      </c>
      <c r="E217" s="1283"/>
      <c r="F217" s="1283"/>
      <c r="I217" s="490"/>
    </row>
    <row r="218" spans="1:9" ht="14.4" customHeight="1">
      <c r="A218" s="484"/>
      <c r="B218" s="402"/>
      <c r="D218" s="1283"/>
      <c r="E218" s="1283"/>
      <c r="F218" s="1283"/>
      <c r="I218" s="490"/>
    </row>
    <row r="219" spans="1:9" ht="14.4">
      <c r="A219" s="484"/>
      <c r="D219" s="1283"/>
      <c r="E219" s="1283"/>
      <c r="F219" s="1283"/>
      <c r="I219" s="490"/>
    </row>
    <row r="220" spans="1:9" ht="14.4">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65" customHeight="1">
      <c r="A227" s="490"/>
      <c r="C227" s="490"/>
      <c r="D227" s="1291" t="s">
        <v>547</v>
      </c>
      <c r="E227" s="1291"/>
      <c r="F227" s="1291"/>
      <c r="I227" s="490"/>
    </row>
    <row r="228" spans="1:9" ht="14.4">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4">
      <c r="A231" s="484"/>
      <c r="B231" s="484"/>
      <c r="D231" s="1283"/>
      <c r="E231" s="1283"/>
      <c r="F231" s="1283"/>
      <c r="I231" s="490"/>
    </row>
    <row r="232" spans="1:9" ht="14.4">
      <c r="A232" s="484"/>
      <c r="B232" s="484"/>
      <c r="D232" s="445"/>
      <c r="E232" s="445"/>
      <c r="F232" s="445"/>
      <c r="I232" s="490"/>
    </row>
    <row r="233" spans="1:9" ht="14.4">
      <c r="A233" s="484"/>
      <c r="B233" s="485" t="s">
        <v>307</v>
      </c>
      <c r="D233" s="1283" t="s">
        <v>1755</v>
      </c>
      <c r="E233" s="1283"/>
      <c r="F233" s="1283"/>
      <c r="I233" s="490"/>
    </row>
    <row r="234" spans="1:9" ht="14.4">
      <c r="A234" s="484"/>
      <c r="B234" s="484"/>
      <c r="D234" s="1283"/>
      <c r="E234" s="1283"/>
      <c r="F234" s="1283"/>
      <c r="I234" s="490"/>
    </row>
    <row r="235" spans="1:9" ht="14.4">
      <c r="A235" s="484"/>
      <c r="B235" s="484"/>
      <c r="D235" s="1283"/>
      <c r="E235" s="1283"/>
      <c r="F235" s="1283"/>
      <c r="I235" s="490"/>
    </row>
    <row r="236" spans="1:9" ht="14.4">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4">
      <c r="A239" s="484"/>
      <c r="B239" s="484"/>
      <c r="D239" s="1283" t="s">
        <v>1119</v>
      </c>
      <c r="E239" s="1283"/>
      <c r="F239" s="1283"/>
      <c r="I239" s="490"/>
    </row>
    <row r="240" spans="1:9" ht="14.4">
      <c r="A240" s="484"/>
      <c r="B240" s="484"/>
      <c r="D240" s="1283"/>
      <c r="E240" s="1283"/>
      <c r="F240" s="1283"/>
      <c r="I240" s="490"/>
    </row>
    <row r="241" spans="1:9" ht="14.4">
      <c r="A241" s="484"/>
      <c r="B241" s="484"/>
      <c r="D241" s="1283"/>
      <c r="E241" s="1283"/>
      <c r="F241" s="1283"/>
      <c r="I241" s="490"/>
    </row>
    <row r="242" spans="1:9" ht="14.4">
      <c r="A242" s="484"/>
      <c r="B242" s="484"/>
      <c r="D242" s="1283"/>
      <c r="E242" s="1283"/>
      <c r="F242" s="1283"/>
      <c r="I242" s="490"/>
    </row>
    <row r="243" spans="1:9" ht="14.4">
      <c r="A243" s="484"/>
      <c r="B243" s="484"/>
      <c r="D243" s="1283"/>
      <c r="E243" s="1283"/>
      <c r="F243" s="1283"/>
      <c r="I243" s="490"/>
    </row>
    <row r="244" spans="1:9" ht="14.4">
      <c r="A244" s="484"/>
      <c r="B244" s="484"/>
      <c r="D244" s="446"/>
      <c r="E244" s="446"/>
      <c r="F244" s="446"/>
      <c r="I244" s="490"/>
    </row>
    <row r="245" spans="1:9" ht="14.4">
      <c r="A245" s="484"/>
      <c r="B245" s="485" t="s">
        <v>307</v>
      </c>
      <c r="D245" s="1283" t="s">
        <v>2053</v>
      </c>
      <c r="E245" s="1283"/>
      <c r="F245" s="1283"/>
      <c r="I245" s="490"/>
    </row>
    <row r="246" spans="1:9" ht="14.4">
      <c r="A246" s="484"/>
      <c r="B246" s="484"/>
      <c r="D246" s="1283"/>
      <c r="E246" s="1283"/>
      <c r="F246" s="1283"/>
      <c r="I246" s="490"/>
    </row>
    <row r="247" spans="1:9" ht="14.4">
      <c r="A247" s="484"/>
      <c r="B247" s="484"/>
      <c r="D247" s="1283"/>
      <c r="E247" s="1283"/>
      <c r="F247" s="1283"/>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307</v>
      </c>
      <c r="D250" s="1283" t="s">
        <v>2054</v>
      </c>
      <c r="E250" s="1283"/>
      <c r="F250" s="1283"/>
      <c r="I250" s="490"/>
    </row>
    <row r="251" spans="1:9" ht="14.4">
      <c r="A251" s="484"/>
      <c r="B251" s="484"/>
      <c r="D251" s="1283"/>
      <c r="E251" s="1283"/>
      <c r="F251" s="1283"/>
      <c r="I251" s="490"/>
    </row>
    <row r="252" spans="1:9" ht="14.4">
      <c r="A252" s="484"/>
      <c r="B252" s="484"/>
      <c r="D252" s="1283"/>
      <c r="E252" s="1283"/>
      <c r="F252" s="1283"/>
      <c r="I252" s="490"/>
    </row>
    <row r="253" spans="1:9" ht="14.4">
      <c r="A253" s="484"/>
      <c r="B253" s="484"/>
      <c r="D253" s="1283"/>
      <c r="E253" s="1283"/>
      <c r="F253" s="1283"/>
      <c r="I253" s="490"/>
    </row>
    <row r="254" spans="1:9" ht="14.4">
      <c r="A254" s="484"/>
      <c r="B254" s="484"/>
      <c r="D254" s="1283"/>
      <c r="E254" s="1283"/>
      <c r="F254" s="1283"/>
      <c r="I254" s="490"/>
    </row>
    <row r="255" spans="1:9" ht="14.4">
      <c r="A255" s="484"/>
      <c r="B255" s="484"/>
      <c r="D255" s="445"/>
      <c r="E255" s="445"/>
      <c r="F255" s="445"/>
      <c r="I255" s="490"/>
    </row>
    <row r="256" spans="1:9" ht="14.4">
      <c r="A256" s="484"/>
      <c r="B256" s="485" t="s">
        <v>307</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307</v>
      </c>
      <c r="D259" s="1283" t="s">
        <v>1120</v>
      </c>
      <c r="E259" s="1283"/>
      <c r="F259" s="1283"/>
      <c r="I259" s="490"/>
    </row>
    <row r="260" spans="1:9" ht="14.4">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 customHeight="1">
      <c r="A267" s="484"/>
      <c r="B267" s="485" t="s">
        <v>307</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4">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4">
      <c r="A290" s="484"/>
      <c r="B290" s="485" t="s">
        <v>307</v>
      </c>
      <c r="D290" s="1283" t="s">
        <v>1126</v>
      </c>
      <c r="E290" s="1283"/>
      <c r="F290" s="1283"/>
      <c r="I290" s="490"/>
    </row>
    <row r="291" spans="1:9" ht="14.4">
      <c r="A291" s="484"/>
      <c r="B291" s="484"/>
      <c r="D291" s="1283"/>
      <c r="E291" s="1283"/>
      <c r="F291" s="1283"/>
      <c r="I291" s="490"/>
    </row>
    <row r="292" spans="1:9">
      <c r="D292" s="446"/>
      <c r="E292" s="446"/>
      <c r="F292" s="446"/>
      <c r="I292" s="490"/>
    </row>
    <row r="293" spans="1:9" ht="14.4">
      <c r="A293" s="484"/>
      <c r="B293" s="485" t="s">
        <v>307</v>
      </c>
      <c r="D293" s="1283" t="s">
        <v>1127</v>
      </c>
      <c r="E293" s="1283"/>
      <c r="F293" s="1283"/>
      <c r="I293" s="490"/>
    </row>
    <row r="294" spans="1:9" ht="14.4">
      <c r="A294" s="484"/>
      <c r="B294" s="484"/>
      <c r="D294" s="1283"/>
      <c r="E294" s="1283"/>
      <c r="F294" s="1283"/>
      <c r="I294" s="490"/>
    </row>
    <row r="295" spans="1:9" ht="14.4">
      <c r="A295" s="484"/>
      <c r="B295" s="484"/>
      <c r="D295" s="1283"/>
      <c r="E295" s="1283"/>
      <c r="F295" s="1283"/>
      <c r="I295" s="490"/>
    </row>
    <row r="296" spans="1:9">
      <c r="D296" s="446"/>
      <c r="E296" s="446"/>
      <c r="F296" s="446"/>
      <c r="I296" s="490"/>
    </row>
    <row r="297" spans="1:9" ht="14.4">
      <c r="A297" s="484"/>
      <c r="B297" s="485" t="s">
        <v>307</v>
      </c>
      <c r="D297" s="1283" t="s">
        <v>1128</v>
      </c>
      <c r="E297" s="1283"/>
      <c r="F297" s="1283"/>
      <c r="I297" s="490"/>
    </row>
    <row r="298" spans="1:9" ht="14.4">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4">
      <c r="A306" s="484"/>
      <c r="B306" s="484"/>
      <c r="D306" s="494"/>
      <c r="E306" s="495"/>
      <c r="F306" s="495"/>
      <c r="I306" s="490"/>
    </row>
    <row r="307" spans="1:9" ht="13.65" customHeight="1">
      <c r="B307" s="485" t="s">
        <v>307</v>
      </c>
      <c r="D307" s="1293" t="s">
        <v>1220</v>
      </c>
      <c r="E307" s="1293"/>
      <c r="F307" s="1293"/>
      <c r="I307" s="490"/>
    </row>
    <row r="308" spans="1:9" ht="14.4">
      <c r="A308" s="484"/>
      <c r="B308" s="484"/>
      <c r="D308" s="1293"/>
      <c r="E308" s="1293"/>
      <c r="F308" s="1293"/>
      <c r="I308" s="490"/>
    </row>
    <row r="309" spans="1:9" ht="14.4">
      <c r="A309" s="484"/>
      <c r="B309" s="484"/>
      <c r="D309" s="1293"/>
      <c r="E309" s="1293"/>
      <c r="F309" s="1293"/>
      <c r="I309" s="490"/>
    </row>
    <row r="310" spans="1:9" ht="14.4">
      <c r="A310" s="484"/>
      <c r="B310" s="484"/>
      <c r="D310" s="1293"/>
      <c r="E310" s="1293"/>
      <c r="F310" s="1293"/>
      <c r="I310" s="490"/>
    </row>
    <row r="311" spans="1:9" ht="14.4">
      <c r="A311" s="484"/>
      <c r="B311" s="484"/>
      <c r="D311" s="1293"/>
      <c r="E311" s="1293"/>
      <c r="F311" s="1293"/>
      <c r="I311" s="490"/>
    </row>
    <row r="312" spans="1:9" ht="14.4">
      <c r="A312" s="484"/>
      <c r="B312" s="484"/>
      <c r="D312" s="494"/>
      <c r="E312" s="495"/>
      <c r="F312" s="495"/>
      <c r="I312" s="490"/>
    </row>
    <row r="313" spans="1:9" ht="13.65" customHeight="1">
      <c r="B313" s="485" t="s">
        <v>307</v>
      </c>
      <c r="D313" s="1293" t="s">
        <v>1131</v>
      </c>
      <c r="E313" s="1293"/>
      <c r="F313" s="1293"/>
      <c r="I313" s="490"/>
    </row>
    <row r="314" spans="1:9">
      <c r="D314" s="1293"/>
      <c r="E314" s="1293"/>
      <c r="F314" s="1293"/>
      <c r="I314" s="490"/>
    </row>
    <row r="315" spans="1:9" ht="14.4">
      <c r="A315" s="484"/>
      <c r="B315" s="484"/>
      <c r="D315" s="494"/>
      <c r="E315" s="495"/>
      <c r="F315" s="495"/>
      <c r="I315" s="490"/>
    </row>
    <row r="316" spans="1:9">
      <c r="B316" s="485" t="s">
        <v>307</v>
      </c>
      <c r="D316" s="1284" t="s">
        <v>1132</v>
      </c>
      <c r="E316" s="1284"/>
      <c r="F316" s="1284"/>
      <c r="I316" s="490"/>
    </row>
    <row r="317" spans="1:9">
      <c r="E317" s="446"/>
      <c r="F317" s="446"/>
      <c r="I317" s="490"/>
    </row>
    <row r="318" spans="1:9" ht="14.4">
      <c r="A318" s="484"/>
      <c r="B318" s="485" t="s">
        <v>307</v>
      </c>
      <c r="D318" s="1283" t="s">
        <v>2245</v>
      </c>
      <c r="E318" s="1283"/>
      <c r="F318" s="1283"/>
      <c r="I318" s="490"/>
    </row>
    <row r="319" spans="1:9" ht="14.4">
      <c r="A319" s="484"/>
      <c r="B319" s="484"/>
      <c r="D319" s="1283"/>
      <c r="E319" s="1283"/>
      <c r="F319" s="1283"/>
      <c r="I319" s="490"/>
    </row>
    <row r="320" spans="1:9" ht="14.4">
      <c r="A320" s="484"/>
      <c r="B320" s="484"/>
      <c r="D320" s="1283"/>
      <c r="E320" s="1283"/>
      <c r="F320" s="1283"/>
      <c r="I320" s="490"/>
    </row>
    <row r="321" spans="1:9" ht="14.4">
      <c r="A321" s="484"/>
      <c r="B321" s="484"/>
      <c r="D321" s="1283"/>
      <c r="E321" s="1283"/>
      <c r="F321" s="1283"/>
      <c r="I321" s="490"/>
    </row>
    <row r="322" spans="1:9" ht="14.4">
      <c r="A322" s="484"/>
      <c r="B322" s="484"/>
      <c r="D322" s="1283"/>
      <c r="E322" s="1283"/>
      <c r="F322" s="1283"/>
      <c r="I322" s="490"/>
    </row>
    <row r="323" spans="1:9" ht="14.4">
      <c r="A323" s="484"/>
      <c r="B323" s="484"/>
      <c r="D323" s="1283"/>
      <c r="E323" s="1283"/>
      <c r="F323" s="1283"/>
      <c r="I323" s="490"/>
    </row>
    <row r="324" spans="1:9" ht="14.4">
      <c r="A324" s="484"/>
      <c r="B324" s="484"/>
      <c r="D324" s="1283"/>
      <c r="E324" s="1283"/>
      <c r="F324" s="1283"/>
      <c r="I324" s="490"/>
    </row>
    <row r="325" spans="1:9" ht="14.4">
      <c r="A325" s="484"/>
      <c r="B325" s="484"/>
      <c r="D325" s="1283"/>
      <c r="E325" s="1283"/>
      <c r="F325" s="1283"/>
      <c r="I325" s="490"/>
    </row>
    <row r="326" spans="1:9" ht="14.4">
      <c r="A326" s="484"/>
      <c r="B326" s="484"/>
      <c r="D326" s="1283"/>
      <c r="E326" s="1283"/>
      <c r="F326" s="1283"/>
      <c r="I326" s="490"/>
    </row>
    <row r="327" spans="1:9" ht="14.4">
      <c r="A327" s="484"/>
      <c r="B327" s="484"/>
      <c r="D327" s="1283"/>
      <c r="E327" s="1283"/>
      <c r="F327" s="1283"/>
      <c r="I327" s="490"/>
    </row>
    <row r="328" spans="1:9" ht="14.4">
      <c r="A328" s="484"/>
      <c r="B328" s="484"/>
      <c r="D328" s="1283"/>
      <c r="E328" s="1283"/>
      <c r="F328" s="1283"/>
      <c r="I328" s="490"/>
    </row>
    <row r="329" spans="1:9" ht="14.4">
      <c r="A329" s="484"/>
      <c r="B329" s="484"/>
      <c r="D329" s="1283"/>
      <c r="E329" s="1283"/>
      <c r="F329" s="1283"/>
      <c r="I329" s="490"/>
    </row>
    <row r="330" spans="1:9" ht="14.4">
      <c r="A330" s="484"/>
      <c r="B330" s="484"/>
      <c r="D330" s="1283"/>
      <c r="E330" s="1283"/>
      <c r="F330" s="1283"/>
      <c r="I330" s="490"/>
    </row>
    <row r="331" spans="1:9" ht="14.4">
      <c r="A331" s="484"/>
      <c r="B331" s="484"/>
      <c r="D331" s="1283"/>
      <c r="E331" s="1283"/>
      <c r="F331" s="1283"/>
      <c r="I331" s="490"/>
    </row>
    <row r="332" spans="1:9" ht="14.4">
      <c r="A332" s="484"/>
      <c r="B332" s="484"/>
      <c r="D332" s="1283"/>
      <c r="E332" s="1283"/>
      <c r="F332" s="1283"/>
      <c r="I332" s="490"/>
    </row>
    <row r="333" spans="1:9">
      <c r="D333" s="446"/>
      <c r="E333" s="446"/>
      <c r="F333" s="446"/>
      <c r="I333" s="490"/>
    </row>
    <row r="334" spans="1:9" ht="14.4">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6" t="s">
        <v>980</v>
      </c>
      <c r="E351" s="1296"/>
      <c r="F351" s="1296"/>
      <c r="G351" s="1027"/>
      <c r="H351" s="1027"/>
      <c r="I351" s="1156"/>
    </row>
    <row r="352" spans="1:9" ht="13.8"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4">
      <c r="A355" s="484"/>
      <c r="B355" s="485" t="s">
        <v>307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4">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5"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4">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6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 customHeight="1">
      <c r="A423" s="484"/>
      <c r="B423" s="485" t="s">
        <v>307</v>
      </c>
      <c r="D423" s="1263" t="s">
        <v>1882</v>
      </c>
      <c r="E423" s="1263"/>
      <c r="F423" s="1263"/>
      <c r="I423" s="490"/>
    </row>
    <row r="424" spans="1:9" ht="14.4" customHeight="1">
      <c r="A424" s="484"/>
      <c r="D424" s="1263"/>
      <c r="E424" s="1263"/>
      <c r="F424" s="1263"/>
      <c r="I424" s="490"/>
    </row>
    <row r="425" spans="1:9" ht="14.4" customHeight="1">
      <c r="A425" s="484"/>
      <c r="D425" s="1263"/>
      <c r="E425" s="1263"/>
      <c r="F425" s="1263"/>
      <c r="I425" s="490"/>
    </row>
    <row r="426" spans="1:9" ht="14.4" customHeight="1">
      <c r="A426" s="484"/>
      <c r="D426" s="1263"/>
      <c r="E426" s="1263"/>
      <c r="F426" s="1263"/>
      <c r="I426" s="490"/>
    </row>
    <row r="427" spans="1:9" ht="14.4" customHeight="1">
      <c r="A427" s="484"/>
      <c r="D427" s="1263"/>
      <c r="E427" s="1263"/>
      <c r="F427" s="1263"/>
      <c r="I427" s="490"/>
    </row>
    <row r="428" spans="1:9" ht="14.4" customHeight="1">
      <c r="A428" s="484"/>
      <c r="D428" s="385"/>
      <c r="E428" s="385"/>
      <c r="F428" s="385"/>
      <c r="I428" s="490"/>
    </row>
    <row r="429" spans="1:9" ht="13.65" customHeight="1">
      <c r="A429" s="484"/>
      <c r="B429" s="485" t="s">
        <v>307</v>
      </c>
      <c r="C429" s="476"/>
      <c r="D429" s="1263" t="s">
        <v>1241</v>
      </c>
      <c r="E429" s="1263"/>
      <c r="F429" s="1263"/>
      <c r="I429" s="490"/>
    </row>
    <row r="430" spans="1:9" ht="14.4">
      <c r="A430" s="497"/>
      <c r="B430" s="497"/>
      <c r="C430" s="476"/>
      <c r="D430" s="1263"/>
      <c r="E430" s="1263"/>
      <c r="F430" s="1263"/>
      <c r="I430" s="490"/>
    </row>
    <row r="431" spans="1:9" ht="14.4">
      <c r="A431" s="497"/>
      <c r="B431" s="497"/>
      <c r="C431" s="476"/>
      <c r="D431" s="1263"/>
      <c r="E431" s="1263"/>
      <c r="F431" s="1263"/>
      <c r="I431" s="490"/>
    </row>
    <row r="432" spans="1:9" ht="14.4">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4">
      <c r="A435" s="484"/>
      <c r="B435" s="485" t="s">
        <v>307</v>
      </c>
      <c r="C435" s="487"/>
      <c r="D435" s="1283" t="s">
        <v>2059</v>
      </c>
      <c r="E435" s="1283"/>
      <c r="F435" s="1283"/>
      <c r="I435" s="490"/>
    </row>
    <row r="436" spans="1:9" ht="14.4">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65" customHeight="1">
      <c r="D465" s="1283"/>
      <c r="E465" s="1283"/>
      <c r="F465" s="1283"/>
      <c r="I465" s="490"/>
    </row>
    <row r="466" spans="1:9">
      <c r="D466" s="446"/>
      <c r="E466" s="446"/>
      <c r="F466" s="446"/>
      <c r="I466" s="490"/>
    </row>
    <row r="467" spans="1:9" ht="14.4">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4">
      <c r="B471" s="485" t="s">
        <v>307</v>
      </c>
      <c r="C471" s="484"/>
      <c r="D471" s="1283" t="s">
        <v>1198</v>
      </c>
      <c r="E471" s="1283"/>
      <c r="F471" s="1283"/>
      <c r="I471" s="490"/>
    </row>
    <row r="472" spans="1:9">
      <c r="D472" s="1283"/>
      <c r="E472" s="1283"/>
      <c r="F472" s="1283"/>
      <c r="I472" s="490"/>
    </row>
    <row r="473" spans="1:9">
      <c r="D473" s="446"/>
      <c r="E473" s="446"/>
      <c r="F473" s="446"/>
      <c r="I473" s="490"/>
    </row>
    <row r="474" spans="1:9" ht="14.4">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4">
      <c r="A499" s="484"/>
      <c r="B499" s="484"/>
      <c r="D499" s="1295" t="s">
        <v>1142</v>
      </c>
      <c r="E499" s="1295"/>
      <c r="F499" s="1295"/>
      <c r="I499" s="490"/>
    </row>
    <row r="500" spans="1:9" ht="14.4">
      <c r="A500" s="484"/>
      <c r="B500" s="484"/>
      <c r="D500" s="447"/>
      <c r="I500" s="490"/>
    </row>
    <row r="501" spans="1:9" ht="14.4">
      <c r="A501" s="484"/>
      <c r="B501" s="485" t="s">
        <v>307</v>
      </c>
      <c r="D501" s="1263" t="s">
        <v>1143</v>
      </c>
      <c r="E501" s="1263"/>
      <c r="F501" s="1263"/>
      <c r="I501" s="490"/>
    </row>
    <row r="502" spans="1:9" ht="14.4">
      <c r="A502" s="484"/>
      <c r="B502" s="484"/>
      <c r="D502" s="1263"/>
      <c r="E502" s="1263"/>
      <c r="F502" s="1263"/>
      <c r="I502" s="490"/>
    </row>
    <row r="503" spans="1:9" ht="14.4">
      <c r="A503" s="484"/>
      <c r="B503" s="484"/>
      <c r="D503" s="446"/>
      <c r="I503" s="490"/>
    </row>
    <row r="504" spans="1:9" ht="12.75" customHeight="1">
      <c r="B504" s="485" t="s">
        <v>307</v>
      </c>
      <c r="D504" s="1287" t="s">
        <v>1274</v>
      </c>
      <c r="E504" s="1287"/>
      <c r="F504" s="1287"/>
      <c r="I504" s="490"/>
    </row>
    <row r="505" spans="1:9" ht="14.4">
      <c r="A505" s="484"/>
      <c r="D505" s="1287"/>
      <c r="E505" s="1287"/>
      <c r="F505" s="1287"/>
      <c r="I505" s="490"/>
    </row>
    <row r="506" spans="1:9" ht="14.4">
      <c r="A506" s="484"/>
      <c r="B506" s="484"/>
      <c r="D506" s="1287"/>
      <c r="E506" s="1287"/>
      <c r="F506" s="1287"/>
      <c r="I506" s="490"/>
    </row>
    <row r="507" spans="1:9" ht="14.4">
      <c r="A507" s="484"/>
      <c r="B507" s="484"/>
      <c r="D507" s="1287"/>
      <c r="E507" s="1287"/>
      <c r="F507" s="1287"/>
      <c r="I507" s="490"/>
    </row>
    <row r="508" spans="1:9" ht="14.4">
      <c r="A508" s="484"/>
      <c r="D508" s="520"/>
      <c r="E508" s="520"/>
      <c r="F508" s="520"/>
      <c r="I508" s="490"/>
    </row>
    <row r="509" spans="1:9" ht="14.4">
      <c r="A509" s="484"/>
      <c r="B509" s="485" t="s">
        <v>307</v>
      </c>
      <c r="D509" s="1284" t="s">
        <v>1144</v>
      </c>
      <c r="E509" s="1284"/>
      <c r="F509" s="1284"/>
      <c r="I509" s="490"/>
    </row>
    <row r="510" spans="1:9" ht="14.4">
      <c r="A510" s="484"/>
      <c r="B510" s="484"/>
      <c r="D510" s="446"/>
      <c r="I510" s="490"/>
    </row>
    <row r="511" spans="1:9" ht="14.4">
      <c r="A511" s="484"/>
      <c r="B511" s="485" t="s">
        <v>307</v>
      </c>
      <c r="D511" s="1283" t="s">
        <v>1145</v>
      </c>
      <c r="E511" s="1283"/>
      <c r="F511" s="1283"/>
      <c r="I511" s="490"/>
    </row>
    <row r="512" spans="1:9" ht="14.4">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4">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65"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65" customHeight="1">
      <c r="A548" s="484"/>
      <c r="B548" s="485" t="s">
        <v>307</v>
      </c>
      <c r="C548" s="487"/>
      <c r="D548" s="1284" t="s">
        <v>885</v>
      </c>
      <c r="E548" s="1284"/>
      <c r="F548" s="1284"/>
      <c r="I548" s="490"/>
    </row>
    <row r="549" spans="1:9" ht="13.65" customHeight="1">
      <c r="A549" s="487"/>
      <c r="B549" s="487"/>
      <c r="C549" s="487"/>
      <c r="D549" s="446"/>
      <c r="I549" s="490"/>
    </row>
    <row r="550" spans="1:9" ht="14.4">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4">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4">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4">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4">
      <c r="A563" s="484"/>
      <c r="B563" s="485" t="s">
        <v>307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4">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4">
      <c r="A569" s="484"/>
      <c r="B569" s="485" t="s">
        <v>307</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4">
      <c r="A578" s="484"/>
      <c r="B578" s="485" t="s">
        <v>307</v>
      </c>
      <c r="C578" s="487"/>
      <c r="D578" s="1283" t="s">
        <v>2063</v>
      </c>
      <c r="E578" s="1283"/>
      <c r="F578" s="1283"/>
      <c r="I578" s="490"/>
    </row>
    <row r="579" spans="1:9" ht="14.4">
      <c r="A579" s="484"/>
      <c r="B579" s="484"/>
      <c r="C579" s="487"/>
      <c r="D579" s="1283"/>
      <c r="E579" s="1283"/>
      <c r="F579" s="1283"/>
      <c r="I579" s="490"/>
    </row>
    <row r="580" spans="1:9" ht="14.4">
      <c r="A580" s="484"/>
      <c r="B580" s="484"/>
      <c r="C580" s="487"/>
      <c r="D580" s="1283"/>
      <c r="E580" s="1283"/>
      <c r="F580" s="1283"/>
      <c r="I580" s="490"/>
    </row>
    <row r="581" spans="1:9" ht="14.4">
      <c r="A581" s="484"/>
      <c r="B581" s="484"/>
      <c r="C581" s="487"/>
      <c r="D581" s="1283"/>
      <c r="E581" s="1283"/>
      <c r="F581" s="1283"/>
      <c r="I581" s="490"/>
    </row>
    <row r="582" spans="1:9" ht="14.4">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4">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4">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4">
      <c r="A643" s="484"/>
      <c r="B643" s="485" t="s">
        <v>307</v>
      </c>
      <c r="C643" s="487"/>
      <c r="D643" s="1283" t="s">
        <v>1226</v>
      </c>
      <c r="E643" s="1283"/>
      <c r="F643" s="1283"/>
      <c r="I643" s="490"/>
    </row>
    <row r="644" spans="1:9" ht="14.4">
      <c r="A644" s="484"/>
      <c r="B644" s="484"/>
      <c r="C644" s="487"/>
      <c r="D644" s="1283"/>
      <c r="E644" s="1283"/>
      <c r="F644" s="1283"/>
      <c r="I644" s="490"/>
    </row>
    <row r="645" spans="1:9" ht="14.4">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ht="14.4">
      <c r="A659" s="483"/>
      <c r="B659" s="484"/>
      <c r="C659" s="487"/>
      <c r="D659" s="1283"/>
      <c r="E659" s="1283"/>
      <c r="F659" s="1283"/>
      <c r="I659" s="490"/>
    </row>
    <row r="660" spans="1:9" ht="14.4">
      <c r="A660" s="483"/>
      <c r="B660" s="484"/>
      <c r="C660" s="487"/>
      <c r="D660" s="1283"/>
      <c r="E660" s="1283"/>
      <c r="F660" s="1283"/>
      <c r="I660" s="490"/>
    </row>
    <row r="661" spans="1:9" ht="14.4">
      <c r="A661" s="483"/>
      <c r="B661" s="484"/>
      <c r="C661" s="487"/>
      <c r="D661" s="1283"/>
      <c r="E661" s="1283"/>
      <c r="F661" s="1283"/>
      <c r="I661" s="490"/>
    </row>
    <row r="662" spans="1:9" ht="14.4">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ht="14.4">
      <c r="A665" s="483"/>
      <c r="B665" s="484"/>
      <c r="C665" s="487"/>
      <c r="D665" s="1283"/>
      <c r="E665" s="1283"/>
      <c r="F665" s="1283"/>
      <c r="I665" s="490"/>
    </row>
    <row r="666" spans="1:9" ht="14.4">
      <c r="A666" s="484"/>
      <c r="B666" s="484"/>
      <c r="C666" s="487"/>
      <c r="D666" s="1283"/>
      <c r="E666" s="1283"/>
      <c r="F666" s="1283"/>
      <c r="I666" s="490"/>
    </row>
    <row r="667" spans="1:9" ht="14.4">
      <c r="A667" s="484"/>
      <c r="B667" s="484"/>
      <c r="C667" s="487"/>
      <c r="D667" s="1283"/>
      <c r="E667" s="1283"/>
      <c r="F667" s="1283"/>
      <c r="I667" s="490"/>
    </row>
    <row r="668" spans="1:9" ht="14.4">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4">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4">
      <c r="A694" s="484"/>
      <c r="B694" s="485" t="s">
        <v>307</v>
      </c>
      <c r="C694" s="483"/>
      <c r="D694" s="1284" t="s">
        <v>918</v>
      </c>
      <c r="E694" s="1284"/>
      <c r="F694" s="1284"/>
      <c r="H694" s="501"/>
      <c r="I694" s="483"/>
      <c r="J694" s="501"/>
      <c r="K694" s="501"/>
    </row>
    <row r="695" spans="1:11" ht="14.4">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307</v>
      </c>
      <c r="C698" s="483"/>
      <c r="D698" s="1284" t="s">
        <v>2469</v>
      </c>
      <c r="E698" s="1284"/>
      <c r="F698" s="1284"/>
      <c r="H698" s="501"/>
      <c r="I698" s="483"/>
      <c r="J698" s="501"/>
      <c r="K698" s="501"/>
    </row>
    <row r="699" spans="1:11" ht="14.4">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4">
      <c r="A702" s="484"/>
      <c r="B702" s="485" t="s">
        <v>307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4">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4">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4">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6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4">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4">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4">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4">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4">
      <c r="A794" s="175"/>
      <c r="B794" s="485" t="s">
        <v>307</v>
      </c>
      <c r="C794" s="989"/>
      <c r="D794" s="1316" t="s">
        <v>1759</v>
      </c>
      <c r="E794" s="1316"/>
      <c r="F794" s="1316"/>
      <c r="G794" s="988"/>
      <c r="I794" s="483"/>
    </row>
    <row r="795" spans="1:9" ht="14.4">
      <c r="A795" s="175"/>
      <c r="B795" s="175"/>
      <c r="C795" s="989"/>
      <c r="D795" s="1316"/>
      <c r="E795" s="1316"/>
      <c r="F795" s="1316"/>
      <c r="G795" s="988"/>
      <c r="I795" s="490"/>
    </row>
    <row r="796" spans="1:9" ht="14.4">
      <c r="A796" s="175"/>
      <c r="B796" s="175"/>
      <c r="C796" s="989"/>
      <c r="D796" s="1316"/>
      <c r="E796" s="1316"/>
      <c r="F796" s="1316"/>
      <c r="G796" s="988"/>
      <c r="I796" s="490"/>
    </row>
    <row r="797" spans="1:9" ht="14.4">
      <c r="A797" s="175"/>
      <c r="B797" s="175"/>
      <c r="C797" s="989"/>
      <c r="D797" s="118"/>
      <c r="E797" s="3"/>
      <c r="F797" s="3"/>
      <c r="G797" s="988"/>
      <c r="I797" s="490"/>
    </row>
    <row r="798" spans="1:9" ht="14.4">
      <c r="A798" s="175"/>
      <c r="B798" s="485" t="s">
        <v>307</v>
      </c>
      <c r="C798" s="989"/>
      <c r="D798" s="1316" t="s">
        <v>1760</v>
      </c>
      <c r="E798" s="1316"/>
      <c r="F798" s="1316"/>
      <c r="G798" s="988"/>
      <c r="I798" s="483"/>
    </row>
    <row r="799" spans="1:9" ht="14.4">
      <c r="A799" s="175"/>
      <c r="B799" s="175"/>
      <c r="C799" s="989"/>
      <c r="D799" s="1316"/>
      <c r="E799" s="1316"/>
      <c r="F799" s="1316"/>
      <c r="G799" s="988"/>
      <c r="I799" s="490"/>
    </row>
    <row r="800" spans="1:9" ht="14.4">
      <c r="A800" s="175"/>
      <c r="B800" s="175"/>
      <c r="C800" s="989"/>
      <c r="D800" s="1316"/>
      <c r="E800" s="1316"/>
      <c r="F800" s="1316"/>
      <c r="G800" s="988"/>
      <c r="I800" s="490"/>
    </row>
    <row r="801" spans="1:9" ht="14.4">
      <c r="A801" s="175"/>
      <c r="B801" s="175"/>
      <c r="C801" s="989"/>
      <c r="D801" s="1316"/>
      <c r="E801" s="1316"/>
      <c r="F801" s="1316"/>
      <c r="G801" s="988"/>
      <c r="I801" s="490"/>
    </row>
    <row r="802" spans="1:9" ht="14.4">
      <c r="A802" s="175"/>
      <c r="B802" s="175"/>
      <c r="C802" s="989"/>
      <c r="D802" s="1316"/>
      <c r="E802" s="1316"/>
      <c r="F802" s="1316"/>
      <c r="G802" s="988"/>
      <c r="I802" s="490"/>
    </row>
    <row r="803" spans="1:9" ht="14.4">
      <c r="A803" s="175"/>
      <c r="B803" s="175"/>
      <c r="C803" s="989"/>
      <c r="D803" s="1316"/>
      <c r="E803" s="1316"/>
      <c r="F803" s="1316"/>
      <c r="G803" s="988"/>
      <c r="I803" s="490"/>
    </row>
    <row r="804" spans="1:9" ht="14.4">
      <c r="A804" s="175"/>
      <c r="B804" s="175"/>
      <c r="C804" s="989"/>
      <c r="D804" s="1316" t="s">
        <v>1803</v>
      </c>
      <c r="E804" s="1316"/>
      <c r="F804" s="1316"/>
      <c r="G804" s="988"/>
      <c r="I804" s="490"/>
    </row>
    <row r="805" spans="1:9" ht="14.4">
      <c r="A805" s="175"/>
      <c r="B805" s="175"/>
      <c r="C805" s="989"/>
      <c r="D805" s="1316"/>
      <c r="E805" s="1316"/>
      <c r="F805" s="1316"/>
      <c r="G805" s="988"/>
      <c r="I805" s="490"/>
    </row>
    <row r="806" spans="1:9" ht="14.4">
      <c r="A806" s="175"/>
      <c r="B806" s="175"/>
      <c r="C806" s="989"/>
      <c r="D806" s="1316"/>
      <c r="E806" s="1316"/>
      <c r="F806" s="1316"/>
      <c r="G806" s="988"/>
      <c r="I806" s="490"/>
    </row>
    <row r="807" spans="1:9" ht="14.4">
      <c r="A807" s="175"/>
      <c r="B807" s="354"/>
      <c r="C807" s="989"/>
      <c r="D807" s="990"/>
      <c r="E807" s="990"/>
      <c r="F807" s="990"/>
      <c r="G807" s="988"/>
      <c r="I807" s="490"/>
    </row>
    <row r="808" spans="1:9" ht="14.4">
      <c r="A808" s="175"/>
      <c r="B808" s="485" t="s">
        <v>307</v>
      </c>
      <c r="C808" s="989"/>
      <c r="D808" s="1316" t="s">
        <v>1761</v>
      </c>
      <c r="E808" s="1316"/>
      <c r="F808" s="1316"/>
      <c r="G808" s="988"/>
      <c r="I808" s="483"/>
    </row>
    <row r="809" spans="1:9" ht="14.4">
      <c r="A809" s="175"/>
      <c r="B809" s="175"/>
      <c r="C809" s="989"/>
      <c r="D809" s="1316"/>
      <c r="E809" s="1316"/>
      <c r="F809" s="1316"/>
      <c r="G809" s="988"/>
      <c r="I809" s="490"/>
    </row>
    <row r="810" spans="1:9" ht="14.4">
      <c r="A810" s="175"/>
      <c r="B810" s="175"/>
      <c r="C810" s="989"/>
      <c r="D810" s="1316"/>
      <c r="E810" s="1316"/>
      <c r="F810" s="1316"/>
      <c r="G810" s="988"/>
      <c r="I810" s="490"/>
    </row>
    <row r="811" spans="1:9" ht="14.4">
      <c r="A811" s="175"/>
      <c r="B811" s="175"/>
      <c r="C811" s="989"/>
      <c r="D811" s="1316"/>
      <c r="E811" s="1316"/>
      <c r="F811" s="1316"/>
      <c r="G811" s="988"/>
      <c r="I811" s="490"/>
    </row>
    <row r="812" spans="1:9" ht="14.4">
      <c r="A812" s="175"/>
      <c r="B812" s="175"/>
      <c r="C812" s="989"/>
      <c r="D812" s="1316"/>
      <c r="E812" s="1316"/>
      <c r="F812" s="1316"/>
      <c r="G812" s="988"/>
      <c r="I812" s="490"/>
    </row>
    <row r="813" spans="1:9" ht="14.4">
      <c r="A813" s="175"/>
      <c r="B813" s="175"/>
      <c r="C813" s="989"/>
      <c r="D813" s="1316"/>
      <c r="E813" s="1316"/>
      <c r="F813" s="1316"/>
      <c r="G813" s="988"/>
      <c r="I813" s="490"/>
    </row>
    <row r="814" spans="1:9" ht="14.4">
      <c r="A814" s="175"/>
      <c r="B814" s="175"/>
      <c r="C814" s="989"/>
      <c r="D814" s="982"/>
      <c r="E814" s="982"/>
      <c r="F814" s="982"/>
      <c r="G814" s="988"/>
      <c r="I814" s="490"/>
    </row>
    <row r="815" spans="1:9" ht="14.4">
      <c r="A815" s="175"/>
      <c r="B815" s="485" t="s">
        <v>307</v>
      </c>
      <c r="C815" s="989"/>
      <c r="D815" s="1316" t="s">
        <v>1762</v>
      </c>
      <c r="E815" s="1316"/>
      <c r="F815" s="1316"/>
      <c r="G815" s="988"/>
      <c r="I815" s="483"/>
    </row>
    <row r="816" spans="1:9" ht="14.4">
      <c r="A816" s="175"/>
      <c r="B816" s="175"/>
      <c r="C816" s="989"/>
      <c r="D816" s="1316"/>
      <c r="E816" s="1316"/>
      <c r="F816" s="1316"/>
      <c r="G816" s="988"/>
      <c r="I816" s="490"/>
    </row>
    <row r="817" spans="1:9" ht="14.4">
      <c r="A817" s="175"/>
      <c r="B817" s="175"/>
      <c r="C817" s="989"/>
      <c r="D817" s="1316"/>
      <c r="E817" s="1316"/>
      <c r="F817" s="1316"/>
      <c r="G817" s="988"/>
      <c r="I817" s="490"/>
    </row>
    <row r="818" spans="1:9" ht="14.4">
      <c r="A818" s="175"/>
      <c r="B818" s="175"/>
      <c r="C818" s="989"/>
      <c r="D818" s="1316"/>
      <c r="E818" s="1316"/>
      <c r="F818" s="1316"/>
      <c r="G818" s="988"/>
      <c r="I818" s="490"/>
    </row>
    <row r="819" spans="1:9" ht="14.4">
      <c r="A819" s="175"/>
      <c r="B819" s="175"/>
      <c r="C819" s="989"/>
      <c r="D819" s="1316"/>
      <c r="E819" s="1316"/>
      <c r="F819" s="1316"/>
      <c r="G819" s="988"/>
      <c r="I819" s="490"/>
    </row>
    <row r="820" spans="1:9" ht="14.4">
      <c r="A820" s="175"/>
      <c r="B820" s="175"/>
      <c r="C820" s="989"/>
      <c r="D820" s="1316"/>
      <c r="E820" s="1316"/>
      <c r="F820" s="1316"/>
      <c r="G820" s="988"/>
      <c r="I820" s="490"/>
    </row>
    <row r="821" spans="1:9" ht="14.4">
      <c r="A821" s="175"/>
      <c r="B821" s="175"/>
      <c r="C821" s="989"/>
      <c r="D821" s="982"/>
      <c r="E821" s="982"/>
      <c r="F821" s="982"/>
      <c r="G821" s="988"/>
      <c r="I821" s="490"/>
    </row>
    <row r="822" spans="1:9" ht="14.4">
      <c r="A822" s="175"/>
      <c r="B822" s="485" t="s">
        <v>307</v>
      </c>
      <c r="C822" s="989"/>
      <c r="D822" s="1288" t="s">
        <v>1763</v>
      </c>
      <c r="E822" s="1288"/>
      <c r="F822" s="1288"/>
      <c r="G822" s="988"/>
      <c r="I822" s="483"/>
    </row>
    <row r="823" spans="1:9" ht="14.4">
      <c r="A823" s="175"/>
      <c r="B823" s="175"/>
      <c r="C823" s="989"/>
      <c r="D823" s="1288"/>
      <c r="E823" s="1288"/>
      <c r="F823" s="1288"/>
      <c r="G823" s="988"/>
      <c r="I823" s="490"/>
    </row>
    <row r="824" spans="1:9">
      <c r="A824" s="13"/>
      <c r="B824" s="13"/>
      <c r="C824" s="989"/>
      <c r="D824" s="1288"/>
      <c r="E824" s="1288"/>
      <c r="F824" s="1288"/>
      <c r="G824" s="988"/>
      <c r="I824" s="490"/>
    </row>
    <row r="825" spans="1:9" ht="14.4">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11" workbookViewId="0">
      <selection activeCell="AF642" sqref="AF642"/>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Northern (Butte, El Dorado, Placer, Sacramento, San Joaquin, Shasta, Solano, Sutter, Yuba, and Yolo Counties)</v>
      </c>
    </row>
    <row r="4" spans="1:58" ht="12.9" customHeight="1">
      <c r="BD4" s="3" t="s">
        <v>2507</v>
      </c>
      <c r="BE4" s="1246"/>
    </row>
    <row r="5" spans="1:58" ht="12.9" customHeight="1">
      <c r="BD5" s="3" t="s">
        <v>2508</v>
      </c>
      <c r="BE5">
        <f>SUMIF($AC$718:$AC$752,"&lt;=20%",$G$718:G$752)</f>
        <v>0</v>
      </c>
      <c r="BF5" s="3" t="s">
        <v>2513</v>
      </c>
    </row>
    <row r="6" spans="1:58" ht="12.9" customHeight="1">
      <c r="BD6" s="3" t="s">
        <v>2509</v>
      </c>
      <c r="BE6" s="1249">
        <f>SUMIF($AC$718:$AC$752,"&lt;=25%",$G$718:G$752)-SUM($BE$5:BE5)</f>
        <v>0</v>
      </c>
    </row>
    <row r="7" spans="1:58" ht="12.9" customHeight="1">
      <c r="BD7" s="1247" t="s">
        <v>2501</v>
      </c>
      <c r="BE7" s="1249">
        <f>SUMIF($AC$718:$AC$752,"&lt;=30%",$G$718:G$752)-SUM($BE$5:BE6)</f>
        <v>14</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2510</v>
      </c>
      <c r="BE8" s="1249">
        <f>SUMIF($AC$718:$AC$752,"&lt;=35%",$G$718:G$752)-SUM($BE$5:BE7)</f>
        <v>0</v>
      </c>
    </row>
    <row r="9" spans="1:58" ht="12.9" customHeight="1">
      <c r="A9" s="1838" t="s">
        <v>2077</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8" t="s">
        <v>2502</v>
      </c>
      <c r="BE9" s="1249">
        <f>SUMIF($AC$718:$AC$752,"&lt;=40%",$G$718:G$752)-SUM($BE$5:BE8)</f>
        <v>0</v>
      </c>
    </row>
    <row r="10" spans="1:58" ht="12.9" customHeight="1">
      <c r="A10" s="1838" t="s">
        <v>2459</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2511</v>
      </c>
      <c r="BE10" s="1249">
        <f>SUMIF($AC$718:$AC$752,"&lt;=45%",$G$718:G$752)-SUM($BE$5:BE9)</f>
        <v>0</v>
      </c>
    </row>
    <row r="11" spans="1:58" ht="12.9" customHeight="1">
      <c r="A11" s="1838" t="s">
        <v>2605</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7" t="s">
        <v>2503</v>
      </c>
      <c r="BE11" s="1249">
        <f>SUMIF($AC$718:$AC$752,"&lt;=50%",$G$718:G$752)-SUM($BE$5:BE10)</f>
        <v>18</v>
      </c>
    </row>
    <row r="12" spans="1:58" ht="12.9" customHeight="1">
      <c r="A12" s="1839" t="s">
        <v>2611</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2512</v>
      </c>
      <c r="BE12" s="1249">
        <f>SUMIF($AC$718:$AC$752,"&lt;=55%",$G$718:G$752)-SUM($BE$5:BE11)</f>
        <v>0</v>
      </c>
    </row>
    <row r="13" spans="1:58" ht="12.9"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27</v>
      </c>
    </row>
    <row r="14" spans="1:58" ht="12.9"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60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 customHeight="1">
      <c r="A16" s="57" t="s">
        <v>2079</v>
      </c>
      <c r="C16" s="4"/>
      <c r="D16" s="4"/>
      <c r="E16" s="4"/>
      <c r="F16" s="4"/>
      <c r="G16" s="4"/>
      <c r="H16" s="1569" t="s">
        <v>2620</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8" t="s">
        <v>657</v>
      </c>
      <c r="BE16" s="1249" t="str">
        <f>Application!H18</f>
        <v>Canby Family Apartments</v>
      </c>
    </row>
    <row r="17" spans="1:58" ht="12.9" customHeight="1">
      <c r="BD17" s="1247" t="s">
        <v>2519</v>
      </c>
      <c r="BE17" s="1249">
        <f>Application!AA934</f>
        <v>0</v>
      </c>
    </row>
    <row r="18" spans="1:58" ht="12.9" customHeight="1">
      <c r="A18" s="57" t="s">
        <v>101</v>
      </c>
      <c r="C18" s="4"/>
      <c r="D18" s="4"/>
      <c r="E18" s="4"/>
      <c r="F18" s="4"/>
      <c r="G18" s="4"/>
      <c r="H18" s="1525" t="s">
        <v>2613</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2520</v>
      </c>
      <c r="BE18" s="1249">
        <f>'CalHFA Addendum'!N11</f>
        <v>0</v>
      </c>
    </row>
    <row r="19" spans="1:58" ht="12.9" customHeight="1">
      <c r="BD19" s="1247" t="s">
        <v>2521</v>
      </c>
      <c r="BE19" s="1249">
        <f>Application!M26</f>
        <v>1972125</v>
      </c>
    </row>
    <row r="20" spans="1:58" ht="12.9" customHeight="1">
      <c r="A20" s="1840" t="s">
        <v>874</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48" t="s">
        <v>2522</v>
      </c>
      <c r="BE20" s="1249">
        <f>Application!M27</f>
        <v>11377632</v>
      </c>
    </row>
    <row r="21" spans="1:58" ht="12.9" customHeight="1">
      <c r="A21" s="1843" t="s">
        <v>1010</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2523</v>
      </c>
      <c r="BE21" s="1249">
        <f>Application!AM554</f>
        <v>11498640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40410171</v>
      </c>
      <c r="BF22" s="3" t="s">
        <v>2596</v>
      </c>
    </row>
    <row r="23" spans="1:58" ht="12.9"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1725000</v>
      </c>
    </row>
    <row r="24" spans="1:58"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88192</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 customHeight="1">
      <c r="A26" s="4"/>
      <c r="C26" s="4"/>
      <c r="D26" s="4"/>
      <c r="E26" s="4"/>
      <c r="F26" s="4"/>
      <c r="G26" s="4"/>
      <c r="H26" s="4"/>
      <c r="I26" s="4"/>
      <c r="J26" s="4"/>
      <c r="K26" s="4"/>
      <c r="L26" s="4"/>
      <c r="M26" s="1842">
        <f>'Basis &amp; Credits'!AB56</f>
        <v>1972125</v>
      </c>
      <c r="N26" s="1842"/>
      <c r="O26" s="1842"/>
      <c r="P26" s="1842"/>
      <c r="Q26" s="1842"/>
      <c r="R26" s="4" t="s">
        <v>760</v>
      </c>
      <c r="S26" s="4"/>
      <c r="T26" s="4"/>
      <c r="U26" s="4"/>
      <c r="V26" s="4"/>
      <c r="W26" s="4"/>
      <c r="X26" s="4"/>
      <c r="Y26" s="4"/>
      <c r="Z26" s="4"/>
      <c r="AF26" s="4"/>
      <c r="AG26" s="4"/>
      <c r="AH26" s="4"/>
      <c r="AI26" s="4"/>
      <c r="AJ26" s="4"/>
      <c r="AK26" s="4"/>
      <c r="BD26" s="1248" t="s">
        <v>1640</v>
      </c>
      <c r="BE26" s="1249" t="b">
        <f>Application!M356="Yes"</f>
        <v>0</v>
      </c>
    </row>
    <row r="27" spans="1:58" ht="12.9" customHeight="1">
      <c r="A27" s="4"/>
      <c r="C27" s="4"/>
      <c r="D27" s="4"/>
      <c r="E27" s="4"/>
      <c r="F27" s="4"/>
      <c r="G27" s="4"/>
      <c r="H27" s="4"/>
      <c r="I27" s="4"/>
      <c r="J27" s="4"/>
      <c r="K27" s="4"/>
      <c r="L27" s="4"/>
      <c r="M27" s="1363">
        <f>'Basis &amp; Credits'!AB78</f>
        <v>11377632</v>
      </c>
      <c r="N27" s="1363"/>
      <c r="O27" s="1363"/>
      <c r="P27" s="1363"/>
      <c r="Q27" s="1363"/>
      <c r="R27" s="3" t="s">
        <v>1268</v>
      </c>
      <c r="S27" s="4"/>
      <c r="T27" s="4"/>
      <c r="U27" s="4"/>
      <c r="V27" s="4"/>
      <c r="W27" s="4"/>
      <c r="X27" s="4"/>
      <c r="Y27" s="4"/>
      <c r="Z27" s="4"/>
      <c r="AF27" s="4"/>
      <c r="AG27" s="4"/>
      <c r="AH27" s="4"/>
      <c r="AI27" s="4"/>
      <c r="AJ27" s="4"/>
      <c r="AK27" s="4"/>
      <c r="BD27" s="1247" t="s">
        <v>2099</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 customHeight="1">
      <c r="A29" s="1537" t="s">
        <v>2148</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7" t="s">
        <v>2528</v>
      </c>
      <c r="BE29" s="1249" t="b">
        <f>Application!M358="Yes"</f>
        <v>0</v>
      </c>
    </row>
    <row r="30" spans="1:58" ht="12.9"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8" t="s">
        <v>28</v>
      </c>
      <c r="BE30" s="1249" t="b">
        <f>Application!AJ355="Yes"</f>
        <v>0</v>
      </c>
    </row>
    <row r="31" spans="1:58" ht="12.9"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7" t="s">
        <v>2529</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 customHeight="1">
      <c r="A33" s="519" t="s">
        <v>1279</v>
      </c>
      <c r="C33" s="519"/>
      <c r="D33" s="519"/>
      <c r="E33" s="519"/>
      <c r="F33" s="519"/>
      <c r="G33" s="519"/>
      <c r="H33" s="519"/>
      <c r="I33" s="519"/>
      <c r="J33" s="519"/>
      <c r="K33" s="519"/>
      <c r="L33" s="519"/>
      <c r="M33" s="519"/>
      <c r="N33" s="519"/>
      <c r="O33" s="1432" t="s">
        <v>546</v>
      </c>
      <c r="P33" s="1432"/>
      <c r="Q33" s="1841" t="s">
        <v>2149</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7" t="s">
        <v>2597</v>
      </c>
      <c r="BE33" s="1249" t="str">
        <f>Application!D220</f>
        <v>Northern Region: Butte, Marin, Napa, Shasta, Solano, and Sonoma Counties</v>
      </c>
    </row>
    <row r="34" spans="1:57" ht="12.9" customHeight="1">
      <c r="A34" s="1537" t="s">
        <v>2150</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8" t="s">
        <v>2531</v>
      </c>
      <c r="BE34" s="1249" t="str">
        <f>Application!I185</f>
        <v>930 Canby Road</v>
      </c>
    </row>
    <row r="35" spans="1:57" ht="12.9"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7" t="s">
        <v>2532</v>
      </c>
      <c r="BE35" s="1249" t="str">
        <f>IF(Application!E187="","",Application!E187)</f>
        <v/>
      </c>
    </row>
    <row r="36" spans="1:57" ht="12.9"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8" t="s">
        <v>2533</v>
      </c>
      <c r="BE36" s="1249" t="str">
        <f>Application!I189</f>
        <v>Redding</v>
      </c>
    </row>
    <row r="37" spans="1:57" ht="12.9"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7" t="s">
        <v>2534</v>
      </c>
      <c r="BE37" s="1249" t="str">
        <f>Application!T189</f>
        <v>Shasta</v>
      </c>
    </row>
    <row r="38" spans="1:57" ht="12.9" customHeight="1">
      <c r="A38" s="3"/>
      <c r="AZ38" s="20"/>
      <c r="BD38" s="1248" t="s">
        <v>2535</v>
      </c>
      <c r="BE38" s="1249">
        <f>Application!I190</f>
        <v>96003</v>
      </c>
    </row>
    <row r="39" spans="1:57" ht="12.9"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120</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119</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0.59999999999999987</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0.48088787897300228</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336751.42499999999</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10</v>
      </c>
    </row>
    <row r="46" spans="1:57" ht="12.9"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 xml:space="preserve">Redding Canby Road LLC </v>
      </c>
    </row>
    <row r="49" spans="1:57"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Chris Dart</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Johnson &amp; Johnson Investments, LLC</v>
      </c>
    </row>
    <row r="51" spans="1:57" ht="12.9"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Community Revitalization and Development Corporation</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David Rutledge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Danco Communities</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 xml:space="preserve">5251 Ericson Way </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Arcata, CA 95521</v>
      </c>
    </row>
    <row r="60" spans="1:57" ht="12.9"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 xml:space="preserve">Chris Dart </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cdart@danco-group.com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0.85000100000000001</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f>Application!X180</f>
        <v>0</v>
      </c>
    </row>
    <row r="65" spans="1:57" ht="12.9" customHeight="1">
      <c r="A65" s="1546" t="s">
        <v>2157</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2594</v>
      </c>
      <c r="BE65" s="1249" t="str">
        <f>Z205</f>
        <v>$500M</v>
      </c>
    </row>
    <row r="66" spans="1:57" ht="12.9"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2559</v>
      </c>
      <c r="BE66" s="1249" t="b">
        <f>Application!Z205="State Farmworker Credit"</f>
        <v>0</v>
      </c>
    </row>
    <row r="67" spans="1:57" ht="12.9"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2560</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 customHeight="1">
      <c r="A69" s="1546" t="s">
        <v>2158</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2562</v>
      </c>
      <c r="BE69" s="1249" t="str">
        <f>Application!W700</f>
        <v>CMFA</v>
      </c>
    </row>
    <row r="70" spans="1:57" ht="12.9"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2563</v>
      </c>
      <c r="BE70" s="1249">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 customHeight="1">
      <c r="A72" s="1537" t="s">
        <v>2159</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8" t="s">
        <v>2565</v>
      </c>
      <c r="BE72" s="1249">
        <f>'Points System'!AF805</f>
        <v>10</v>
      </c>
    </row>
    <row r="73" spans="1:57" ht="12.9"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7" t="s">
        <v>2566</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 customHeight="1">
      <c r="A75" s="1545" t="s">
        <v>2160</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2568</v>
      </c>
      <c r="BE75" s="1249">
        <f>'Points System'!AF808</f>
        <v>10</v>
      </c>
    </row>
    <row r="76" spans="1:57" ht="12.9"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2569</v>
      </c>
      <c r="BE76" s="1249">
        <f>'Points System'!AF811</f>
        <v>10</v>
      </c>
    </row>
    <row r="77" spans="1:57" ht="12.9"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2570</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 customHeight="1">
      <c r="A79" s="1546" t="s">
        <v>2161</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2572</v>
      </c>
      <c r="BE79" s="1249">
        <f>'Points System'!AF815</f>
        <v>10</v>
      </c>
    </row>
    <row r="80" spans="1:57" ht="12.9"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2573</v>
      </c>
      <c r="BE80" s="1249">
        <f>'Points System'!AF817</f>
        <v>10</v>
      </c>
    </row>
    <row r="81" spans="1:57" ht="12.9"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2574</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1.0429223246538026</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Redding</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Barry Tippin</v>
      </c>
    </row>
    <row r="86" spans="1:57" ht="12.9"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777 Cypress Avenue</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 xml:space="preserve">Redding </v>
      </c>
    </row>
    <row r="89" spans="1:57" ht="12.9" customHeight="1">
      <c r="A89" s="1555" t="s">
        <v>2164</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2582</v>
      </c>
      <c r="BE89" s="1249">
        <f>Application!O158</f>
        <v>96001</v>
      </c>
    </row>
    <row r="90" spans="1:57" ht="12.9"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2583</v>
      </c>
      <c r="BE90" s="1249" t="str">
        <f>Application!H16</f>
        <v>Community Revitalization and Development Corporation</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 xml:space="preserve">1918 West Street </v>
      </c>
    </row>
    <row r="92" spans="1:57" ht="12.9" customHeight="1">
      <c r="A92" s="1545" t="s">
        <v>2165</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2585</v>
      </c>
      <c r="BE92" s="1249" t="str">
        <f>Application!M234</f>
        <v xml:space="preserve">Redding </v>
      </c>
    </row>
    <row r="93" spans="1:57" ht="12.9"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2586</v>
      </c>
      <c r="BE93" s="1249" t="str">
        <f>Application!W234</f>
        <v>CA</v>
      </c>
    </row>
    <row r="94" spans="1:57" ht="12.9"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2587</v>
      </c>
      <c r="BE94" s="1249">
        <f>Application!AC234</f>
        <v>96001</v>
      </c>
    </row>
    <row r="95" spans="1:57" ht="12.9"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2588</v>
      </c>
      <c r="BE95" s="1249" t="str">
        <f>Application!M235</f>
        <v>David Rutledge</v>
      </c>
    </row>
    <row r="96" spans="1:57" ht="12.9"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2589</v>
      </c>
      <c r="BE96" s="1249" t="str">
        <f>Application!M237</f>
        <v>david@crdc-housing.org</v>
      </c>
    </row>
    <row r="97" spans="1:57" ht="12.9"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2590</v>
      </c>
      <c r="BE97" s="1249" t="str">
        <f>Application!M248</f>
        <v>cdart@danco-group.com</v>
      </c>
    </row>
    <row r="98" spans="1:57" ht="12.9"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2591</v>
      </c>
      <c r="BE98" s="1249" t="str">
        <f>Application!M256</f>
        <v>david@crdc-housing.org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 customHeight="1">
      <c r="A100" s="1556" t="s">
        <v>2166</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2593</v>
      </c>
      <c r="BE100" s="1249" t="str">
        <f>Application!L279</f>
        <v>hwilson@danco-group.com</v>
      </c>
    </row>
    <row r="101" spans="1:57" ht="12.9"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2598</v>
      </c>
      <c r="BE101">
        <f>'Sources and Uses Budget'!C105</f>
        <v>40410171</v>
      </c>
    </row>
    <row r="102" spans="1:57" ht="12.9"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2599</v>
      </c>
      <c r="BE102" t="b">
        <f>T197="Yes"</f>
        <v>0</v>
      </c>
    </row>
    <row r="103" spans="1:57" ht="12.9"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2176</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6" t="s">
        <v>2167</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48">
        <v>5</v>
      </c>
      <c r="H113" s="1548"/>
      <c r="I113" s="3" t="s">
        <v>182</v>
      </c>
      <c r="L113" s="1548" t="s">
        <v>2621</v>
      </c>
      <c r="M113" s="1548"/>
      <c r="N113" s="1548"/>
      <c r="O113" s="1548"/>
      <c r="P113" s="1564" t="s">
        <v>2240</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9" t="s">
        <v>2615</v>
      </c>
      <c r="D115" s="1549"/>
      <c r="E115" s="1549"/>
      <c r="F115" s="1549"/>
      <c r="G115" s="1549"/>
      <c r="H115" s="1549"/>
      <c r="I115" s="1549"/>
      <c r="J115" s="1549"/>
      <c r="K115" s="154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48"/>
      <c r="Z117" s="1548"/>
      <c r="AA117" s="1548"/>
      <c r="AB117" s="1548"/>
      <c r="AC117" s="1548"/>
      <c r="AD117" s="1548"/>
      <c r="AE117" s="1548"/>
      <c r="AF117" s="1548"/>
      <c r="AG117" s="1548"/>
      <c r="AH117" s="1548"/>
      <c r="AI117" s="1548"/>
      <c r="AJ117" s="1548"/>
      <c r="AK117" s="1548"/>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8" t="s">
        <v>2622</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4" t="s">
        <v>470</v>
      </c>
      <c r="CV122" s="1695"/>
      <c r="CW122" s="14"/>
      <c r="CX122" s="14" t="s">
        <v>635</v>
      </c>
      <c r="CY122" s="14"/>
      <c r="CZ122" s="14"/>
      <c r="DA122" s="14"/>
      <c r="DB122" s="14"/>
      <c r="DC122" s="14"/>
      <c r="DD122" s="14"/>
      <c r="DE122" s="14"/>
      <c r="DF122" s="14"/>
      <c r="DG122" s="1691" t="str">
        <f>T189</f>
        <v>Shasta</v>
      </c>
      <c r="DH122" s="1692"/>
      <c r="DI122" s="1692"/>
      <c r="DJ122" s="1692"/>
      <c r="DK122" s="1692"/>
      <c r="DL122" s="1692"/>
      <c r="DM122" s="1693"/>
    </row>
    <row r="123" spans="1:117" ht="12.9" customHeight="1">
      <c r="A123" s="3"/>
      <c r="B123" s="3"/>
      <c r="T123" s="3"/>
      <c r="U123" s="3"/>
      <c r="V123" s="3"/>
      <c r="W123" s="3"/>
      <c r="X123" s="3"/>
      <c r="Y123" s="1548" t="s">
        <v>2623</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409"/>
      <c r="G150" s="1409"/>
      <c r="H150" s="1409"/>
      <c r="I150" s="1409"/>
      <c r="J150" s="1409"/>
      <c r="K150" s="1409"/>
      <c r="L150" s="1409"/>
      <c r="M150" s="1409"/>
      <c r="N150" s="1409"/>
      <c r="O150" s="1409"/>
      <c r="P150" s="1409"/>
      <c r="Q150" s="1409"/>
      <c r="R150" s="1409"/>
      <c r="S150" s="1409"/>
      <c r="T150" s="14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646</v>
      </c>
      <c r="O153" s="1528" t="s">
        <v>2624</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303" t="s">
        <v>440</v>
      </c>
      <c r="O154" s="1473" t="s">
        <v>2625</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2468</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534" t="s">
        <v>441</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438" t="s">
        <v>2626</v>
      </c>
      <c r="P156" s="1438"/>
      <c r="Q156" s="1438"/>
      <c r="R156" s="1438"/>
      <c r="S156" s="1438"/>
      <c r="T156" s="1438"/>
      <c r="U156" s="1438"/>
      <c r="V156" s="1438"/>
      <c r="W156" s="1438"/>
      <c r="X156" s="1438"/>
      <c r="Y156" s="1438"/>
      <c r="Z156" s="1438"/>
      <c r="AA156" s="1438"/>
      <c r="AB156" s="1438"/>
      <c r="AC156" s="1438"/>
      <c r="AD156" s="1438"/>
      <c r="AE156" s="1438"/>
      <c r="AF156" s="1438"/>
      <c r="AG156" s="1438"/>
      <c r="AH156" s="1438"/>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28" t="s">
        <v>2627</v>
      </c>
      <c r="P157" s="1528"/>
      <c r="Q157" s="1528"/>
      <c r="R157" s="1528"/>
      <c r="S157" s="1528"/>
      <c r="T157" s="1528"/>
      <c r="U157" s="1528"/>
      <c r="V157" s="1528"/>
      <c r="W157" s="1528"/>
      <c r="X157" s="152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59">
        <v>96001</v>
      </c>
      <c r="P158" s="1559"/>
      <c r="Q158" s="1559"/>
      <c r="R158" s="1559"/>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4" t="s">
        <v>2628</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54"/>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541" t="s">
        <v>2629</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550" t="s">
        <v>2217</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536" t="s">
        <v>540</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533" t="s">
        <v>371</v>
      </c>
      <c r="K173" s="1533"/>
      <c r="L173" s="1533"/>
      <c r="M173" s="1533"/>
      <c r="N173" s="1533"/>
      <c r="O173" s="1533"/>
      <c r="P173" s="1533"/>
      <c r="Q173" s="1533"/>
      <c r="R173" s="1533"/>
      <c r="S173" s="1533"/>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1203</v>
      </c>
      <c r="J174" s="1438" t="s">
        <v>2102</v>
      </c>
      <c r="K174" s="1438"/>
      <c r="L174" s="1438"/>
      <c r="M174" s="1438"/>
      <c r="N174" s="1438"/>
      <c r="O174" s="1438"/>
      <c r="P174" s="1438"/>
      <c r="Q174" s="1438"/>
      <c r="R174" s="1438"/>
      <c r="S174" s="1438"/>
      <c r="T174" s="1438"/>
      <c r="U174" s="1438"/>
      <c r="V174" s="1438"/>
      <c r="W174" s="1438"/>
      <c r="X174" s="1438"/>
      <c r="Y174" s="1438"/>
      <c r="Z174" s="1438"/>
      <c r="AA174" s="1438"/>
      <c r="AB174" s="1438"/>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432" t="s">
        <v>670</v>
      </c>
      <c r="V175" s="14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2080</v>
      </c>
      <c r="T176" s="27" t="s">
        <v>305</v>
      </c>
      <c r="U176" s="1511"/>
      <c r="V176" s="1511"/>
      <c r="W176" s="1" t="s">
        <v>306</v>
      </c>
      <c r="X176" s="1568"/>
      <c r="Y176" s="1568"/>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432" t="s">
        <v>670</v>
      </c>
      <c r="S177" s="14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1204</v>
      </c>
      <c r="AA178" t="s">
        <v>2080</v>
      </c>
      <c r="AE178" s="27" t="s">
        <v>305</v>
      </c>
      <c r="AF178" s="1567"/>
      <c r="AG178" s="1567"/>
      <c r="AH178" s="1" t="s">
        <v>306</v>
      </c>
      <c r="AI178" s="1448"/>
      <c r="AJ178" s="1448"/>
      <c r="AK178" s="1448"/>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2081</v>
      </c>
      <c r="X180" s="1432"/>
      <c r="Y180" s="14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485" t="str">
        <f>H18</f>
        <v>Canby Family Apartments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375" t="s">
        <v>2614</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525" t="s">
        <v>2615</v>
      </c>
      <c r="J189" s="1438"/>
      <c r="K189" s="1438"/>
      <c r="L189" s="1438"/>
      <c r="M189" s="1438"/>
      <c r="N189" s="1438"/>
      <c r="O189" s="1438"/>
      <c r="P189" s="1438"/>
      <c r="Q189" t="s">
        <v>583</v>
      </c>
      <c r="T189" s="1438" t="s">
        <v>194</v>
      </c>
      <c r="U189" s="1438"/>
      <c r="V189" s="1438"/>
      <c r="W189" s="1438"/>
      <c r="X189" s="1438"/>
      <c r="Y189" s="1438"/>
      <c r="Z189" s="1438"/>
      <c r="AA189" s="1438"/>
      <c r="AB189" s="1438"/>
      <c r="AC189" s="1438"/>
      <c r="AD189" s="1438"/>
      <c r="AE189" s="143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75">
        <v>96003</v>
      </c>
      <c r="J190" s="1375"/>
      <c r="K190" s="1375"/>
      <c r="L190" s="1375"/>
      <c r="M190" s="1375"/>
      <c r="N190" s="1375"/>
      <c r="O190" t="s">
        <v>586</v>
      </c>
      <c r="T190" s="1557">
        <v>108.03</v>
      </c>
      <c r="U190" s="1557"/>
      <c r="V190" s="1557"/>
      <c r="W190" s="1557"/>
      <c r="X190" s="1557"/>
      <c r="Y190" s="1557"/>
      <c r="Z190" s="1557"/>
      <c r="AA190" s="1557"/>
      <c r="AB190" s="1557"/>
      <c r="AC190" s="1557"/>
      <c r="AD190" s="1557"/>
      <c r="AE190" s="1557"/>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553" t="s">
        <v>2616</v>
      </c>
      <c r="O191" s="1531"/>
      <c r="P191" s="1531"/>
      <c r="Q191" s="1531"/>
      <c r="R191" s="1531"/>
      <c r="S191" s="1531"/>
      <c r="T191" s="1531"/>
      <c r="U191" s="1531"/>
      <c r="V191" s="1531"/>
      <c r="W191" s="1531"/>
      <c r="X191" s="1531"/>
      <c r="Y191" s="1531"/>
      <c r="Z191" s="1531"/>
      <c r="AA191" s="1531"/>
      <c r="AB191" s="1531"/>
      <c r="AC191" s="1531"/>
      <c r="AD191" s="1531"/>
      <c r="AE191" s="1531"/>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561" t="s">
        <v>1938</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432" t="s">
        <v>670</v>
      </c>
      <c r="AI194" s="14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336" t="s">
        <v>546</v>
      </c>
      <c r="U195" s="1432"/>
      <c r="W195" t="s">
        <v>685</v>
      </c>
      <c r="AH195" s="1432">
        <v>1</v>
      </c>
      <c r="AI195" s="14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337" t="s">
        <v>670</v>
      </c>
      <c r="U196" s="1337"/>
      <c r="W196" t="s">
        <v>686</v>
      </c>
      <c r="AH196" s="1432">
        <v>1</v>
      </c>
      <c r="AI196" s="14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337" t="s">
        <v>670</v>
      </c>
      <c r="U197" s="1337"/>
      <c r="W197" t="s">
        <v>687</v>
      </c>
      <c r="AH197" s="1432">
        <v>1</v>
      </c>
      <c r="AI197" s="14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1653</v>
      </c>
      <c r="E198"/>
      <c r="F198"/>
      <c r="G198"/>
      <c r="H198"/>
      <c r="I198"/>
      <c r="J198"/>
      <c r="K198"/>
      <c r="L198"/>
      <c r="M198"/>
      <c r="N198"/>
      <c r="O198"/>
      <c r="P198"/>
      <c r="Q198"/>
      <c r="R198"/>
      <c r="S198"/>
      <c r="T198" s="1337"/>
      <c r="U198" s="1337"/>
      <c r="V198"/>
      <c r="X198" s="1537" t="s">
        <v>2514</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432" t="s">
        <v>670</v>
      </c>
      <c r="U199" s="1432"/>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2515</v>
      </c>
      <c r="T200" s="1432" t="s">
        <v>670</v>
      </c>
      <c r="U200" s="14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485" t="s">
        <v>385</v>
      </c>
      <c r="E204" s="1485"/>
      <c r="F204" s="1485"/>
      <c r="G204" s="1485"/>
      <c r="H204" s="1485"/>
      <c r="I204" s="1485"/>
      <c r="J204" s="1485"/>
      <c r="K204" s="1485"/>
      <c r="L204" s="1485"/>
      <c r="M204" s="1485"/>
      <c r="P204" s="1551">
        <f>M26</f>
        <v>1972125</v>
      </c>
      <c r="Q204" s="1552"/>
      <c r="R204" s="1552"/>
      <c r="S204" s="1552"/>
      <c r="T204" s="1552"/>
      <c r="U204" s="155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539" t="s">
        <v>1248</v>
      </c>
      <c r="E205" s="1485"/>
      <c r="F205" s="1485"/>
      <c r="G205" s="1485"/>
      <c r="H205" s="1485"/>
      <c r="I205" s="1485"/>
      <c r="J205" s="1485"/>
      <c r="K205" s="1485"/>
      <c r="L205" s="1485"/>
      <c r="M205" s="1485"/>
      <c r="P205" s="1552">
        <f>M27</f>
        <v>11377632</v>
      </c>
      <c r="Q205" s="1552"/>
      <c r="R205" s="1552"/>
      <c r="S205" s="1552"/>
      <c r="T205" s="1552"/>
      <c r="U205" s="1552"/>
      <c r="V205" s="28"/>
      <c r="W205" s="3" t="s">
        <v>1721</v>
      </c>
      <c r="Z205" s="1535" t="s">
        <v>2220</v>
      </c>
      <c r="AA205" s="1535"/>
      <c r="AB205" s="1535"/>
      <c r="AC205" s="1535"/>
      <c r="AD205" s="1535"/>
      <c r="AE205" s="1535"/>
      <c r="AF205" s="1535"/>
      <c r="AG205" s="1535"/>
      <c r="AH205" s="1535"/>
      <c r="AI205" s="1535"/>
      <c r="AJ205" s="1535"/>
      <c r="AK205" s="1535"/>
      <c r="AL205" s="1535"/>
      <c r="AM205" s="1535"/>
      <c r="AN205" s="1535"/>
      <c r="AP205" s="1409"/>
      <c r="AQ205" s="1409"/>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528" t="s">
        <v>2630</v>
      </c>
      <c r="E208" s="1528"/>
      <c r="F208" s="1528"/>
      <c r="G208" s="1528"/>
      <c r="H208" s="1528"/>
      <c r="I208" s="1528"/>
      <c r="J208" s="1528"/>
      <c r="K208" s="1528"/>
      <c r="L208" s="1528"/>
      <c r="M208" s="152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8" t="s">
        <v>1042</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432"/>
      <c r="R212" s="1432"/>
      <c r="T212" s="1565">
        <f>IFERROR(Q212/AG440,0)</f>
        <v>0</v>
      </c>
      <c r="U212" s="156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7" t="s">
        <v>592</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1654</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1652</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2234</v>
      </c>
      <c r="D218" s="28"/>
      <c r="AC218" s="2" t="s">
        <v>2463</v>
      </c>
      <c r="BC218" t="s">
        <v>530</v>
      </c>
    </row>
    <row r="219" spans="1:108" ht="12.9" customHeight="1">
      <c r="A219" s="2"/>
      <c r="C219" s="2"/>
      <c r="D219" s="3" t="s">
        <v>2464</v>
      </c>
      <c r="AZ219" s="3"/>
      <c r="BA219" s="3"/>
      <c r="BC219" t="s">
        <v>377</v>
      </c>
    </row>
    <row r="220" spans="1:108" ht="12.9" customHeight="1">
      <c r="A220" s="2"/>
      <c r="C220" s="2"/>
      <c r="D220" s="1528" t="s">
        <v>1066</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38" t="s">
        <v>2468</v>
      </c>
      <c r="AD220" s="1538"/>
      <c r="AE220" s="1538"/>
      <c r="AF220" s="1538"/>
      <c r="AG220" s="1538"/>
      <c r="AH220" s="1538"/>
      <c r="AI220" s="1538"/>
      <c r="AJ220" s="1538"/>
      <c r="AK220" s="1538"/>
      <c r="AL220" s="1538"/>
      <c r="AM220" s="1538"/>
      <c r="AN220" s="1538"/>
      <c r="AO220" s="1538"/>
      <c r="AP220" s="1538"/>
      <c r="AQ220" s="1538"/>
      <c r="BA220" s="3"/>
      <c r="BC220" t="s">
        <v>300</v>
      </c>
    </row>
    <row r="221" spans="1:108" ht="12.9" customHeight="1">
      <c r="A221" s="2"/>
      <c r="B221" s="14"/>
      <c r="C221" s="2"/>
      <c r="BA221" s="3"/>
    </row>
    <row r="222" spans="1:108" ht="12.9" customHeight="1">
      <c r="A222" s="1536" t="s">
        <v>541</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2.9"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2.9" customHeight="1">
      <c r="AZ224" s="4"/>
      <c r="BA224" s="3"/>
      <c r="BB224" s="3"/>
      <c r="BQ224" s="34"/>
    </row>
    <row r="225" spans="1:59" ht="12.9"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2" t="s">
        <v>592</v>
      </c>
      <c r="AJ226" s="14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2" t="s">
        <v>546</v>
      </c>
      <c r="AJ227" s="14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2" t="s">
        <v>592</v>
      </c>
      <c r="AJ228" s="14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2" t="s">
        <v>592</v>
      </c>
      <c r="AJ229" s="14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558" t="str">
        <f>H16</f>
        <v>Community Revitalization and Development Corporation</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539</v>
      </c>
      <c r="BG232" s="241">
        <f>IF(AND(AND($M$249="nonprofit",$M$257="nonprofit",$M$265="for profit")),2,0)</f>
        <v>0</v>
      </c>
    </row>
    <row r="233" spans="1:59" ht="12.9" customHeight="1">
      <c r="D233" s="4" t="s">
        <v>85</v>
      </c>
      <c r="E233" s="4"/>
      <c r="F233" s="4"/>
      <c r="G233" s="4"/>
      <c r="H233" s="4"/>
      <c r="I233" s="4"/>
      <c r="J233" s="4"/>
      <c r="K233" s="4"/>
      <c r="M233" s="1528" t="s">
        <v>2631</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539</v>
      </c>
      <c r="BG233" s="241">
        <f>IF(AND(AND($M$249="nonprofit",$M$257="for profit",$M$265="nonprofit")),2,0)</f>
        <v>0</v>
      </c>
    </row>
    <row r="234" spans="1:59" ht="12.9" customHeight="1">
      <c r="D234" s="4" t="s">
        <v>581</v>
      </c>
      <c r="E234" s="4"/>
      <c r="M234" s="1528" t="s">
        <v>2627</v>
      </c>
      <c r="N234" s="1528"/>
      <c r="O234" s="1528"/>
      <c r="P234" s="1528"/>
      <c r="Q234" s="1528"/>
      <c r="R234" s="1528"/>
      <c r="S234" s="1528"/>
      <c r="T234" s="1528"/>
      <c r="V234" s="33" t="s">
        <v>86</v>
      </c>
      <c r="W234" s="1473" t="s">
        <v>2632</v>
      </c>
      <c r="X234" s="1473"/>
      <c r="Y234" s="4" t="s">
        <v>584</v>
      </c>
      <c r="AC234" s="1528">
        <v>96001</v>
      </c>
      <c r="AD234" s="1528"/>
      <c r="AE234" s="1528"/>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528" t="s">
        <v>2622</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2.9" customHeight="1">
      <c r="D236" s="4" t="s">
        <v>88</v>
      </c>
      <c r="E236" s="4"/>
      <c r="F236" s="4"/>
      <c r="M236" s="1489">
        <v>5302416960</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538</v>
      </c>
      <c r="BG236" s="241">
        <f>IF(AND(AND($M$249="nonprofit",$M$257="nonprofit",$M$265="(select one)")),1,0)</f>
        <v>0</v>
      </c>
    </row>
    <row r="237" spans="1:59" ht="12.9" customHeight="1">
      <c r="D237" s="4" t="s">
        <v>90</v>
      </c>
      <c r="E237" s="4"/>
      <c r="F237" s="4"/>
      <c r="M237" s="1541" t="s">
        <v>2633</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75" t="s">
        <v>377</v>
      </c>
      <c r="N238" s="1375"/>
      <c r="O238" s="1375"/>
      <c r="P238" s="1375"/>
      <c r="Q238" s="1375"/>
      <c r="R238" s="1375"/>
      <c r="S238" s="1375"/>
      <c r="T238" s="1375"/>
      <c r="U238" s="204" t="s">
        <v>907</v>
      </c>
      <c r="V238" s="204"/>
      <c r="W238" s="204"/>
      <c r="X238" s="204"/>
      <c r="Y238" s="204"/>
      <c r="Z238" s="204"/>
      <c r="AA238" s="1563"/>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438"/>
      <c r="N239" s="1438"/>
      <c r="O239" s="1438"/>
      <c r="P239" s="1438"/>
      <c r="Q239" s="1438"/>
      <c r="R239" s="1438"/>
      <c r="S239" s="1438"/>
      <c r="T239" s="1438"/>
      <c r="U239" s="1438"/>
      <c r="V239" s="1438"/>
      <c r="W239" s="1438"/>
      <c r="X239" s="1438"/>
      <c r="Y239" s="1438"/>
      <c r="Z239" s="1438"/>
      <c r="AA239" s="1438"/>
      <c r="AB239" s="1438"/>
      <c r="AC239" s="1438"/>
      <c r="AD239" s="1438"/>
      <c r="AE239" s="143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69" t="s">
        <v>2636</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2635</v>
      </c>
      <c r="AG243" s="1543"/>
      <c r="AH243" s="1543"/>
      <c r="AI243" s="1543"/>
      <c r="AJ243" s="1543"/>
      <c r="AK243" s="1543"/>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8" t="s">
        <v>2634</v>
      </c>
      <c r="N244" s="1528"/>
      <c r="O244" s="1528"/>
      <c r="P244" s="1528"/>
      <c r="Q244" s="1528"/>
      <c r="R244" s="1528"/>
      <c r="S244" s="1528"/>
      <c r="T244" s="1528"/>
      <c r="U244" s="1528"/>
      <c r="V244" s="1528"/>
      <c r="W244" s="1528"/>
      <c r="X244" s="1528"/>
      <c r="Y244" s="1528"/>
      <c r="Z244" s="1528"/>
      <c r="AA244" s="1528"/>
      <c r="AB244" s="1528"/>
      <c r="AC244" s="1528"/>
      <c r="AD244" s="1528"/>
      <c r="AE244" s="1528"/>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525" t="s">
        <v>2637</v>
      </c>
      <c r="N245" s="1528"/>
      <c r="O245" s="1528"/>
      <c r="P245" s="1528"/>
      <c r="Q245" s="1528"/>
      <c r="R245" s="1528"/>
      <c r="S245" s="1528"/>
      <c r="T245" s="1528"/>
      <c r="V245" s="33" t="s">
        <v>86</v>
      </c>
      <c r="W245" s="1520" t="s">
        <v>2632</v>
      </c>
      <c r="X245" s="1473"/>
      <c r="Y245" s="4" t="s">
        <v>584</v>
      </c>
      <c r="AC245" s="1528">
        <v>95521</v>
      </c>
      <c r="AD245" s="1528"/>
      <c r="AE245" s="1528"/>
      <c r="AF245" s="3" t="s">
        <v>1181</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525" t="s">
        <v>2638</v>
      </c>
      <c r="N246" s="1528"/>
      <c r="O246" s="1528"/>
      <c r="P246" s="1528"/>
      <c r="Q246" s="1528"/>
      <c r="R246" s="1528"/>
      <c r="S246" s="1528"/>
      <c r="T246" s="1528"/>
      <c r="U246" s="1528"/>
      <c r="V246" s="1528"/>
      <c r="W246" s="1528"/>
      <c r="X246" s="1528"/>
      <c r="Y246" s="1528"/>
      <c r="Z246" s="1528"/>
      <c r="AA246" s="1528"/>
      <c r="AB246" s="1528"/>
      <c r="AC246" s="1528"/>
      <c r="AD246" s="1528"/>
      <c r="AE246" s="1528"/>
      <c r="AH246" s="1540">
        <v>0.09</v>
      </c>
      <c r="AI246" s="1540"/>
      <c r="AJ246" s="1540"/>
      <c r="AK246" s="1540"/>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489">
        <v>7078229000</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2.9" customHeight="1">
      <c r="A248" s="19"/>
      <c r="B248" s="4"/>
      <c r="C248" s="4"/>
      <c r="D248" s="4" t="s">
        <v>90</v>
      </c>
      <c r="E248" s="4"/>
      <c r="F248" s="4"/>
      <c r="M248" s="1541" t="s">
        <v>2639</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75" t="s">
        <v>537</v>
      </c>
      <c r="N249" s="1375"/>
      <c r="O249" s="1375"/>
      <c r="P249" s="1375"/>
      <c r="Q249" s="1375"/>
      <c r="R249" s="1375"/>
      <c r="S249" s="1375"/>
      <c r="T249" s="1375"/>
      <c r="U249" s="204" t="s">
        <v>907</v>
      </c>
      <c r="V249" s="204"/>
      <c r="W249" s="204"/>
      <c r="X249" s="204"/>
      <c r="Y249" s="204"/>
      <c r="Z249" s="204"/>
      <c r="AA249" s="1562" t="s">
        <v>2640</v>
      </c>
      <c r="AB249" s="1563"/>
      <c r="AC249" s="1563"/>
      <c r="AD249" s="1563"/>
      <c r="AE249" s="1563"/>
      <c r="AF249" s="1563"/>
      <c r="AG249" s="1563"/>
      <c r="AH249" s="1563"/>
      <c r="AI249" s="1563"/>
      <c r="AJ249" s="1563"/>
      <c r="AK249" s="1563"/>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69" t="s">
        <v>2620</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2641</v>
      </c>
      <c r="AG251" s="1543"/>
      <c r="AH251" s="1543"/>
      <c r="AI251" s="1543"/>
      <c r="AJ251" s="1543"/>
      <c r="AK251" s="1543"/>
      <c r="AU251" s="4"/>
      <c r="AV251" s="4"/>
      <c r="AW251" s="4"/>
      <c r="AX251" s="4"/>
      <c r="AY251" s="4"/>
      <c r="BN251" s="34"/>
    </row>
    <row r="252" spans="1:67" ht="12.9" customHeight="1">
      <c r="A252" s="19"/>
      <c r="B252" s="4"/>
      <c r="C252" s="4"/>
      <c r="D252" s="4" t="s">
        <v>85</v>
      </c>
      <c r="E252" s="4"/>
      <c r="F252" s="4"/>
      <c r="G252" s="4"/>
      <c r="H252" s="4"/>
      <c r="I252" s="4"/>
      <c r="J252" s="4"/>
      <c r="K252" s="4"/>
      <c r="L252" s="4"/>
      <c r="M252" s="1525" t="s">
        <v>2642</v>
      </c>
      <c r="N252" s="1528"/>
      <c r="O252" s="1528"/>
      <c r="P252" s="1528"/>
      <c r="Q252" s="1528"/>
      <c r="R252" s="1528"/>
      <c r="S252" s="1528"/>
      <c r="T252" s="1528"/>
      <c r="U252" s="1528"/>
      <c r="V252" s="1528"/>
      <c r="W252" s="1528"/>
      <c r="X252" s="1528"/>
      <c r="Y252" s="1528"/>
      <c r="Z252" s="1528"/>
      <c r="AA252" s="1528"/>
      <c r="AB252" s="1528"/>
      <c r="AC252" s="1528"/>
      <c r="AD252" s="1528"/>
      <c r="AE252" s="1528"/>
      <c r="AF252" s="3" t="s">
        <v>1180</v>
      </c>
      <c r="AL252" s="4"/>
      <c r="AM252" s="4"/>
      <c r="AN252" s="4"/>
      <c r="AO252" s="4"/>
      <c r="AP252" s="4"/>
      <c r="AQ252" s="4"/>
      <c r="AR252" s="4"/>
      <c r="AS252" s="4"/>
      <c r="AT252" s="4"/>
      <c r="BN252" s="34"/>
    </row>
    <row r="253" spans="1:67" ht="12.9" customHeight="1">
      <c r="A253" s="19"/>
      <c r="B253" s="4"/>
      <c r="C253" s="4"/>
      <c r="D253" s="4" t="s">
        <v>581</v>
      </c>
      <c r="E253" s="4"/>
      <c r="M253" s="1525" t="s">
        <v>2615</v>
      </c>
      <c r="N253" s="1528"/>
      <c r="O253" s="1528"/>
      <c r="P253" s="1528"/>
      <c r="Q253" s="1528"/>
      <c r="R253" s="1528"/>
      <c r="S253" s="1528"/>
      <c r="T253" s="1528"/>
      <c r="V253" s="33" t="s">
        <v>86</v>
      </c>
      <c r="W253" s="1520" t="s">
        <v>2632</v>
      </c>
      <c r="X253" s="1473"/>
      <c r="Y253" s="4" t="s">
        <v>584</v>
      </c>
      <c r="AC253" s="1528">
        <v>96001</v>
      </c>
      <c r="AD253" s="1528"/>
      <c r="AE253" s="1528"/>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525" t="s">
        <v>2622</v>
      </c>
      <c r="N254" s="1528"/>
      <c r="O254" s="1528"/>
      <c r="P254" s="1528"/>
      <c r="Q254" s="1528"/>
      <c r="R254" s="1528"/>
      <c r="S254" s="1528"/>
      <c r="T254" s="1528"/>
      <c r="U254" s="1528"/>
      <c r="V254" s="1528"/>
      <c r="W254" s="1528"/>
      <c r="X254" s="1528"/>
      <c r="Y254" s="1528"/>
      <c r="Z254" s="1528"/>
      <c r="AA254" s="1528"/>
      <c r="AB254" s="1528"/>
      <c r="AC254" s="1528"/>
      <c r="AD254" s="1528"/>
      <c r="AE254" s="1528"/>
      <c r="AH254" s="1540">
        <v>0.01</v>
      </c>
      <c r="AI254" s="1540"/>
      <c r="AJ254" s="1540"/>
      <c r="AK254" s="1540"/>
      <c r="AL254" s="4"/>
      <c r="AM254" s="4"/>
      <c r="AN254" s="4"/>
      <c r="AO254" s="4"/>
      <c r="AP254" s="4"/>
      <c r="AQ254" s="4"/>
      <c r="AR254" s="4"/>
      <c r="AS254" s="4"/>
      <c r="AT254" s="4"/>
    </row>
    <row r="255" spans="1:67" ht="12.9" customHeight="1">
      <c r="A255" s="19"/>
      <c r="B255" s="4"/>
      <c r="C255" s="4"/>
      <c r="D255" s="4" t="s">
        <v>88</v>
      </c>
      <c r="E255" s="4"/>
      <c r="F255" s="4"/>
      <c r="M255" s="1489">
        <v>5302416960</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2.9" customHeight="1">
      <c r="A256" s="19"/>
      <c r="B256" s="4"/>
      <c r="C256" s="4"/>
      <c r="D256" s="4" t="s">
        <v>90</v>
      </c>
      <c r="E256" s="4"/>
      <c r="F256" s="4"/>
      <c r="M256" s="1541" t="s">
        <v>2633</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75" t="s">
        <v>535</v>
      </c>
      <c r="N257" s="1375"/>
      <c r="O257" s="1375"/>
      <c r="P257" s="1375"/>
      <c r="Q257" s="1375"/>
      <c r="R257" s="1375"/>
      <c r="S257" s="1375"/>
      <c r="T257" s="1375"/>
      <c r="U257" s="204" t="s">
        <v>907</v>
      </c>
      <c r="V257" s="204"/>
      <c r="W257" s="204"/>
      <c r="X257" s="204"/>
      <c r="Y257" s="204"/>
      <c r="Z257" s="204"/>
      <c r="AA257" s="1563"/>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528"/>
      <c r="N261" s="1528"/>
      <c r="O261" s="1528"/>
      <c r="P261" s="1528"/>
      <c r="Q261" s="1528"/>
      <c r="R261" s="1528"/>
      <c r="S261" s="1528"/>
      <c r="T261" s="1528"/>
      <c r="V261" s="33" t="s">
        <v>86</v>
      </c>
      <c r="W261" s="1473"/>
      <c r="X261" s="1473"/>
      <c r="Y261" s="4" t="s">
        <v>584</v>
      </c>
      <c r="AC261" s="1528"/>
      <c r="AD261" s="1528"/>
      <c r="AE261" s="1528"/>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0"/>
      <c r="AI262" s="1540"/>
      <c r="AJ262" s="1540"/>
      <c r="AK262" s="1540"/>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75" t="s">
        <v>307</v>
      </c>
      <c r="N265" s="1375"/>
      <c r="O265" s="1375"/>
      <c r="P265" s="1375"/>
      <c r="Q265" s="1375"/>
      <c r="R265" s="1375"/>
      <c r="S265" s="1375"/>
      <c r="T265" s="1375"/>
      <c r="U265" s="204" t="s">
        <v>907</v>
      </c>
      <c r="V265" s="204"/>
      <c r="W265" s="204"/>
      <c r="X265" s="204"/>
      <c r="Y265" s="204"/>
      <c r="Z265" s="204"/>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528" t="s">
        <v>280</v>
      </c>
      <c r="E270" s="1528"/>
      <c r="F270" s="1528"/>
      <c r="G270" s="1528"/>
      <c r="H270" s="1528"/>
      <c r="J270" t="s">
        <v>279</v>
      </c>
      <c r="X270" s="1508"/>
      <c r="Y270" s="1508"/>
      <c r="Z270" s="1508"/>
      <c r="AA270" s="1508"/>
      <c r="AB270" s="1508"/>
      <c r="AC270" s="1508"/>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43" t="s">
        <v>2643</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8" t="s">
        <v>2634</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 customHeight="1">
      <c r="D276" s="4" t="s">
        <v>581</v>
      </c>
      <c r="E276" s="4"/>
      <c r="L276" s="1528" t="s">
        <v>2637</v>
      </c>
      <c r="M276" s="1528"/>
      <c r="N276" s="1528"/>
      <c r="O276" s="1528"/>
      <c r="P276" s="1528"/>
      <c r="Q276" s="1528"/>
      <c r="R276" s="1528"/>
      <c r="S276" s="1528"/>
      <c r="U276" s="33" t="s">
        <v>86</v>
      </c>
      <c r="V276" s="1473" t="s">
        <v>2632</v>
      </c>
      <c r="W276" s="1473"/>
      <c r="X276" s="4" t="s">
        <v>584</v>
      </c>
      <c r="AB276" s="1528">
        <v>95521</v>
      </c>
      <c r="AC276" s="1528"/>
      <c r="AD276" s="152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8" t="s">
        <v>2644</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 customHeight="1">
      <c r="D278" s="4" t="s">
        <v>88</v>
      </c>
      <c r="E278" s="4"/>
      <c r="F278" s="4"/>
      <c r="L278" s="1489">
        <v>7078229000</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2.9" customHeight="1">
      <c r="D279" s="4" t="s">
        <v>90</v>
      </c>
      <c r="E279" s="4"/>
      <c r="F279" s="4"/>
      <c r="L279" s="1541" t="s">
        <v>2645</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2.9" customHeight="1">
      <c r="D280" s="3" t="s">
        <v>624</v>
      </c>
      <c r="E280" s="3"/>
      <c r="F280" s="3"/>
      <c r="G280" s="3"/>
      <c r="H280" s="3"/>
      <c r="I280" s="3"/>
      <c r="L280" s="1520" t="s">
        <v>2646</v>
      </c>
      <c r="M280" s="1520"/>
      <c r="N280" s="1520"/>
      <c r="O280" s="1520"/>
      <c r="P280" s="1520"/>
      <c r="Q280" s="1520"/>
      <c r="R280" s="1520"/>
      <c r="S280" s="1520"/>
      <c r="T280" s="1520"/>
      <c r="U280" s="1520"/>
      <c r="V280" s="1520"/>
      <c r="W280" s="1520"/>
      <c r="X280" s="1520"/>
      <c r="Y280" s="1520"/>
      <c r="Z280" s="1520"/>
      <c r="AA280" s="1520"/>
      <c r="AB280" s="1520"/>
      <c r="AC280" s="1520"/>
      <c r="AD280" s="1520"/>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536" t="s">
        <v>542</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2.9"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438" t="s">
        <v>2647</v>
      </c>
      <c r="I287" s="1438"/>
      <c r="J287" s="1438"/>
      <c r="K287" s="1438"/>
      <c r="L287" s="1438"/>
      <c r="M287" s="1438"/>
      <c r="N287" s="1438"/>
      <c r="O287" s="1438"/>
      <c r="P287" s="1438"/>
      <c r="Q287" s="1438"/>
      <c r="R287" s="1438"/>
      <c r="T287" s="3" t="s">
        <v>568</v>
      </c>
      <c r="V287" s="3"/>
      <c r="W287" s="3"/>
      <c r="X287" s="3"/>
      <c r="Y287" s="3"/>
      <c r="AA287" s="1438" t="s">
        <v>2658</v>
      </c>
      <c r="AB287" s="1438"/>
      <c r="AC287" s="1438"/>
      <c r="AD287" s="1438"/>
      <c r="AE287" s="1438"/>
      <c r="AF287" s="1438"/>
      <c r="AG287" s="1438"/>
      <c r="AH287" s="1438"/>
      <c r="AI287" s="1438"/>
      <c r="AJ287" s="1438"/>
      <c r="AK287" s="1438"/>
    </row>
    <row r="288" spans="1:51" ht="12.9" customHeight="1">
      <c r="B288" s="3" t="s">
        <v>472</v>
      </c>
      <c r="C288" s="3"/>
      <c r="D288" s="3"/>
      <c r="E288" s="3"/>
      <c r="F288" s="3"/>
      <c r="H288" s="1375" t="s">
        <v>2634</v>
      </c>
      <c r="I288" s="1375"/>
      <c r="J288" s="1375"/>
      <c r="K288" s="1375"/>
      <c r="L288" s="1375"/>
      <c r="M288" s="1375"/>
      <c r="N288" s="1375"/>
      <c r="O288" s="1375"/>
      <c r="P288" s="1375"/>
      <c r="Q288" s="1375"/>
      <c r="R288" s="1375"/>
      <c r="T288" s="3" t="s">
        <v>472</v>
      </c>
      <c r="V288" s="3"/>
      <c r="W288" s="3"/>
      <c r="X288" s="3"/>
      <c r="Y288" s="3"/>
      <c r="AA288" s="1375" t="s">
        <v>2659</v>
      </c>
      <c r="AB288" s="1375"/>
      <c r="AC288" s="1375"/>
      <c r="AD288" s="1375"/>
      <c r="AE288" s="1375"/>
      <c r="AF288" s="1375"/>
      <c r="AG288" s="1375"/>
      <c r="AH288" s="1375"/>
      <c r="AI288" s="1375"/>
      <c r="AJ288" s="1375"/>
      <c r="AK288" s="1375"/>
    </row>
    <row r="289" spans="2:37" ht="12.9" customHeight="1">
      <c r="B289" s="3" t="s">
        <v>473</v>
      </c>
      <c r="C289" s="3"/>
      <c r="D289" s="3"/>
      <c r="E289" s="3"/>
      <c r="F289" s="3"/>
      <c r="H289" s="1375" t="s">
        <v>2648</v>
      </c>
      <c r="I289" s="1375"/>
      <c r="J289" s="1375"/>
      <c r="K289" s="1375"/>
      <c r="L289" s="1375"/>
      <c r="M289" s="1375"/>
      <c r="N289" s="1375"/>
      <c r="O289" s="1375"/>
      <c r="P289" s="1375"/>
      <c r="Q289" s="1375"/>
      <c r="R289" s="1375"/>
      <c r="T289" s="3" t="s">
        <v>75</v>
      </c>
      <c r="V289" s="3"/>
      <c r="W289" s="3"/>
      <c r="X289" s="3"/>
      <c r="Y289" s="3"/>
      <c r="AA289" s="1375" t="s">
        <v>2660</v>
      </c>
      <c r="AB289" s="1375"/>
      <c r="AC289" s="1375"/>
      <c r="AD289" s="1375"/>
      <c r="AE289" s="1375"/>
      <c r="AF289" s="1375"/>
      <c r="AG289" s="1375"/>
      <c r="AH289" s="1375"/>
      <c r="AI289" s="1375"/>
      <c r="AJ289" s="1375"/>
      <c r="AK289" s="1375"/>
    </row>
    <row r="290" spans="2:37" ht="12.9" customHeight="1">
      <c r="B290" s="3" t="s">
        <v>87</v>
      </c>
      <c r="C290" s="3"/>
      <c r="D290" s="3"/>
      <c r="E290" s="3"/>
      <c r="F290" s="3"/>
      <c r="H290" s="1375" t="s">
        <v>2649</v>
      </c>
      <c r="I290" s="1375"/>
      <c r="J290" s="1375"/>
      <c r="K290" s="1375"/>
      <c r="L290" s="1375"/>
      <c r="M290" s="1375"/>
      <c r="N290" s="1375"/>
      <c r="O290" s="1375"/>
      <c r="P290" s="1375"/>
      <c r="Q290" s="1375"/>
      <c r="R290" s="1375"/>
      <c r="T290" s="3" t="s">
        <v>87</v>
      </c>
      <c r="V290" s="3"/>
      <c r="W290" s="3"/>
      <c r="X290" s="3"/>
      <c r="Y290" s="3"/>
      <c r="AA290" s="1375" t="s">
        <v>2661</v>
      </c>
      <c r="AB290" s="1375"/>
      <c r="AC290" s="1375"/>
      <c r="AD290" s="1375"/>
      <c r="AE290" s="1375"/>
      <c r="AF290" s="1375"/>
      <c r="AG290" s="1375"/>
      <c r="AH290" s="1375"/>
      <c r="AI290" s="1375"/>
      <c r="AJ290" s="1375"/>
      <c r="AK290" s="1375"/>
    </row>
    <row r="291" spans="2:37" ht="12.9" customHeight="1">
      <c r="B291" s="3" t="s">
        <v>88</v>
      </c>
      <c r="C291" s="3"/>
      <c r="D291" s="3"/>
      <c r="E291" s="3"/>
      <c r="F291" s="3"/>
      <c r="G291" s="3"/>
      <c r="H291" s="1544" t="s">
        <v>2650</v>
      </c>
      <c r="I291" s="1544"/>
      <c r="J291" s="1544"/>
      <c r="K291" s="1544"/>
      <c r="L291" s="1544"/>
      <c r="M291" s="1544"/>
      <c r="N291" s="4" t="s">
        <v>206</v>
      </c>
      <c r="O291" s="4"/>
      <c r="P291" s="1528"/>
      <c r="Q291" s="1528"/>
      <c r="R291" s="1528"/>
      <c r="S291" s="3"/>
      <c r="T291" s="3" t="s">
        <v>88</v>
      </c>
      <c r="V291" s="3"/>
      <c r="W291" s="3"/>
      <c r="X291" s="3"/>
      <c r="Y291" s="3"/>
      <c r="AA291" s="1544" t="s">
        <v>2662</v>
      </c>
      <c r="AB291" s="1544"/>
      <c r="AC291" s="1544"/>
      <c r="AD291" s="1544"/>
      <c r="AE291" s="1544"/>
      <c r="AF291" s="1544"/>
      <c r="AG291" s="4" t="s">
        <v>206</v>
      </c>
      <c r="AH291" s="4"/>
      <c r="AI291" s="1528"/>
      <c r="AJ291" s="1528"/>
      <c r="AK291" s="1528"/>
    </row>
    <row r="292" spans="2:37" ht="12.9" customHeight="1">
      <c r="B292" s="3" t="s">
        <v>89</v>
      </c>
      <c r="C292" s="3"/>
      <c r="D292" s="3"/>
      <c r="E292" s="3"/>
      <c r="F292" s="3"/>
      <c r="G292" s="3"/>
      <c r="H292" s="1489" t="s">
        <v>2651</v>
      </c>
      <c r="I292" s="1489"/>
      <c r="J292" s="1489"/>
      <c r="K292" s="1489"/>
      <c r="L292" s="1489"/>
      <c r="M292" s="1489"/>
      <c r="N292" s="4"/>
      <c r="O292" s="4"/>
      <c r="P292" s="35"/>
      <c r="Q292" s="35"/>
      <c r="R292" s="35"/>
      <c r="S292" s="3"/>
      <c r="T292" s="3" t="s">
        <v>89</v>
      </c>
      <c r="V292" s="3"/>
      <c r="W292" s="3"/>
      <c r="X292" s="3"/>
      <c r="Y292" s="3"/>
      <c r="AA292" s="1489" t="s">
        <v>2663</v>
      </c>
      <c r="AB292" s="1489"/>
      <c r="AC292" s="1489"/>
      <c r="AD292" s="1489"/>
      <c r="AE292" s="1489"/>
      <c r="AF292" s="1489"/>
      <c r="AG292" s="4"/>
      <c r="AH292" s="4"/>
      <c r="AI292" s="35"/>
      <c r="AJ292" s="35"/>
      <c r="AK292" s="35"/>
    </row>
    <row r="293" spans="2:37" ht="12.9" customHeight="1">
      <c r="B293" s="3" t="s">
        <v>76</v>
      </c>
      <c r="C293" s="3"/>
      <c r="D293" s="3"/>
      <c r="E293" s="3"/>
      <c r="F293" s="3"/>
      <c r="G293" s="3"/>
      <c r="H293" s="1375" t="s">
        <v>2639</v>
      </c>
      <c r="I293" s="1375"/>
      <c r="J293" s="1375"/>
      <c r="K293" s="1375"/>
      <c r="L293" s="1375"/>
      <c r="M293" s="1375"/>
      <c r="N293" s="1438"/>
      <c r="O293" s="1438"/>
      <c r="P293" s="1438"/>
      <c r="Q293" s="1438"/>
      <c r="R293" s="1438"/>
      <c r="S293" s="3"/>
      <c r="T293" s="3" t="s">
        <v>76</v>
      </c>
      <c r="V293" s="3"/>
      <c r="W293" s="3"/>
      <c r="X293" s="3"/>
      <c r="Y293" s="3"/>
      <c r="AA293" s="1375" t="s">
        <v>2664</v>
      </c>
      <c r="AB293" s="1375"/>
      <c r="AC293" s="1375"/>
      <c r="AD293" s="1375"/>
      <c r="AE293" s="1375"/>
      <c r="AF293" s="1375"/>
      <c r="AG293" s="1438"/>
      <c r="AH293" s="1438"/>
      <c r="AI293" s="1438"/>
      <c r="AJ293" s="1438"/>
      <c r="AK293" s="1438"/>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38" t="s">
        <v>2652</v>
      </c>
      <c r="I295" s="1438"/>
      <c r="J295" s="1438"/>
      <c r="K295" s="1438"/>
      <c r="L295" s="1438"/>
      <c r="M295" s="1438"/>
      <c r="N295" s="1438"/>
      <c r="O295" s="1438"/>
      <c r="P295" s="1438"/>
      <c r="Q295" s="1438"/>
      <c r="R295" s="1438"/>
      <c r="T295" s="3" t="s">
        <v>364</v>
      </c>
      <c r="V295" s="3"/>
      <c r="W295" s="3"/>
      <c r="X295" s="3"/>
      <c r="Y295" s="3"/>
      <c r="AA295" s="1438" t="s">
        <v>2665</v>
      </c>
      <c r="AB295" s="1438"/>
      <c r="AC295" s="1438"/>
      <c r="AD295" s="1438"/>
      <c r="AE295" s="1438"/>
      <c r="AF295" s="1438"/>
      <c r="AG295" s="1438"/>
      <c r="AH295" s="1438"/>
      <c r="AI295" s="1438"/>
      <c r="AJ295" s="1438"/>
      <c r="AK295" s="1438"/>
    </row>
    <row r="296" spans="2:37" ht="12.9" customHeight="1">
      <c r="B296" s="3" t="s">
        <v>472</v>
      </c>
      <c r="C296" s="3"/>
      <c r="D296" s="3"/>
      <c r="E296" s="3"/>
      <c r="F296" s="3"/>
      <c r="H296" s="1375" t="s">
        <v>2653</v>
      </c>
      <c r="I296" s="1375"/>
      <c r="J296" s="1375"/>
      <c r="K296" s="1375"/>
      <c r="L296" s="1375"/>
      <c r="M296" s="1375"/>
      <c r="N296" s="1375"/>
      <c r="O296" s="1375"/>
      <c r="P296" s="1375"/>
      <c r="Q296" s="1375"/>
      <c r="R296" s="1375"/>
      <c r="T296" s="3" t="s">
        <v>472</v>
      </c>
      <c r="V296" s="3"/>
      <c r="W296" s="3"/>
      <c r="X296" s="3"/>
      <c r="Y296" s="3"/>
      <c r="AA296" s="1375" t="s">
        <v>2666</v>
      </c>
      <c r="AB296" s="1375"/>
      <c r="AC296" s="1375"/>
      <c r="AD296" s="1375"/>
      <c r="AE296" s="1375"/>
      <c r="AF296" s="1375"/>
      <c r="AG296" s="1375"/>
      <c r="AH296" s="1375"/>
      <c r="AI296" s="1375"/>
      <c r="AJ296" s="1375"/>
      <c r="AK296" s="1375"/>
    </row>
    <row r="297" spans="2:37" ht="12.9" customHeight="1">
      <c r="B297" s="3" t="s">
        <v>473</v>
      </c>
      <c r="C297" s="3"/>
      <c r="D297" s="3"/>
      <c r="E297" s="3"/>
      <c r="F297" s="3"/>
      <c r="H297" s="1375" t="s">
        <v>2654</v>
      </c>
      <c r="I297" s="1375"/>
      <c r="J297" s="1375"/>
      <c r="K297" s="1375"/>
      <c r="L297" s="1375"/>
      <c r="M297" s="1375"/>
      <c r="N297" s="1375"/>
      <c r="O297" s="1375"/>
      <c r="P297" s="1375"/>
      <c r="Q297" s="1375"/>
      <c r="R297" s="1375"/>
      <c r="T297" s="3" t="s">
        <v>75</v>
      </c>
      <c r="V297" s="3"/>
      <c r="W297" s="3"/>
      <c r="X297" s="3"/>
      <c r="Y297" s="3"/>
      <c r="AA297" s="1375" t="s">
        <v>2648</v>
      </c>
      <c r="AB297" s="1375"/>
      <c r="AC297" s="1375"/>
      <c r="AD297" s="1375"/>
      <c r="AE297" s="1375"/>
      <c r="AF297" s="1375"/>
      <c r="AG297" s="1375"/>
      <c r="AH297" s="1375"/>
      <c r="AI297" s="1375"/>
      <c r="AJ297" s="1375"/>
      <c r="AK297" s="1375"/>
    </row>
    <row r="298" spans="2:37" ht="12.9" customHeight="1">
      <c r="B298" s="3" t="s">
        <v>87</v>
      </c>
      <c r="C298" s="3"/>
      <c r="D298" s="3"/>
      <c r="E298" s="3"/>
      <c r="F298" s="3"/>
      <c r="H298" s="1375" t="s">
        <v>2655</v>
      </c>
      <c r="I298" s="1375"/>
      <c r="J298" s="1375"/>
      <c r="K298" s="1375"/>
      <c r="L298" s="1375"/>
      <c r="M298" s="1375"/>
      <c r="N298" s="1375"/>
      <c r="O298" s="1375"/>
      <c r="P298" s="1375"/>
      <c r="Q298" s="1375"/>
      <c r="R298" s="1375"/>
      <c r="T298" s="3" t="s">
        <v>87</v>
      </c>
      <c r="V298" s="3"/>
      <c r="W298" s="3"/>
      <c r="X298" s="3"/>
      <c r="Y298" s="3"/>
      <c r="AA298" s="1375" t="s">
        <v>2638</v>
      </c>
      <c r="AB298" s="1375"/>
      <c r="AC298" s="1375"/>
      <c r="AD298" s="1375"/>
      <c r="AE298" s="1375"/>
      <c r="AF298" s="1375"/>
      <c r="AG298" s="1375"/>
      <c r="AH298" s="1375"/>
      <c r="AI298" s="1375"/>
      <c r="AJ298" s="1375"/>
      <c r="AK298" s="1375"/>
    </row>
    <row r="299" spans="2:37" ht="12.9" customHeight="1">
      <c r="B299" s="3" t="s">
        <v>88</v>
      </c>
      <c r="C299" s="3"/>
      <c r="D299" s="3"/>
      <c r="E299" s="3"/>
      <c r="F299" s="3"/>
      <c r="G299" s="3"/>
      <c r="H299" s="1544" t="s">
        <v>2656</v>
      </c>
      <c r="I299" s="1544"/>
      <c r="J299" s="1544"/>
      <c r="K299" s="1544"/>
      <c r="L299" s="1544"/>
      <c r="M299" s="1544"/>
      <c r="N299" s="4" t="s">
        <v>206</v>
      </c>
      <c r="O299" s="4"/>
      <c r="P299" s="1528"/>
      <c r="Q299" s="1528"/>
      <c r="R299" s="1528"/>
      <c r="S299" s="3"/>
      <c r="T299" s="3" t="s">
        <v>88</v>
      </c>
      <c r="V299" s="3"/>
      <c r="W299" s="3"/>
      <c r="X299" s="3"/>
      <c r="Y299" s="3"/>
      <c r="AA299" s="1544" t="s">
        <v>2650</v>
      </c>
      <c r="AB299" s="1544"/>
      <c r="AC299" s="1544"/>
      <c r="AD299" s="1544"/>
      <c r="AE299" s="1544"/>
      <c r="AF299" s="1544"/>
      <c r="AG299" s="4" t="s">
        <v>206</v>
      </c>
      <c r="AH299" s="4"/>
      <c r="AI299" s="1528"/>
      <c r="AJ299" s="1528"/>
      <c r="AK299" s="1528"/>
    </row>
    <row r="300" spans="2:37" ht="12.9"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t="s">
        <v>2651</v>
      </c>
      <c r="AB300" s="1489"/>
      <c r="AC300" s="1489"/>
      <c r="AD300" s="1489"/>
      <c r="AE300" s="1489"/>
      <c r="AF300" s="1489"/>
      <c r="AG300" s="4"/>
      <c r="AH300" s="4"/>
      <c r="AI300" s="35"/>
      <c r="AJ300" s="35"/>
      <c r="AK300" s="35"/>
    </row>
    <row r="301" spans="2:37" ht="12.9" customHeight="1">
      <c r="B301" s="3" t="s">
        <v>76</v>
      </c>
      <c r="C301" s="3"/>
      <c r="D301" s="3"/>
      <c r="E301" s="3"/>
      <c r="F301" s="3"/>
      <c r="G301" s="3"/>
      <c r="H301" s="1375" t="s">
        <v>2657</v>
      </c>
      <c r="I301" s="1375"/>
      <c r="J301" s="1375"/>
      <c r="K301" s="1375"/>
      <c r="L301" s="1375"/>
      <c r="M301" s="1375"/>
      <c r="N301" s="1438"/>
      <c r="O301" s="1438"/>
      <c r="P301" s="1438"/>
      <c r="Q301" s="1438"/>
      <c r="R301" s="1438"/>
      <c r="S301" s="3"/>
      <c r="T301" s="3" t="s">
        <v>76</v>
      </c>
      <c r="V301" s="3"/>
      <c r="W301" s="3"/>
      <c r="X301" s="3"/>
      <c r="Y301" s="3"/>
      <c r="AA301" s="1375" t="s">
        <v>2639</v>
      </c>
      <c r="AB301" s="1375"/>
      <c r="AC301" s="1375"/>
      <c r="AD301" s="1375"/>
      <c r="AE301" s="1375"/>
      <c r="AF301" s="1375"/>
      <c r="AG301" s="1438"/>
      <c r="AH301" s="1438"/>
      <c r="AI301" s="1438"/>
      <c r="AJ301" s="1438"/>
      <c r="AK301" s="1438"/>
    </row>
    <row r="302" spans="2:37" ht="12.9" customHeight="1"/>
    <row r="303" spans="2:37" ht="12.9" customHeight="1">
      <c r="B303" s="3" t="s">
        <v>77</v>
      </c>
      <c r="C303" s="3"/>
      <c r="D303" s="3"/>
      <c r="E303" s="3"/>
      <c r="F303" s="3"/>
      <c r="H303" s="1438" t="s">
        <v>2667</v>
      </c>
      <c r="I303" s="1438"/>
      <c r="J303" s="1438"/>
      <c r="K303" s="1438"/>
      <c r="L303" s="1438"/>
      <c r="M303" s="1438"/>
      <c r="N303" s="1438"/>
      <c r="O303" s="1438"/>
      <c r="P303" s="1438"/>
      <c r="Q303" s="1438"/>
      <c r="R303" s="1438"/>
      <c r="T303" s="4" t="s">
        <v>879</v>
      </c>
      <c r="V303" s="3"/>
      <c r="W303" s="3"/>
      <c r="X303" s="3"/>
      <c r="Y303" s="3"/>
      <c r="AA303" s="1438" t="s">
        <v>2673</v>
      </c>
      <c r="AB303" s="1438"/>
      <c r="AC303" s="1438"/>
      <c r="AD303" s="1438"/>
      <c r="AE303" s="1438"/>
      <c r="AF303" s="1438"/>
      <c r="AG303" s="1438"/>
      <c r="AH303" s="1438"/>
      <c r="AI303" s="1438"/>
      <c r="AJ303" s="1438"/>
      <c r="AK303" s="1438"/>
    </row>
    <row r="304" spans="2:37" ht="12.9" customHeight="1">
      <c r="B304" s="3" t="s">
        <v>472</v>
      </c>
      <c r="C304" s="3"/>
      <c r="D304" s="3"/>
      <c r="E304" s="3"/>
      <c r="F304" s="3"/>
      <c r="H304" s="1375" t="s">
        <v>2668</v>
      </c>
      <c r="I304" s="1375"/>
      <c r="J304" s="1375"/>
      <c r="K304" s="1375"/>
      <c r="L304" s="1375"/>
      <c r="M304" s="1375"/>
      <c r="N304" s="1375"/>
      <c r="O304" s="1375"/>
      <c r="P304" s="1375"/>
      <c r="Q304" s="1375"/>
      <c r="R304" s="1375"/>
      <c r="T304" s="3" t="s">
        <v>472</v>
      </c>
      <c r="V304" s="3"/>
      <c r="W304" s="3"/>
      <c r="X304" s="3"/>
      <c r="Y304" s="3"/>
      <c r="AA304" s="1375" t="s">
        <v>2674</v>
      </c>
      <c r="AB304" s="1375"/>
      <c r="AC304" s="1375"/>
      <c r="AD304" s="1375"/>
      <c r="AE304" s="1375"/>
      <c r="AF304" s="1375"/>
      <c r="AG304" s="1375"/>
      <c r="AH304" s="1375"/>
      <c r="AI304" s="1375"/>
      <c r="AJ304" s="1375"/>
      <c r="AK304" s="1375"/>
    </row>
    <row r="305" spans="2:37" ht="12.9" customHeight="1">
      <c r="B305" s="3" t="s">
        <v>473</v>
      </c>
      <c r="C305" s="3"/>
      <c r="D305" s="3"/>
      <c r="E305" s="3"/>
      <c r="F305" s="3"/>
      <c r="H305" s="1375" t="s">
        <v>2669</v>
      </c>
      <c r="I305" s="1375"/>
      <c r="J305" s="1375"/>
      <c r="K305" s="1375"/>
      <c r="L305" s="1375"/>
      <c r="M305" s="1375"/>
      <c r="N305" s="1375"/>
      <c r="O305" s="1375"/>
      <c r="P305" s="1375"/>
      <c r="Q305" s="1375"/>
      <c r="R305" s="1375"/>
      <c r="T305" s="3" t="s">
        <v>75</v>
      </c>
      <c r="V305" s="3"/>
      <c r="W305" s="3"/>
      <c r="X305" s="3"/>
      <c r="Y305" s="3"/>
      <c r="AA305" s="1375" t="s">
        <v>2648</v>
      </c>
      <c r="AB305" s="1375"/>
      <c r="AC305" s="1375"/>
      <c r="AD305" s="1375"/>
      <c r="AE305" s="1375"/>
      <c r="AF305" s="1375"/>
      <c r="AG305" s="1375"/>
      <c r="AH305" s="1375"/>
      <c r="AI305" s="1375"/>
      <c r="AJ305" s="1375"/>
      <c r="AK305" s="1375"/>
    </row>
    <row r="306" spans="2:37" ht="12.9" customHeight="1">
      <c r="B306" s="3" t="s">
        <v>87</v>
      </c>
      <c r="C306" s="3"/>
      <c r="D306" s="3"/>
      <c r="E306" s="3"/>
      <c r="F306" s="3"/>
      <c r="H306" s="1375" t="s">
        <v>2670</v>
      </c>
      <c r="I306" s="1375"/>
      <c r="J306" s="1375"/>
      <c r="K306" s="1375"/>
      <c r="L306" s="1375"/>
      <c r="M306" s="1375"/>
      <c r="N306" s="1375"/>
      <c r="O306" s="1375"/>
      <c r="P306" s="1375"/>
      <c r="Q306" s="1375"/>
      <c r="R306" s="1375"/>
      <c r="T306" s="3" t="s">
        <v>87</v>
      </c>
      <c r="V306" s="3"/>
      <c r="W306" s="3"/>
      <c r="X306" s="3"/>
      <c r="Y306" s="3"/>
      <c r="AA306" s="1375" t="s">
        <v>2675</v>
      </c>
      <c r="AB306" s="1375"/>
      <c r="AC306" s="1375"/>
      <c r="AD306" s="1375"/>
      <c r="AE306" s="1375"/>
      <c r="AF306" s="1375"/>
      <c r="AG306" s="1375"/>
      <c r="AH306" s="1375"/>
      <c r="AI306" s="1375"/>
      <c r="AJ306" s="1375"/>
      <c r="AK306" s="1375"/>
    </row>
    <row r="307" spans="2:37" ht="12.9" customHeight="1">
      <c r="B307" s="3" t="s">
        <v>88</v>
      </c>
      <c r="C307" s="3"/>
      <c r="D307" s="3"/>
      <c r="E307" s="3"/>
      <c r="F307" s="3"/>
      <c r="G307" s="3"/>
      <c r="H307" s="1544" t="s">
        <v>2671</v>
      </c>
      <c r="I307" s="1544"/>
      <c r="J307" s="1544"/>
      <c r="K307" s="1544"/>
      <c r="L307" s="1544"/>
      <c r="M307" s="1544"/>
      <c r="N307" s="4" t="s">
        <v>206</v>
      </c>
      <c r="O307" s="4"/>
      <c r="P307" s="1528"/>
      <c r="Q307" s="1528"/>
      <c r="R307" s="1528"/>
      <c r="S307" s="3"/>
      <c r="T307" s="3" t="s">
        <v>88</v>
      </c>
      <c r="V307" s="3"/>
      <c r="W307" s="3"/>
      <c r="X307" s="3"/>
      <c r="Y307" s="3"/>
      <c r="AA307" s="1544" t="s">
        <v>2676</v>
      </c>
      <c r="AB307" s="1544"/>
      <c r="AC307" s="1544"/>
      <c r="AD307" s="1544"/>
      <c r="AE307" s="1544"/>
      <c r="AF307" s="1544"/>
      <c r="AG307" s="4" t="s">
        <v>206</v>
      </c>
      <c r="AH307" s="4"/>
      <c r="AI307" s="1528"/>
      <c r="AJ307" s="1528"/>
      <c r="AK307" s="1528"/>
    </row>
    <row r="308" spans="2:37" ht="12.9"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2.9" customHeight="1">
      <c r="B309" s="3" t="s">
        <v>76</v>
      </c>
      <c r="C309" s="3"/>
      <c r="D309" s="3"/>
      <c r="E309" s="3"/>
      <c r="F309" s="3"/>
      <c r="G309" s="3"/>
      <c r="H309" s="1375" t="s">
        <v>2672</v>
      </c>
      <c r="I309" s="1375"/>
      <c r="J309" s="1375"/>
      <c r="K309" s="1375"/>
      <c r="L309" s="1375"/>
      <c r="M309" s="1375"/>
      <c r="N309" s="1438"/>
      <c r="O309" s="1438"/>
      <c r="P309" s="1438"/>
      <c r="Q309" s="1438"/>
      <c r="R309" s="1438"/>
      <c r="S309" s="3"/>
      <c r="T309" s="3" t="s">
        <v>76</v>
      </c>
      <c r="V309" s="3"/>
      <c r="W309" s="3"/>
      <c r="X309" s="3"/>
      <c r="Y309" s="3"/>
      <c r="AA309" s="1375" t="s">
        <v>2677</v>
      </c>
      <c r="AB309" s="1375"/>
      <c r="AC309" s="1375"/>
      <c r="AD309" s="1375"/>
      <c r="AE309" s="1375"/>
      <c r="AF309" s="1375"/>
      <c r="AG309" s="1438"/>
      <c r="AH309" s="1438"/>
      <c r="AI309" s="1438"/>
      <c r="AJ309" s="1438"/>
      <c r="AK309" s="1438"/>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438"/>
      <c r="I311" s="1438"/>
      <c r="J311" s="1438"/>
      <c r="K311" s="1438"/>
      <c r="L311" s="1438"/>
      <c r="M311" s="1438"/>
      <c r="N311" s="1438"/>
      <c r="O311" s="1438"/>
      <c r="P311" s="1438"/>
      <c r="Q311" s="1438"/>
      <c r="R311" s="1438"/>
      <c r="S311" s="3"/>
      <c r="T311" s="3" t="s">
        <v>365</v>
      </c>
      <c r="V311" s="3"/>
      <c r="W311" s="3"/>
      <c r="X311" s="3"/>
      <c r="Y311" s="3"/>
      <c r="AA311" s="1438" t="s">
        <v>2678</v>
      </c>
      <c r="AB311" s="1438"/>
      <c r="AC311" s="1438"/>
      <c r="AD311" s="1438"/>
      <c r="AE311" s="1438"/>
      <c r="AF311" s="1438"/>
      <c r="AG311" s="1438"/>
      <c r="AH311" s="1438"/>
      <c r="AI311" s="1438"/>
      <c r="AJ311" s="1438"/>
      <c r="AK311" s="1438"/>
    </row>
    <row r="312" spans="2:37" ht="12.9" customHeight="1">
      <c r="B312" s="3" t="s">
        <v>472</v>
      </c>
      <c r="C312" s="3"/>
      <c r="D312" s="3"/>
      <c r="E312" s="3"/>
      <c r="F312" s="3"/>
      <c r="H312" s="1375"/>
      <c r="I312" s="1375"/>
      <c r="J312" s="1375"/>
      <c r="K312" s="1375"/>
      <c r="L312" s="1375"/>
      <c r="M312" s="1375"/>
      <c r="N312" s="1375"/>
      <c r="O312" s="1375"/>
      <c r="P312" s="1375"/>
      <c r="Q312" s="1375"/>
      <c r="R312" s="1375"/>
      <c r="S312" s="3"/>
      <c r="T312" s="3" t="s">
        <v>472</v>
      </c>
      <c r="V312" s="3"/>
      <c r="W312" s="3"/>
      <c r="X312" s="3"/>
      <c r="Y312" s="3"/>
      <c r="AA312" s="1375" t="s">
        <v>2679</v>
      </c>
      <c r="AB312" s="1375"/>
      <c r="AC312" s="1375"/>
      <c r="AD312" s="1375"/>
      <c r="AE312" s="1375"/>
      <c r="AF312" s="1375"/>
      <c r="AG312" s="1375"/>
      <c r="AH312" s="1375"/>
      <c r="AI312" s="1375"/>
      <c r="AJ312" s="1375"/>
      <c r="AK312" s="1375"/>
    </row>
    <row r="313" spans="2:37" ht="12.9" customHeight="1">
      <c r="B313" s="3" t="s">
        <v>473</v>
      </c>
      <c r="C313" s="3"/>
      <c r="D313" s="3"/>
      <c r="E313" s="3"/>
      <c r="F313" s="3"/>
      <c r="H313" s="1375"/>
      <c r="I313" s="1375"/>
      <c r="J313" s="1375"/>
      <c r="K313" s="1375"/>
      <c r="L313" s="1375"/>
      <c r="M313" s="1375"/>
      <c r="N313" s="1375"/>
      <c r="O313" s="1375"/>
      <c r="P313" s="1375"/>
      <c r="Q313" s="1375"/>
      <c r="R313" s="1375"/>
      <c r="S313" s="3"/>
      <c r="T313" s="3" t="s">
        <v>75</v>
      </c>
      <c r="V313" s="3"/>
      <c r="W313" s="3"/>
      <c r="X313" s="3"/>
      <c r="Y313" s="3"/>
      <c r="AA313" s="1375" t="s">
        <v>2680</v>
      </c>
      <c r="AB313" s="1375"/>
      <c r="AC313" s="1375"/>
      <c r="AD313" s="1375"/>
      <c r="AE313" s="1375"/>
      <c r="AF313" s="1375"/>
      <c r="AG313" s="1375"/>
      <c r="AH313" s="1375"/>
      <c r="AI313" s="1375"/>
      <c r="AJ313" s="1375"/>
      <c r="AK313" s="1375"/>
    </row>
    <row r="314" spans="2:37" ht="12.9" customHeight="1">
      <c r="B314" s="3" t="s">
        <v>87</v>
      </c>
      <c r="C314" s="3"/>
      <c r="D314" s="3"/>
      <c r="E314" s="3"/>
      <c r="F314" s="3"/>
      <c r="H314" s="1375"/>
      <c r="I314" s="1375"/>
      <c r="J314" s="1375"/>
      <c r="K314" s="1375"/>
      <c r="L314" s="1375"/>
      <c r="M314" s="1375"/>
      <c r="N314" s="1375"/>
      <c r="O314" s="1375"/>
      <c r="P314" s="1375"/>
      <c r="Q314" s="1375"/>
      <c r="R314" s="1375"/>
      <c r="S314" s="3"/>
      <c r="T314" s="3" t="s">
        <v>87</v>
      </c>
      <c r="V314" s="3"/>
      <c r="W314" s="3"/>
      <c r="X314" s="3"/>
      <c r="Y314" s="3"/>
      <c r="AA314" s="1375" t="s">
        <v>2681</v>
      </c>
      <c r="AB314" s="1375"/>
      <c r="AC314" s="1375"/>
      <c r="AD314" s="1375"/>
      <c r="AE314" s="1375"/>
      <c r="AF314" s="1375"/>
      <c r="AG314" s="1375"/>
      <c r="AH314" s="1375"/>
      <c r="AI314" s="1375"/>
      <c r="AJ314" s="1375"/>
      <c r="AK314" s="1375"/>
    </row>
    <row r="315" spans="2:37" ht="12.9" customHeight="1">
      <c r="B315" s="3" t="s">
        <v>88</v>
      </c>
      <c r="C315" s="3"/>
      <c r="D315" s="3"/>
      <c r="E315" s="3"/>
      <c r="F315" s="3"/>
      <c r="G315" s="3"/>
      <c r="H315" s="1544"/>
      <c r="I315" s="1544"/>
      <c r="J315" s="1544"/>
      <c r="K315" s="1544"/>
      <c r="L315" s="1544"/>
      <c r="M315" s="1544"/>
      <c r="N315" s="4" t="s">
        <v>206</v>
      </c>
      <c r="O315" s="4"/>
      <c r="P315" s="1528"/>
      <c r="Q315" s="1528"/>
      <c r="R315" s="1528"/>
      <c r="S315" s="3"/>
      <c r="T315" s="3" t="s">
        <v>88</v>
      </c>
      <c r="V315" s="3"/>
      <c r="W315" s="3"/>
      <c r="X315" s="3"/>
      <c r="Y315" s="3"/>
      <c r="AA315" s="1544" t="s">
        <v>2682</v>
      </c>
      <c r="AB315" s="1544"/>
      <c r="AC315" s="1544"/>
      <c r="AD315" s="1544"/>
      <c r="AE315" s="1544"/>
      <c r="AF315" s="1544"/>
      <c r="AG315" s="4" t="s">
        <v>206</v>
      </c>
      <c r="AH315" s="4"/>
      <c r="AI315" s="1528"/>
      <c r="AJ315" s="1528"/>
      <c r="AK315" s="1528"/>
    </row>
    <row r="316" spans="2:37" ht="12.9"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2.9" customHeight="1">
      <c r="B317" s="3" t="s">
        <v>76</v>
      </c>
      <c r="C317" s="3"/>
      <c r="D317" s="3"/>
      <c r="E317" s="3"/>
      <c r="F317" s="3"/>
      <c r="G317" s="3"/>
      <c r="H317" s="1375"/>
      <c r="I317" s="1375"/>
      <c r="J317" s="1375"/>
      <c r="K317" s="1375"/>
      <c r="L317" s="1375"/>
      <c r="M317" s="1375"/>
      <c r="N317" s="1438"/>
      <c r="O317" s="1438"/>
      <c r="P317" s="1438"/>
      <c r="Q317" s="1438"/>
      <c r="R317" s="1438"/>
      <c r="S317" s="3"/>
      <c r="T317" s="3" t="s">
        <v>76</v>
      </c>
      <c r="V317" s="3"/>
      <c r="W317" s="3"/>
      <c r="X317" s="3"/>
      <c r="Y317" s="3"/>
      <c r="AA317" s="1375" t="s">
        <v>2683</v>
      </c>
      <c r="AB317" s="1375"/>
      <c r="AC317" s="1375"/>
      <c r="AD317" s="1375"/>
      <c r="AE317" s="1375"/>
      <c r="AF317" s="1375"/>
      <c r="AG317" s="1438"/>
      <c r="AH317" s="1438"/>
      <c r="AI317" s="1438"/>
      <c r="AJ317" s="1438"/>
      <c r="AK317" s="1438"/>
    </row>
    <row r="318" spans="2:37" ht="12.9" customHeight="1"/>
    <row r="319" spans="2:37" ht="12.9" customHeight="1">
      <c r="B319" s="4" t="s">
        <v>909</v>
      </c>
      <c r="C319" s="3"/>
      <c r="D319" s="3"/>
      <c r="E319" s="3"/>
      <c r="F319" s="3"/>
      <c r="H319" s="1438"/>
      <c r="I319" s="1438"/>
      <c r="J319" s="1438"/>
      <c r="K319" s="1438"/>
      <c r="L319" s="1438"/>
      <c r="M319" s="1438"/>
      <c r="N319" s="1438"/>
      <c r="O319" s="1438"/>
      <c r="P319" s="1438"/>
      <c r="Q319" s="1438"/>
      <c r="R319" s="1438"/>
      <c r="T319" s="3" t="s">
        <v>366</v>
      </c>
      <c r="V319" s="3"/>
      <c r="W319" s="3"/>
      <c r="X319" s="3"/>
      <c r="Y319" s="3"/>
      <c r="AA319" s="1438" t="s">
        <v>2684</v>
      </c>
      <c r="AB319" s="1438"/>
      <c r="AC319" s="1438"/>
      <c r="AD319" s="1438"/>
      <c r="AE319" s="1438"/>
      <c r="AF319" s="1438"/>
      <c r="AG319" s="1438"/>
      <c r="AH319" s="1438"/>
      <c r="AI319" s="1438"/>
      <c r="AJ319" s="1438"/>
      <c r="AK319" s="1438"/>
    </row>
    <row r="320" spans="2:37" ht="12.9" customHeight="1">
      <c r="B320" s="3" t="s">
        <v>472</v>
      </c>
      <c r="C320" s="3"/>
      <c r="D320" s="3"/>
      <c r="E320" s="3"/>
      <c r="F320" s="3"/>
      <c r="H320" s="1375"/>
      <c r="I320" s="1375"/>
      <c r="J320" s="1375"/>
      <c r="K320" s="1375"/>
      <c r="L320" s="1375"/>
      <c r="M320" s="1375"/>
      <c r="N320" s="1375"/>
      <c r="O320" s="1375"/>
      <c r="P320" s="1375"/>
      <c r="Q320" s="1375"/>
      <c r="R320" s="1375"/>
      <c r="T320" s="3" t="s">
        <v>472</v>
      </c>
      <c r="V320" s="3"/>
      <c r="W320" s="3"/>
      <c r="X320" s="3"/>
      <c r="Y320" s="3"/>
      <c r="AA320" s="1375" t="s">
        <v>2685</v>
      </c>
      <c r="AB320" s="1375"/>
      <c r="AC320" s="1375"/>
      <c r="AD320" s="1375"/>
      <c r="AE320" s="1375"/>
      <c r="AF320" s="1375"/>
      <c r="AG320" s="1375"/>
      <c r="AH320" s="1375"/>
      <c r="AI320" s="1375"/>
      <c r="AJ320" s="1375"/>
      <c r="AK320" s="1375"/>
    </row>
    <row r="321" spans="2:37" ht="12.9" customHeight="1">
      <c r="B321" s="3" t="s">
        <v>473</v>
      </c>
      <c r="C321" s="3"/>
      <c r="D321" s="3"/>
      <c r="E321" s="3"/>
      <c r="F321" s="3"/>
      <c r="H321" s="1375"/>
      <c r="I321" s="1375"/>
      <c r="J321" s="1375"/>
      <c r="K321" s="1375"/>
      <c r="L321" s="1375"/>
      <c r="M321" s="1375"/>
      <c r="N321" s="1375"/>
      <c r="O321" s="1375"/>
      <c r="P321" s="1375"/>
      <c r="Q321" s="1375"/>
      <c r="R321" s="1375"/>
      <c r="T321" s="3" t="s">
        <v>75</v>
      </c>
      <c r="V321" s="3"/>
      <c r="W321" s="3"/>
      <c r="X321" s="3"/>
      <c r="Y321" s="3"/>
      <c r="AA321" s="1375" t="s">
        <v>2686</v>
      </c>
      <c r="AB321" s="1375"/>
      <c r="AC321" s="1375"/>
      <c r="AD321" s="1375"/>
      <c r="AE321" s="1375"/>
      <c r="AF321" s="1375"/>
      <c r="AG321" s="1375"/>
      <c r="AH321" s="1375"/>
      <c r="AI321" s="1375"/>
      <c r="AJ321" s="1375"/>
      <c r="AK321" s="1375"/>
    </row>
    <row r="322" spans="2:37" ht="12.9" customHeight="1">
      <c r="B322" s="3" t="s">
        <v>87</v>
      </c>
      <c r="C322" s="3"/>
      <c r="D322" s="3"/>
      <c r="E322" s="3"/>
      <c r="F322" s="3"/>
      <c r="H322" s="1375"/>
      <c r="I322" s="1375"/>
      <c r="J322" s="1375"/>
      <c r="K322" s="1375"/>
      <c r="L322" s="1375"/>
      <c r="M322" s="1375"/>
      <c r="N322" s="1375"/>
      <c r="O322" s="1375"/>
      <c r="P322" s="1375"/>
      <c r="Q322" s="1375"/>
      <c r="R322" s="1375"/>
      <c r="T322" s="3" t="s">
        <v>87</v>
      </c>
      <c r="V322" s="3"/>
      <c r="W322" s="3"/>
      <c r="X322" s="3"/>
      <c r="Y322" s="3"/>
      <c r="AA322" s="1375" t="s">
        <v>2687</v>
      </c>
      <c r="AB322" s="1375"/>
      <c r="AC322" s="1375"/>
      <c r="AD322" s="1375"/>
      <c r="AE322" s="1375"/>
      <c r="AF322" s="1375"/>
      <c r="AG322" s="1375"/>
      <c r="AH322" s="1375"/>
      <c r="AI322" s="1375"/>
      <c r="AJ322" s="1375"/>
      <c r="AK322" s="1375"/>
    </row>
    <row r="323" spans="2:37" ht="12.9" customHeight="1">
      <c r="B323" s="3" t="s">
        <v>88</v>
      </c>
      <c r="C323" s="3"/>
      <c r="D323" s="3"/>
      <c r="E323" s="3"/>
      <c r="F323" s="3"/>
      <c r="G323" s="3"/>
      <c r="H323" s="1544"/>
      <c r="I323" s="1544"/>
      <c r="J323" s="1544"/>
      <c r="K323" s="1544"/>
      <c r="L323" s="1544"/>
      <c r="M323" s="1544"/>
      <c r="N323" s="4" t="s">
        <v>206</v>
      </c>
      <c r="O323" s="4"/>
      <c r="P323" s="1528"/>
      <c r="Q323" s="1528"/>
      <c r="R323" s="1528"/>
      <c r="S323" s="3"/>
      <c r="T323" s="3" t="s">
        <v>88</v>
      </c>
      <c r="V323" s="3"/>
      <c r="W323" s="3"/>
      <c r="X323" s="3"/>
      <c r="Y323" s="3"/>
      <c r="AA323" s="1544" t="s">
        <v>2688</v>
      </c>
      <c r="AB323" s="1544"/>
      <c r="AC323" s="1544"/>
      <c r="AD323" s="1544"/>
      <c r="AE323" s="1544"/>
      <c r="AF323" s="1544"/>
      <c r="AG323" s="4" t="s">
        <v>206</v>
      </c>
      <c r="AH323" s="4"/>
      <c r="AI323" s="1528"/>
      <c r="AJ323" s="1528"/>
      <c r="AK323" s="1528"/>
    </row>
    <row r="324" spans="2:37" ht="12.9"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t="s">
        <v>2689</v>
      </c>
      <c r="AB324" s="1489"/>
      <c r="AC324" s="1489"/>
      <c r="AD324" s="1489"/>
      <c r="AE324" s="1489"/>
      <c r="AF324" s="1489"/>
      <c r="AG324" s="4"/>
      <c r="AH324" s="4"/>
      <c r="AI324" s="35"/>
      <c r="AJ324" s="35"/>
      <c r="AK324" s="35"/>
    </row>
    <row r="325" spans="2:37" ht="12.9" customHeight="1">
      <c r="B325" s="3" t="s">
        <v>76</v>
      </c>
      <c r="C325" s="3"/>
      <c r="D325" s="3"/>
      <c r="E325" s="3"/>
      <c r="F325" s="3"/>
      <c r="G325" s="3"/>
      <c r="H325" s="1375"/>
      <c r="I325" s="1375"/>
      <c r="J325" s="1375"/>
      <c r="K325" s="1375"/>
      <c r="L325" s="1375"/>
      <c r="M325" s="1375"/>
      <c r="N325" s="1438"/>
      <c r="O325" s="1438"/>
      <c r="P325" s="1438"/>
      <c r="Q325" s="1438"/>
      <c r="R325" s="1438"/>
      <c r="S325" s="3"/>
      <c r="T325" s="3" t="s">
        <v>76</v>
      </c>
      <c r="V325" s="3"/>
      <c r="W325" s="3"/>
      <c r="X325" s="3"/>
      <c r="Y325" s="3"/>
      <c r="AA325" s="1375" t="s">
        <v>2690</v>
      </c>
      <c r="AB325" s="1375"/>
      <c r="AC325" s="1375"/>
      <c r="AD325" s="1375"/>
      <c r="AE325" s="1375"/>
      <c r="AF325" s="1375"/>
      <c r="AG325" s="1438"/>
      <c r="AH325" s="1438"/>
      <c r="AI325" s="1438"/>
      <c r="AJ325" s="1438"/>
      <c r="AK325" s="1438"/>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38"/>
      <c r="I327" s="1438"/>
      <c r="J327" s="1438"/>
      <c r="K327" s="1438"/>
      <c r="L327" s="1438"/>
      <c r="M327" s="1438"/>
      <c r="N327" s="1438"/>
      <c r="O327" s="1438"/>
      <c r="P327" s="1438"/>
      <c r="Q327" s="1438"/>
      <c r="R327" s="1438"/>
      <c r="T327" s="3" t="s">
        <v>368</v>
      </c>
      <c r="V327" s="3"/>
      <c r="W327" s="3"/>
      <c r="X327" s="3"/>
      <c r="Y327" s="3"/>
      <c r="AA327" s="1438"/>
      <c r="AB327" s="1438"/>
      <c r="AC327" s="1438"/>
      <c r="AD327" s="1438"/>
      <c r="AE327" s="1438"/>
      <c r="AF327" s="1438"/>
      <c r="AG327" s="1438"/>
      <c r="AH327" s="1438"/>
      <c r="AI327" s="1438"/>
      <c r="AJ327" s="1438"/>
      <c r="AK327" s="1438"/>
    </row>
    <row r="328" spans="2:37" ht="12.9" customHeight="1">
      <c r="B328" s="3" t="s">
        <v>472</v>
      </c>
      <c r="C328" s="3"/>
      <c r="D328" s="3"/>
      <c r="E328" s="3"/>
      <c r="F328" s="3"/>
      <c r="H328" s="1375"/>
      <c r="I328" s="1375"/>
      <c r="J328" s="1375"/>
      <c r="K328" s="1375"/>
      <c r="L328" s="1375"/>
      <c r="M328" s="1375"/>
      <c r="N328" s="1375"/>
      <c r="O328" s="1375"/>
      <c r="P328" s="1375"/>
      <c r="Q328" s="1375"/>
      <c r="R328" s="1375"/>
      <c r="T328" s="3" t="s">
        <v>472</v>
      </c>
      <c r="V328" s="3"/>
      <c r="W328" s="3"/>
      <c r="X328" s="3"/>
      <c r="Y328" s="3"/>
      <c r="AA328" s="1375"/>
      <c r="AB328" s="1375"/>
      <c r="AC328" s="1375"/>
      <c r="AD328" s="1375"/>
      <c r="AE328" s="1375"/>
      <c r="AF328" s="1375"/>
      <c r="AG328" s="1375"/>
      <c r="AH328" s="1375"/>
      <c r="AI328" s="1375"/>
      <c r="AJ328" s="1375"/>
      <c r="AK328" s="1375"/>
    </row>
    <row r="329" spans="2:37" ht="12.9" customHeight="1">
      <c r="B329" s="3" t="s">
        <v>473</v>
      </c>
      <c r="C329" s="3"/>
      <c r="D329" s="3"/>
      <c r="E329" s="3"/>
      <c r="F329" s="3"/>
      <c r="H329" s="1375"/>
      <c r="I329" s="1375"/>
      <c r="J329" s="1375"/>
      <c r="K329" s="1375"/>
      <c r="L329" s="1375"/>
      <c r="M329" s="1375"/>
      <c r="N329" s="1375"/>
      <c r="O329" s="1375"/>
      <c r="P329" s="1375"/>
      <c r="Q329" s="1375"/>
      <c r="R329" s="1375"/>
      <c r="T329" s="3" t="s">
        <v>75</v>
      </c>
      <c r="V329" s="3"/>
      <c r="W329" s="3"/>
      <c r="X329" s="3"/>
      <c r="Y329" s="3"/>
      <c r="AA329" s="1375"/>
      <c r="AB329" s="1375"/>
      <c r="AC329" s="1375"/>
      <c r="AD329" s="1375"/>
      <c r="AE329" s="1375"/>
      <c r="AF329" s="1375"/>
      <c r="AG329" s="1375"/>
      <c r="AH329" s="1375"/>
      <c r="AI329" s="1375"/>
      <c r="AJ329" s="1375"/>
      <c r="AK329" s="1375"/>
    </row>
    <row r="330" spans="2:37" ht="12.9" customHeight="1">
      <c r="B330" s="3" t="s">
        <v>87</v>
      </c>
      <c r="C330" s="3"/>
      <c r="D330" s="3"/>
      <c r="E330" s="3"/>
      <c r="F330" s="3"/>
      <c r="H330" s="1375"/>
      <c r="I330" s="1375"/>
      <c r="J330" s="1375"/>
      <c r="K330" s="1375"/>
      <c r="L330" s="1375"/>
      <c r="M330" s="1375"/>
      <c r="N330" s="1375"/>
      <c r="O330" s="1375"/>
      <c r="P330" s="1375"/>
      <c r="Q330" s="1375"/>
      <c r="R330" s="1375"/>
      <c r="T330" s="3" t="s">
        <v>87</v>
      </c>
      <c r="V330" s="3"/>
      <c r="W330" s="3"/>
      <c r="X330" s="3"/>
      <c r="Y330" s="3"/>
      <c r="AA330" s="1375"/>
      <c r="AB330" s="1375"/>
      <c r="AC330" s="1375"/>
      <c r="AD330" s="1375"/>
      <c r="AE330" s="1375"/>
      <c r="AF330" s="1375"/>
      <c r="AG330" s="1375"/>
      <c r="AH330" s="1375"/>
      <c r="AI330" s="1375"/>
      <c r="AJ330" s="1375"/>
      <c r="AK330" s="1375"/>
    </row>
    <row r="331" spans="2:37" ht="12.9" customHeight="1">
      <c r="B331" s="3" t="s">
        <v>88</v>
      </c>
      <c r="C331" s="3"/>
      <c r="D331" s="3"/>
      <c r="E331" s="3"/>
      <c r="F331" s="3"/>
      <c r="G331" s="3"/>
      <c r="H331" s="1544"/>
      <c r="I331" s="1544"/>
      <c r="J331" s="1544"/>
      <c r="K331" s="1544"/>
      <c r="L331" s="1544"/>
      <c r="M331" s="1544"/>
      <c r="N331" s="4" t="s">
        <v>206</v>
      </c>
      <c r="O331" s="4"/>
      <c r="P331" s="1528"/>
      <c r="Q331" s="1528"/>
      <c r="R331" s="1528"/>
      <c r="S331" s="3"/>
      <c r="T331" s="3" t="s">
        <v>88</v>
      </c>
      <c r="V331" s="3"/>
      <c r="W331" s="3"/>
      <c r="X331" s="3"/>
      <c r="Y331" s="3"/>
      <c r="AA331" s="1544"/>
      <c r="AB331" s="1544"/>
      <c r="AC331" s="1544"/>
      <c r="AD331" s="1544"/>
      <c r="AE331" s="1544"/>
      <c r="AF331" s="1544"/>
      <c r="AG331" s="4" t="s">
        <v>206</v>
      </c>
      <c r="AH331" s="4"/>
      <c r="AI331" s="1528"/>
      <c r="AJ331" s="1528"/>
      <c r="AK331" s="1528"/>
    </row>
    <row r="332" spans="2:37" ht="12.9"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 customHeight="1">
      <c r="B333" s="3" t="s">
        <v>76</v>
      </c>
      <c r="C333" s="3"/>
      <c r="D333" s="3"/>
      <c r="E333" s="3"/>
      <c r="F333" s="3"/>
      <c r="G333" s="3"/>
      <c r="H333" s="1375"/>
      <c r="I333" s="1375"/>
      <c r="J333" s="1375"/>
      <c r="K333" s="1375"/>
      <c r="L333" s="1375"/>
      <c r="M333" s="1375"/>
      <c r="N333" s="1438"/>
      <c r="O333" s="1438"/>
      <c r="P333" s="1438"/>
      <c r="Q333" s="1438"/>
      <c r="R333" s="1438"/>
      <c r="S333" s="3"/>
      <c r="T333" s="3" t="s">
        <v>76</v>
      </c>
      <c r="V333" s="3"/>
      <c r="W333" s="3"/>
      <c r="X333" s="3"/>
      <c r="Y333" s="3"/>
      <c r="AA333" s="1375"/>
      <c r="AB333" s="1375"/>
      <c r="AC333" s="1375"/>
      <c r="AD333" s="1375"/>
      <c r="AE333" s="1375"/>
      <c r="AF333" s="1375"/>
      <c r="AG333" s="1438"/>
      <c r="AH333" s="1438"/>
      <c r="AI333" s="1438"/>
      <c r="AJ333" s="1438"/>
      <c r="AK333" s="1438"/>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525" t="s">
        <v>2701</v>
      </c>
      <c r="I335" s="1438"/>
      <c r="J335" s="1438"/>
      <c r="K335" s="1438"/>
      <c r="L335" s="1438"/>
      <c r="M335" s="1438"/>
      <c r="N335" s="1438"/>
      <c r="O335" s="1438"/>
      <c r="P335" s="1438"/>
      <c r="Q335" s="1438"/>
      <c r="R335" s="1438"/>
      <c r="T335" s="204" t="s">
        <v>887</v>
      </c>
      <c r="V335" s="3"/>
      <c r="W335" s="3"/>
      <c r="X335" s="3"/>
      <c r="Y335" s="3"/>
      <c r="AA335" s="1438" t="s">
        <v>2691</v>
      </c>
      <c r="AB335" s="1438"/>
      <c r="AC335" s="1438"/>
      <c r="AD335" s="1438"/>
      <c r="AE335" s="1438"/>
      <c r="AF335" s="1438"/>
      <c r="AG335" s="1438"/>
      <c r="AH335" s="1438"/>
      <c r="AI335" s="1438"/>
      <c r="AJ335" s="1438"/>
      <c r="AK335" s="1438"/>
    </row>
    <row r="336" spans="2:37" ht="12.9" customHeight="1">
      <c r="B336" s="3" t="s">
        <v>472</v>
      </c>
      <c r="C336" s="3"/>
      <c r="D336" s="3"/>
      <c r="E336" s="3"/>
      <c r="F336" s="3"/>
      <c r="H336" s="1520" t="s">
        <v>2704</v>
      </c>
      <c r="I336" s="1375"/>
      <c r="J336" s="1375"/>
      <c r="K336" s="1375"/>
      <c r="L336" s="1375"/>
      <c r="M336" s="1375"/>
      <c r="N336" s="1375"/>
      <c r="O336" s="1375"/>
      <c r="P336" s="1375"/>
      <c r="Q336" s="1375"/>
      <c r="R336" s="1375"/>
      <c r="T336" s="3" t="s">
        <v>472</v>
      </c>
      <c r="V336" s="3"/>
      <c r="W336" s="3"/>
      <c r="X336" s="3"/>
      <c r="Y336" s="3"/>
      <c r="AA336" s="1375" t="s">
        <v>2666</v>
      </c>
      <c r="AB336" s="1375"/>
      <c r="AC336" s="1375"/>
      <c r="AD336" s="1375"/>
      <c r="AE336" s="1375"/>
      <c r="AF336" s="1375"/>
      <c r="AG336" s="1375"/>
      <c r="AH336" s="1375"/>
      <c r="AI336" s="1375"/>
      <c r="AJ336" s="1375"/>
      <c r="AK336" s="1375"/>
    </row>
    <row r="337" spans="1:66" ht="12.9" customHeight="1">
      <c r="B337" s="3" t="s">
        <v>75</v>
      </c>
      <c r="C337" s="3"/>
      <c r="D337" s="3"/>
      <c r="E337" s="3"/>
      <c r="F337" s="3"/>
      <c r="H337" s="1520" t="s">
        <v>2705</v>
      </c>
      <c r="I337" s="1375"/>
      <c r="J337" s="1375"/>
      <c r="K337" s="1375"/>
      <c r="L337" s="1375"/>
      <c r="M337" s="1375"/>
      <c r="N337" s="1375"/>
      <c r="O337" s="1375"/>
      <c r="P337" s="1375"/>
      <c r="Q337" s="1375"/>
      <c r="R337" s="1375"/>
      <c r="T337" s="3" t="s">
        <v>75</v>
      </c>
      <c r="V337" s="3"/>
      <c r="W337" s="3"/>
      <c r="X337" s="3"/>
      <c r="Y337" s="3"/>
      <c r="AA337" s="1375" t="s">
        <v>2648</v>
      </c>
      <c r="AB337" s="1375"/>
      <c r="AC337" s="1375"/>
      <c r="AD337" s="1375"/>
      <c r="AE337" s="1375"/>
      <c r="AF337" s="1375"/>
      <c r="AG337" s="1375"/>
      <c r="AH337" s="1375"/>
      <c r="AI337" s="1375"/>
      <c r="AJ337" s="1375"/>
      <c r="AK337" s="1375"/>
    </row>
    <row r="338" spans="1:66" ht="12.9" customHeight="1">
      <c r="B338" s="3" t="s">
        <v>87</v>
      </c>
      <c r="C338" s="3"/>
      <c r="D338" s="3"/>
      <c r="E338" s="3"/>
      <c r="F338" s="3"/>
      <c r="G338" s="3"/>
      <c r="H338" s="1520" t="s">
        <v>2706</v>
      </c>
      <c r="I338" s="1375"/>
      <c r="J338" s="1375"/>
      <c r="K338" s="1375"/>
      <c r="L338" s="1375"/>
      <c r="M338" s="1375"/>
      <c r="N338" s="1375"/>
      <c r="O338" s="1375"/>
      <c r="P338" s="1375"/>
      <c r="Q338" s="1375"/>
      <c r="R338" s="1375"/>
      <c r="T338" s="3" t="s">
        <v>87</v>
      </c>
      <c r="V338" s="3"/>
      <c r="W338" s="3"/>
      <c r="X338" s="3"/>
      <c r="Y338" s="3"/>
      <c r="AA338" s="1375" t="s">
        <v>2692</v>
      </c>
      <c r="AB338" s="1375"/>
      <c r="AC338" s="1375"/>
      <c r="AD338" s="1375"/>
      <c r="AE338" s="1375"/>
      <c r="AF338" s="1375"/>
      <c r="AG338" s="1375"/>
      <c r="AH338" s="1375"/>
      <c r="AI338" s="1375"/>
      <c r="AJ338" s="1375"/>
      <c r="AK338" s="1375"/>
    </row>
    <row r="339" spans="1:66" ht="12.9" customHeight="1">
      <c r="B339" s="3" t="s">
        <v>88</v>
      </c>
      <c r="C339" s="3"/>
      <c r="D339" s="3"/>
      <c r="E339" s="3"/>
      <c r="F339" s="3"/>
      <c r="G339" s="3"/>
      <c r="H339" s="1544">
        <v>7609408922</v>
      </c>
      <c r="I339" s="1544"/>
      <c r="J339" s="1544"/>
      <c r="K339" s="1544"/>
      <c r="L339" s="1544"/>
      <c r="M339" s="1544"/>
      <c r="N339" s="4" t="s">
        <v>206</v>
      </c>
      <c r="O339" s="4"/>
      <c r="P339" s="1528"/>
      <c r="Q339" s="1528"/>
      <c r="R339" s="1528"/>
      <c r="S339" s="3"/>
      <c r="T339" s="3" t="s">
        <v>88</v>
      </c>
      <c r="V339" s="3"/>
      <c r="W339" s="3"/>
      <c r="X339" s="3"/>
      <c r="Y339" s="3"/>
      <c r="AA339" s="1544" t="s">
        <v>2693</v>
      </c>
      <c r="AB339" s="1544"/>
      <c r="AC339" s="1544"/>
      <c r="AD339" s="1544"/>
      <c r="AE339" s="1544"/>
      <c r="AF339" s="1544"/>
      <c r="AG339" s="4" t="s">
        <v>206</v>
      </c>
      <c r="AH339" s="4"/>
      <c r="AI339" s="1528"/>
      <c r="AJ339" s="1528"/>
      <c r="AK339" s="1528"/>
    </row>
    <row r="340" spans="1:66" ht="12.9"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t="s">
        <v>2651</v>
      </c>
      <c r="AB340" s="1489"/>
      <c r="AC340" s="1489"/>
      <c r="AD340" s="1489"/>
      <c r="AE340" s="1489"/>
      <c r="AF340" s="1489"/>
      <c r="AG340" s="4"/>
      <c r="AH340" s="4"/>
      <c r="AI340" s="35"/>
      <c r="AJ340" s="35"/>
      <c r="AK340" s="35"/>
    </row>
    <row r="341" spans="1:66" ht="12.9" customHeight="1">
      <c r="B341" s="3" t="s">
        <v>76</v>
      </c>
      <c r="C341" s="3"/>
      <c r="D341" s="3"/>
      <c r="E341" s="3"/>
      <c r="F341" s="3"/>
      <c r="G341" s="3"/>
      <c r="H341" s="1520" t="s">
        <v>2707</v>
      </c>
      <c r="I341" s="1375"/>
      <c r="J341" s="1375"/>
      <c r="K341" s="1375"/>
      <c r="L341" s="1375"/>
      <c r="M341" s="1375"/>
      <c r="N341" s="1438"/>
      <c r="O341" s="1438"/>
      <c r="P341" s="1438"/>
      <c r="Q341" s="1438"/>
      <c r="R341" s="1438"/>
      <c r="S341" s="3"/>
      <c r="T341" s="3" t="s">
        <v>76</v>
      </c>
      <c r="V341" s="3"/>
      <c r="W341" s="3"/>
      <c r="X341" s="3"/>
      <c r="Y341" s="3"/>
      <c r="AA341" s="1375" t="s">
        <v>2694</v>
      </c>
      <c r="AB341" s="1375"/>
      <c r="AC341" s="1375"/>
      <c r="AD341" s="1375"/>
      <c r="AE341" s="1375"/>
      <c r="AF341" s="1375"/>
      <c r="AG341" s="1438"/>
      <c r="AH341" s="1438"/>
      <c r="AI341" s="1438"/>
      <c r="AJ341" s="1438"/>
      <c r="AK341" s="1438"/>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438"/>
      <c r="Q343" s="1438"/>
      <c r="R343" s="1438"/>
      <c r="S343" s="1438"/>
      <c r="T343" s="1438"/>
      <c r="U343" s="1438"/>
      <c r="V343" s="1438"/>
      <c r="W343" s="1438"/>
      <c r="X343" s="1438"/>
      <c r="Y343" s="1438"/>
      <c r="Z343" s="1438"/>
      <c r="AA343" s="1438"/>
      <c r="AB343" s="1438"/>
      <c r="AC343" s="1438"/>
      <c r="AD343" s="1438"/>
      <c r="AE343" s="1438"/>
      <c r="BN343" t="s">
        <v>670</v>
      </c>
    </row>
    <row r="344" spans="1:66" ht="12.9" customHeight="1">
      <c r="B344" s="4"/>
      <c r="C344" s="4"/>
      <c r="D344" s="4"/>
      <c r="E344" s="4"/>
      <c r="F344" s="4"/>
      <c r="I344" s="4" t="s">
        <v>472</v>
      </c>
      <c r="P344" s="1375"/>
      <c r="Q344" s="1375"/>
      <c r="R344" s="1375"/>
      <c r="S344" s="1375"/>
      <c r="T344" s="1375"/>
      <c r="U344" s="1375"/>
      <c r="V344" s="1375"/>
      <c r="W344" s="1375"/>
      <c r="X344" s="1375"/>
      <c r="Y344" s="1375"/>
      <c r="Z344" s="1375"/>
      <c r="AA344" s="1375"/>
      <c r="AB344" s="1375"/>
      <c r="AC344" s="1375"/>
      <c r="AD344" s="1375"/>
      <c r="AE344" s="1375"/>
      <c r="BN344" t="s">
        <v>546</v>
      </c>
    </row>
    <row r="345" spans="1:66" ht="12.9" customHeight="1">
      <c r="B345" s="4"/>
      <c r="C345" s="4"/>
      <c r="D345" s="4"/>
      <c r="E345" s="4"/>
      <c r="F345" s="4"/>
      <c r="I345" s="4" t="s">
        <v>75</v>
      </c>
      <c r="P345" s="1375"/>
      <c r="Q345" s="1375"/>
      <c r="R345" s="1375"/>
      <c r="S345" s="1375"/>
      <c r="T345" s="1375"/>
      <c r="U345" s="1375"/>
      <c r="V345" s="1375"/>
      <c r="W345" s="1375"/>
      <c r="X345" s="1375"/>
      <c r="Y345" s="1375"/>
      <c r="Z345" s="1375"/>
      <c r="AA345" s="1375"/>
      <c r="AB345" s="1375"/>
      <c r="AC345" s="1375"/>
      <c r="AD345" s="1375"/>
      <c r="AE345" s="1375"/>
    </row>
    <row r="346" spans="1:66" ht="12.9" customHeight="1">
      <c r="B346" s="4"/>
      <c r="C346" s="4"/>
      <c r="D346" s="4"/>
      <c r="E346" s="4"/>
      <c r="F346" s="4"/>
      <c r="G346" s="4"/>
      <c r="I346" s="4" t="s">
        <v>87</v>
      </c>
      <c r="P346" s="1375"/>
      <c r="Q346" s="1375"/>
      <c r="R346" s="1375"/>
      <c r="S346" s="1375"/>
      <c r="T346" s="1375"/>
      <c r="U346" s="1375"/>
      <c r="V346" s="1375"/>
      <c r="W346" s="1375"/>
      <c r="X346" s="1375"/>
      <c r="Y346" s="1375"/>
      <c r="Z346" s="1375"/>
      <c r="AA346" s="1375"/>
      <c r="AB346" s="1375"/>
      <c r="AC346" s="1375"/>
      <c r="AD346" s="1375"/>
      <c r="AE346" s="1375"/>
    </row>
    <row r="347" spans="1:66" ht="12.9"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2.9"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 customHeight="1">
      <c r="B349" s="4"/>
      <c r="C349" s="4"/>
      <c r="D349" s="4"/>
      <c r="E349" s="4"/>
      <c r="F349" s="4"/>
      <c r="G349" s="4"/>
      <c r="I349" s="4" t="s">
        <v>76</v>
      </c>
      <c r="P349" s="1438"/>
      <c r="Q349" s="1438"/>
      <c r="R349" s="1438"/>
      <c r="S349" s="1438"/>
      <c r="T349" s="1438"/>
      <c r="U349" s="1438"/>
      <c r="V349" s="1438"/>
      <c r="W349" s="1438"/>
      <c r="X349" s="1438"/>
      <c r="Y349" s="1438"/>
      <c r="Z349" s="1438"/>
      <c r="AA349" s="1438"/>
      <c r="AB349" s="1438"/>
      <c r="AC349" s="1438"/>
      <c r="AD349" s="1438"/>
      <c r="AE349" s="1438"/>
    </row>
    <row r="350" spans="1:66" ht="12.9" customHeight="1">
      <c r="T350" s="8"/>
      <c r="U350" s="8"/>
      <c r="V350" s="8"/>
      <c r="W350" s="8"/>
      <c r="X350" s="8"/>
      <c r="Y350" s="8"/>
      <c r="Z350" s="8"/>
      <c r="AU350" s="95"/>
      <c r="AV350" s="95"/>
      <c r="AW350" s="95"/>
      <c r="AX350" s="95"/>
      <c r="AY350" s="95"/>
    </row>
    <row r="351" spans="1:66" ht="12.9" customHeight="1">
      <c r="A351" s="1536" t="s">
        <v>543</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2.9"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2099</v>
      </c>
      <c r="M355" s="1432" t="s">
        <v>546</v>
      </c>
      <c r="N355" s="1432"/>
      <c r="P355" t="s">
        <v>1651</v>
      </c>
      <c r="AJ355" s="1432" t="s">
        <v>670</v>
      </c>
      <c r="AK355" s="1432"/>
    </row>
    <row r="356" spans="1:46" ht="12.9" customHeight="1">
      <c r="D356" s="3" t="s">
        <v>1640</v>
      </c>
      <c r="M356" s="1432" t="s">
        <v>592</v>
      </c>
      <c r="N356" s="1432"/>
      <c r="P356" s="3" t="s">
        <v>1720</v>
      </c>
      <c r="AJ356" s="1386"/>
      <c r="AK356" s="1386"/>
    </row>
    <row r="357" spans="1:46" ht="12.9" customHeight="1">
      <c r="D357" s="3" t="s">
        <v>705</v>
      </c>
      <c r="M357" s="1432" t="s">
        <v>592</v>
      </c>
      <c r="N357" s="1432"/>
      <c r="P357" t="s">
        <v>1650</v>
      </c>
      <c r="AJ357" s="1432" t="s">
        <v>670</v>
      </c>
      <c r="AK357" s="1432"/>
    </row>
    <row r="358" spans="1:46" ht="12.9" customHeight="1">
      <c r="D358" s="3" t="s">
        <v>706</v>
      </c>
      <c r="M358" s="1432" t="s">
        <v>592</v>
      </c>
      <c r="N358" s="1432"/>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32" t="s">
        <v>592</v>
      </c>
      <c r="O363" s="1432"/>
      <c r="P363" s="40"/>
      <c r="Q363" s="40"/>
      <c r="R363" s="40"/>
      <c r="S363" s="40"/>
      <c r="T363" s="40"/>
      <c r="U363" s="40"/>
      <c r="V363" s="40"/>
      <c r="W363" s="40"/>
      <c r="X363" s="40"/>
      <c r="Y363" s="40"/>
      <c r="Z363" s="40"/>
      <c r="AC363" s="40"/>
      <c r="AD363" s="40"/>
      <c r="AE363" s="40"/>
    </row>
    <row r="364" spans="1:46" ht="12.9" customHeight="1">
      <c r="E364" t="s">
        <v>370</v>
      </c>
      <c r="Y364" s="1432" t="s">
        <v>592</v>
      </c>
      <c r="Z364" s="1432"/>
    </row>
    <row r="365" spans="1:46" ht="12.9" customHeight="1">
      <c r="D365" s="4" t="s">
        <v>979</v>
      </c>
      <c r="Q365" s="1438"/>
      <c r="R365" s="1438"/>
      <c r="S365" s="1438"/>
      <c r="T365" s="1438"/>
      <c r="U365" s="1438"/>
      <c r="V365" s="1438"/>
      <c r="W365" s="1438"/>
      <c r="X365" s="1438"/>
      <c r="Y365" s="1438"/>
      <c r="Z365" s="1438"/>
      <c r="AA365" s="1438"/>
      <c r="AB365" s="1438"/>
      <c r="AC365" s="1438"/>
      <c r="AD365" s="1438"/>
      <c r="AE365" s="1438"/>
      <c r="AF365" s="1438"/>
      <c r="AG365" s="1438"/>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32" t="s">
        <v>592</v>
      </c>
      <c r="K367" s="1432"/>
      <c r="L367" s="40"/>
      <c r="M367" s="40"/>
      <c r="N367" s="40"/>
      <c r="O367" s="40"/>
      <c r="P367" s="40"/>
      <c r="Q367" s="40"/>
      <c r="R367" s="40"/>
      <c r="S367" s="40"/>
      <c r="T367" s="40"/>
      <c r="U367" s="40"/>
      <c r="V367" s="40"/>
      <c r="W367" s="40"/>
      <c r="X367" s="40"/>
      <c r="Y367" s="40"/>
      <c r="Z367" s="40"/>
      <c r="AC367" s="40"/>
      <c r="AD367" s="40"/>
      <c r="AE367" s="40"/>
    </row>
    <row r="368" spans="1:46" ht="12.9" customHeight="1">
      <c r="E368" s="1546" t="s">
        <v>707</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 customHeight="1">
      <c r="E370" s="4" t="s">
        <v>449</v>
      </c>
      <c r="F370" s="4"/>
      <c r="G370" s="4"/>
      <c r="H370" s="4"/>
      <c r="I370" s="4"/>
      <c r="J370" s="4"/>
      <c r="K370" s="4"/>
      <c r="L370" s="4"/>
      <c r="N370" s="1394"/>
      <c r="O370" s="1394"/>
      <c r="P370" s="1394"/>
      <c r="Q370" s="1394"/>
      <c r="R370" s="4"/>
      <c r="U370" s="4" t="s">
        <v>450</v>
      </c>
      <c r="V370" s="4"/>
      <c r="W370" s="4"/>
      <c r="X370" s="4"/>
      <c r="Y370" s="4"/>
      <c r="Z370" s="4"/>
      <c r="AA370" s="4"/>
      <c r="AB370" s="4"/>
      <c r="AC370" s="1394"/>
      <c r="AD370" s="1394"/>
      <c r="AE370" s="1394"/>
      <c r="AF370" s="1394"/>
    </row>
    <row r="371" spans="1:34" ht="12.9" customHeight="1">
      <c r="E371" s="4" t="s">
        <v>451</v>
      </c>
      <c r="F371" s="4"/>
      <c r="G371" s="4"/>
      <c r="H371" s="4"/>
      <c r="I371" s="4"/>
      <c r="J371" s="4"/>
      <c r="K371" s="4"/>
      <c r="L371" s="4"/>
      <c r="N371" s="1394"/>
      <c r="O371" s="1394"/>
      <c r="P371" s="1394"/>
      <c r="Q371" s="1394"/>
      <c r="R371" s="4"/>
      <c r="U371" s="4" t="s">
        <v>0</v>
      </c>
      <c r="V371" s="4"/>
      <c r="W371" s="4"/>
      <c r="X371" s="4"/>
      <c r="Y371" s="4"/>
      <c r="Z371" s="4"/>
      <c r="AA371" s="4"/>
      <c r="AB371" s="4"/>
      <c r="AC371" s="1394"/>
      <c r="AD371" s="1394"/>
      <c r="AE371" s="1394"/>
      <c r="AF371" s="1394"/>
    </row>
    <row r="372" spans="1:34" ht="12.9" customHeight="1">
      <c r="E372" s="4" t="s">
        <v>1</v>
      </c>
      <c r="F372" s="4"/>
      <c r="G372" s="4"/>
      <c r="H372" s="4"/>
      <c r="I372" s="4"/>
      <c r="J372" s="4"/>
      <c r="K372" s="4"/>
      <c r="L372" s="4"/>
      <c r="N372" s="1394"/>
      <c r="O372" s="1394"/>
      <c r="P372" s="1394"/>
      <c r="Q372" s="1394"/>
      <c r="R372" s="4"/>
      <c r="V372" s="4"/>
      <c r="W372" s="4"/>
      <c r="X372" s="4"/>
      <c r="Y372" s="4"/>
      <c r="Z372" s="4"/>
      <c r="AA372" s="4"/>
      <c r="AB372" s="4"/>
    </row>
    <row r="373" spans="1:34" ht="12.9" customHeight="1">
      <c r="E373" s="4" t="s">
        <v>2</v>
      </c>
      <c r="F373" s="4"/>
      <c r="G373" s="4"/>
      <c r="H373" s="4"/>
      <c r="I373" s="4"/>
      <c r="J373" s="4"/>
      <c r="K373" s="4"/>
      <c r="L373" s="4"/>
      <c r="N373" s="1529"/>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2.9"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2.9" customHeight="1">
      <c r="C375" s="512"/>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2085</v>
      </c>
      <c r="F377" s="4"/>
      <c r="G377" s="4"/>
      <c r="H377" s="4"/>
      <c r="I377" s="4"/>
      <c r="J377" s="4"/>
      <c r="K377" s="4"/>
      <c r="L377" s="4"/>
      <c r="N377" t="s">
        <v>2080</v>
      </c>
      <c r="R377" s="27" t="s">
        <v>305</v>
      </c>
      <c r="S377" s="1445"/>
      <c r="T377" s="1445"/>
      <c r="U377" s="1" t="s">
        <v>306</v>
      </c>
      <c r="V377" s="1445"/>
      <c r="W377" s="1445"/>
      <c r="Y377" t="s">
        <v>2080</v>
      </c>
      <c r="AC377" s="27" t="s">
        <v>305</v>
      </c>
      <c r="AD377" s="1445"/>
      <c r="AE377" s="1445"/>
      <c r="AF377" s="1" t="s">
        <v>306</v>
      </c>
      <c r="AG377" s="1445"/>
      <c r="AH377" s="1445"/>
    </row>
    <row r="378" spans="1:34" ht="12.9" customHeight="1">
      <c r="E378" s="4" t="s">
        <v>988</v>
      </c>
      <c r="F378" s="4"/>
      <c r="G378" s="4"/>
      <c r="H378" s="4"/>
      <c r="I378" s="4"/>
      <c r="J378" s="4"/>
      <c r="K378" s="4"/>
      <c r="L378" s="4"/>
      <c r="N378" s="1445"/>
      <c r="O378" s="1445"/>
      <c r="P378" s="1445"/>
    </row>
    <row r="379" spans="1:34" ht="12.9" customHeight="1">
      <c r="E379" s="204" t="s">
        <v>2086</v>
      </c>
      <c r="F379" s="4"/>
      <c r="G379" s="4"/>
      <c r="H379" s="4"/>
      <c r="I379" s="4"/>
      <c r="J379" s="4"/>
      <c r="K379" s="4"/>
      <c r="L379" s="4"/>
      <c r="AG379" s="1448" t="s">
        <v>592</v>
      </c>
      <c r="AH379" s="1448"/>
    </row>
    <row r="380" spans="1:34" ht="12.9" customHeight="1">
      <c r="E380" s="4"/>
      <c r="F380" s="4"/>
      <c r="G380" s="4" t="s">
        <v>2087</v>
      </c>
      <c r="H380" s="4"/>
      <c r="I380" s="4"/>
      <c r="J380" s="4"/>
      <c r="K380" s="4"/>
      <c r="L380" s="4"/>
      <c r="AG380" s="1448" t="s">
        <v>592</v>
      </c>
      <c r="AH380" s="1448"/>
    </row>
    <row r="381" spans="1:34" ht="12.9" customHeight="1">
      <c r="E381" s="4"/>
      <c r="F381" s="4"/>
      <c r="G381" s="320" t="s">
        <v>989</v>
      </c>
      <c r="H381" s="4"/>
      <c r="I381" s="4"/>
      <c r="J381" s="4"/>
      <c r="K381" s="4"/>
      <c r="L381" s="4"/>
      <c r="V381" s="1432" t="s">
        <v>592</v>
      </c>
      <c r="W381" s="1432"/>
      <c r="Y381" s="22" t="s">
        <v>981</v>
      </c>
    </row>
    <row r="382" spans="1:34" ht="12.9" customHeight="1">
      <c r="E382" s="4" t="s">
        <v>982</v>
      </c>
      <c r="F382" s="4"/>
      <c r="G382" s="4"/>
      <c r="H382" s="4"/>
      <c r="I382" s="4"/>
      <c r="J382" s="4"/>
      <c r="K382" s="4"/>
      <c r="L382" s="4"/>
      <c r="V382" s="1432" t="s">
        <v>592</v>
      </c>
      <c r="W382" s="1432"/>
      <c r="Y382" s="4" t="s">
        <v>983</v>
      </c>
    </row>
    <row r="383" spans="1:34" ht="12.9" customHeight="1"/>
    <row r="384" spans="1:34" ht="12.9" customHeight="1">
      <c r="A384" s="2" t="s">
        <v>78</v>
      </c>
      <c r="B384" s="2"/>
    </row>
    <row r="385" spans="4:36" ht="12.9" customHeight="1">
      <c r="D385" t="s">
        <v>428</v>
      </c>
      <c r="J385" s="1438" t="s">
        <v>2708</v>
      </c>
      <c r="K385" s="1438"/>
      <c r="L385" s="1438"/>
      <c r="M385" s="1438"/>
      <c r="N385" s="1438"/>
      <c r="O385" s="1438"/>
      <c r="P385" s="1438"/>
      <c r="Q385" s="1438"/>
      <c r="R385" s="1438"/>
      <c r="S385" s="1438"/>
      <c r="T385" s="1438"/>
      <c r="U385" s="1438"/>
      <c r="V385" s="8" t="s">
        <v>83</v>
      </c>
      <c r="W385" s="8"/>
      <c r="X385" s="8"/>
      <c r="Y385" s="8"/>
      <c r="Z385" s="8"/>
      <c r="AA385" s="8"/>
      <c r="AB385" s="8"/>
      <c r="AC385" s="1438"/>
      <c r="AD385" s="1438"/>
      <c r="AE385" s="1438"/>
      <c r="AF385" s="1438"/>
      <c r="AG385" s="1438"/>
      <c r="AH385" s="1438"/>
      <c r="AI385" s="1438"/>
      <c r="AJ385" s="1438"/>
    </row>
    <row r="386" spans="4:36" ht="12.9" customHeight="1">
      <c r="D386" s="3" t="s">
        <v>1183</v>
      </c>
      <c r="J386" s="1375" t="s">
        <v>2708</v>
      </c>
      <c r="K386" s="1375"/>
      <c r="L386" s="1375"/>
      <c r="M386" s="1375"/>
      <c r="N386" s="1375"/>
      <c r="O386" s="1375"/>
      <c r="P386" s="1375"/>
      <c r="Q386" s="1375"/>
      <c r="R386" s="1375"/>
      <c r="S386" s="1375"/>
      <c r="T386" s="1375"/>
      <c r="U386" s="1375"/>
      <c r="V386" s="3" t="s">
        <v>1183</v>
      </c>
      <c r="W386" s="8"/>
      <c r="X386" s="8"/>
      <c r="Y386" s="8"/>
      <c r="Z386" s="8"/>
      <c r="AA386" s="8"/>
      <c r="AB386" s="8"/>
      <c r="AC386" s="1438"/>
      <c r="AD386" s="1438"/>
      <c r="AE386" s="1438"/>
      <c r="AF386" s="1438"/>
      <c r="AG386" s="1438"/>
      <c r="AH386" s="1438"/>
      <c r="AI386" s="1438"/>
      <c r="AJ386" s="1438"/>
    </row>
    <row r="387" spans="4:36" ht="12.9" customHeight="1">
      <c r="D387" s="3" t="s">
        <v>442</v>
      </c>
      <c r="J387" s="1375" t="s">
        <v>2709</v>
      </c>
      <c r="K387" s="1375"/>
      <c r="L387" s="1375"/>
      <c r="M387" s="1375"/>
      <c r="N387" s="1375"/>
      <c r="O387" s="1375"/>
      <c r="P387" s="1375"/>
      <c r="Q387" s="1375"/>
      <c r="R387" s="1375"/>
      <c r="S387" s="1375"/>
      <c r="T387" s="1375"/>
      <c r="U387" s="1375"/>
      <c r="V387" s="3" t="s">
        <v>442</v>
      </c>
      <c r="W387" s="8"/>
      <c r="X387" s="8"/>
      <c r="Y387" s="8"/>
      <c r="Z387" s="8"/>
      <c r="AA387" s="8"/>
      <c r="AB387" s="8"/>
      <c r="AC387" s="1438"/>
      <c r="AD387" s="1438"/>
      <c r="AE387" s="1438"/>
      <c r="AF387" s="1438"/>
      <c r="AG387" s="1438"/>
      <c r="AH387" s="1438"/>
      <c r="AI387" s="1438"/>
      <c r="AJ387" s="1438"/>
    </row>
    <row r="388" spans="4:36" ht="12.9" customHeight="1">
      <c r="D388" t="s">
        <v>1179</v>
      </c>
      <c r="J388" s="1337" t="s">
        <v>592</v>
      </c>
      <c r="K388" s="1337"/>
      <c r="L388" s="1337"/>
      <c r="M388" s="1337"/>
      <c r="N388" s="1337"/>
      <c r="O388" s="1337"/>
      <c r="P388" s="1337"/>
      <c r="Q388" s="1337"/>
      <c r="R388" s="1337"/>
      <c r="S388" s="1337"/>
      <c r="T388" s="1337"/>
      <c r="U388" s="1337"/>
      <c r="V388" s="1438"/>
      <c r="W388" s="1438"/>
      <c r="X388" s="1438"/>
      <c r="Y388" s="1438"/>
      <c r="Z388" s="1438"/>
      <c r="AA388" s="1438"/>
      <c r="AB388" s="1438"/>
      <c r="AC388" s="1438"/>
      <c r="AD388" s="1438"/>
      <c r="AE388" s="1438"/>
      <c r="AF388" s="1438"/>
      <c r="AG388" s="1438"/>
      <c r="AH388" s="1438"/>
      <c r="AI388" s="1438"/>
      <c r="AJ388" s="1438"/>
    </row>
    <row r="389" spans="4:36" ht="12.9" customHeight="1">
      <c r="D389" t="s">
        <v>4</v>
      </c>
      <c r="Q389" s="1591">
        <v>44545</v>
      </c>
      <c r="R389" s="1591"/>
      <c r="S389" s="1591"/>
      <c r="T389" s="1591"/>
      <c r="U389" s="1591"/>
      <c r="V389" t="s">
        <v>309</v>
      </c>
      <c r="AI389" s="1432" t="s">
        <v>670</v>
      </c>
      <c r="AJ389" s="1432"/>
    </row>
    <row r="390" spans="4:36" ht="12.9" customHeight="1">
      <c r="D390" t="s">
        <v>5</v>
      </c>
      <c r="Q390" s="1523">
        <v>46022</v>
      </c>
      <c r="R390" s="1524"/>
      <c r="S390" s="1524"/>
      <c r="T390" s="1524"/>
      <c r="U390" s="1524"/>
      <c r="W390" s="21" t="s">
        <v>74</v>
      </c>
      <c r="AG390" s="1450"/>
      <c r="AH390" s="1450"/>
      <c r="AI390" s="1450"/>
      <c r="AJ390" s="1450"/>
    </row>
    <row r="391" spans="4:36" ht="12.9" customHeight="1">
      <c r="D391" t="s">
        <v>427</v>
      </c>
      <c r="Q391" s="1451">
        <v>1725000</v>
      </c>
      <c r="R391" s="1451"/>
      <c r="S391" s="1451"/>
      <c r="T391" s="1451"/>
      <c r="U391" s="1451"/>
      <c r="V391" s="3" t="s">
        <v>1182</v>
      </c>
      <c r="AG391" s="1521"/>
      <c r="AH391" s="1521"/>
      <c r="AI391" s="1521"/>
      <c r="AJ391" s="1521"/>
    </row>
    <row r="392" spans="4:36" ht="12.9" customHeight="1">
      <c r="D392" t="s">
        <v>88</v>
      </c>
      <c r="I392" s="1544"/>
      <c r="J392" s="1544"/>
      <c r="K392" s="1544"/>
      <c r="L392" s="1544"/>
      <c r="M392" s="1544"/>
      <c r="N392" s="1544"/>
      <c r="Q392" s="4" t="s">
        <v>206</v>
      </c>
      <c r="S392" s="1449"/>
      <c r="T392" s="1449"/>
      <c r="U392" s="1449"/>
      <c r="V392" t="s">
        <v>73</v>
      </c>
      <c r="AI392" s="1432" t="s">
        <v>670</v>
      </c>
      <c r="AJ392" s="1432"/>
    </row>
    <row r="393" spans="4:36" ht="12.9" customHeight="1">
      <c r="D393" t="s">
        <v>310</v>
      </c>
      <c r="Q393" s="1527"/>
      <c r="R393" s="1527"/>
      <c r="S393" s="1527"/>
      <c r="T393" s="1527"/>
      <c r="U393" s="1527"/>
      <c r="V393" t="s">
        <v>311</v>
      </c>
      <c r="AG393" s="1450"/>
      <c r="AH393" s="1450"/>
      <c r="AI393" s="1450"/>
      <c r="AJ393" s="1450"/>
    </row>
    <row r="394" spans="4:36" ht="12.9" customHeight="1">
      <c r="D394" t="s">
        <v>312</v>
      </c>
      <c r="Q394" s="1580"/>
      <c r="R394" s="1580"/>
      <c r="S394" s="1580"/>
      <c r="T394" s="1580"/>
      <c r="U394" s="1580"/>
      <c r="V394" t="s">
        <v>1164</v>
      </c>
      <c r="AG394" s="1450"/>
      <c r="AH394" s="1450"/>
      <c r="AI394" s="1450"/>
      <c r="AJ394" s="1450"/>
    </row>
    <row r="395" spans="4:36" ht="12.9" customHeight="1">
      <c r="D395" t="s">
        <v>1163</v>
      </c>
      <c r="AG395" s="1450"/>
      <c r="AH395" s="1450"/>
      <c r="AI395" s="1450"/>
      <c r="AJ395" s="1450"/>
    </row>
    <row r="396" spans="4:36" ht="12.9" customHeight="1">
      <c r="AG396" s="456"/>
      <c r="AH396" s="456"/>
      <c r="AI396" s="456"/>
      <c r="AJ396" s="456"/>
    </row>
    <row r="397" spans="4:36" ht="12.9" customHeight="1">
      <c r="D397" s="3" t="s">
        <v>2143</v>
      </c>
      <c r="AG397" s="456"/>
      <c r="AH397" s="456"/>
      <c r="AI397" s="1432" t="s">
        <v>670</v>
      </c>
      <c r="AJ397" s="1432"/>
    </row>
    <row r="398" spans="4:36" ht="12.9" customHeight="1">
      <c r="D398" s="3" t="s">
        <v>1668</v>
      </c>
      <c r="T398" s="1430"/>
      <c r="U398" s="1430"/>
      <c r="V398" s="1430"/>
      <c r="W398" s="1430"/>
      <c r="X398" s="1430"/>
      <c r="Y398" s="1430"/>
      <c r="Z398" s="1430"/>
      <c r="AA398" s="1430"/>
      <c r="AB398" s="1430"/>
      <c r="AC398" s="1430"/>
      <c r="AD398" s="1430"/>
      <c r="AE398" s="1430"/>
      <c r="AF398" s="1430"/>
      <c r="AG398" s="1430"/>
      <c r="AH398" s="1430"/>
      <c r="AI398" s="1430"/>
      <c r="AJ398" s="1430"/>
    </row>
    <row r="399" spans="4:36" ht="12.9" customHeight="1">
      <c r="D399" s="3" t="s">
        <v>1667</v>
      </c>
      <c r="T399" s="1430"/>
      <c r="U399" s="1430"/>
      <c r="V399" s="1430"/>
      <c r="W399" s="1430"/>
      <c r="X399" s="1430"/>
      <c r="Y399" s="1430"/>
      <c r="Z399" s="1430"/>
      <c r="AA399" s="1430"/>
      <c r="AB399" s="1430"/>
      <c r="AC399" s="1430"/>
      <c r="AD399" s="1430"/>
      <c r="AE399" s="1430"/>
      <c r="AF399" s="1430"/>
      <c r="AG399" s="1430"/>
      <c r="AH399" s="1430"/>
      <c r="AI399" s="1430"/>
      <c r="AJ399" s="1430"/>
    </row>
    <row r="400" spans="4:36" ht="12.9" customHeight="1">
      <c r="AG400" s="456"/>
      <c r="AH400" s="456"/>
      <c r="AI400" s="456"/>
      <c r="AJ400" s="456"/>
    </row>
    <row r="401" spans="1:36" ht="12.9" customHeight="1">
      <c r="D401" s="3" t="s">
        <v>1661</v>
      </c>
      <c r="S401" s="1430" t="s">
        <v>670</v>
      </c>
      <c r="T401" s="1430"/>
      <c r="U401" s="1430"/>
      <c r="V401" t="s">
        <v>1662</v>
      </c>
      <c r="AG401" s="1526"/>
      <c r="AH401" s="1526"/>
      <c r="AI401" s="1526"/>
      <c r="AJ401" s="1526"/>
    </row>
    <row r="402" spans="1:36" ht="12.9" customHeight="1">
      <c r="D402" s="3" t="s">
        <v>1659</v>
      </c>
      <c r="S402" s="1430" t="s">
        <v>592</v>
      </c>
      <c r="T402" s="1430"/>
      <c r="U402" s="1430"/>
      <c r="V402" t="s">
        <v>1664</v>
      </c>
      <c r="AE402" s="1519"/>
      <c r="AF402" s="1519"/>
      <c r="AG402" s="1519"/>
      <c r="AH402" s="1519"/>
      <c r="AI402" s="1519"/>
      <c r="AJ402" s="1519"/>
    </row>
    <row r="403" spans="1:36" ht="12.9" customHeight="1">
      <c r="D403" s="3" t="s">
        <v>1660</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2.9" customHeight="1">
      <c r="D404" s="3" t="s">
        <v>1663</v>
      </c>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2.9" customHeight="1">
      <c r="D405" s="3" t="s">
        <v>1666</v>
      </c>
      <c r="E405" s="477"/>
      <c r="F405" s="477"/>
      <c r="G405" s="477"/>
      <c r="H405" s="477"/>
      <c r="I405" s="477"/>
      <c r="J405" s="477"/>
      <c r="K405" s="477"/>
      <c r="L405" s="477"/>
      <c r="M405" s="477"/>
      <c r="N405" s="477"/>
      <c r="O405" s="477"/>
      <c r="P405" s="477"/>
      <c r="Q405" s="477"/>
      <c r="R405" s="477"/>
      <c r="S405" s="1447" t="s">
        <v>1185</v>
      </c>
      <c r="T405" s="1447"/>
      <c r="U405" s="1447"/>
      <c r="V405" s="1447"/>
      <c r="W405" s="1447"/>
      <c r="X405" s="1447"/>
      <c r="Y405" s="1447"/>
      <c r="Z405" s="1447"/>
      <c r="AA405" s="1447"/>
      <c r="AB405" s="1447"/>
      <c r="AC405" s="1447"/>
      <c r="AD405" s="1447"/>
      <c r="AE405" s="1447"/>
      <c r="AF405" s="1447"/>
      <c r="AG405" s="1447"/>
      <c r="AH405" s="1447"/>
      <c r="AI405" s="1447"/>
      <c r="AJ405" s="1447"/>
    </row>
    <row r="406" spans="1:36" ht="12.9"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6"/>
      <c r="AH408" s="456"/>
      <c r="AI408" s="456"/>
      <c r="AJ408" s="456"/>
    </row>
    <row r="409" spans="1:36" ht="12.9" customHeight="1">
      <c r="A409" s="2" t="s">
        <v>590</v>
      </c>
      <c r="B409" s="2"/>
      <c r="C409" s="2" t="s">
        <v>111</v>
      </c>
    </row>
    <row r="410" spans="1:36" ht="12.9" customHeight="1">
      <c r="B410" s="2"/>
      <c r="C410" s="2"/>
      <c r="D410" s="2" t="s">
        <v>1205</v>
      </c>
      <c r="I410" s="1525" t="s">
        <v>2710</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2.9" customHeight="1">
      <c r="E411" t="s">
        <v>106</v>
      </c>
      <c r="R411" s="1432" t="s">
        <v>592</v>
      </c>
      <c r="S411" s="1432"/>
      <c r="AC411" s="27" t="s">
        <v>571</v>
      </c>
      <c r="AD411" s="1394"/>
      <c r="AE411" s="1394"/>
    </row>
    <row r="412" spans="1:36" ht="12.9" customHeight="1">
      <c r="E412" t="s">
        <v>107</v>
      </c>
      <c r="R412" s="1432" t="s">
        <v>546</v>
      </c>
      <c r="S412" s="1432"/>
      <c r="AC412" s="27" t="s">
        <v>571</v>
      </c>
      <c r="AD412" s="1581" t="s">
        <v>2711</v>
      </c>
      <c r="AE412" s="1394"/>
    </row>
    <row r="413" spans="1:36" ht="12.9" customHeight="1">
      <c r="E413" t="s">
        <v>108</v>
      </c>
      <c r="S413" s="1432" t="s">
        <v>592</v>
      </c>
      <c r="T413" s="1432"/>
    </row>
    <row r="414" spans="1:36" ht="12.9" customHeight="1">
      <c r="E414" t="s">
        <v>170</v>
      </c>
      <c r="H414" s="1582" t="s">
        <v>334</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 customHeight="1"/>
    <row r="417" spans="1:39" ht="12.9" customHeight="1">
      <c r="A417" s="2" t="s">
        <v>591</v>
      </c>
      <c r="B417" s="2"/>
      <c r="C417" s="2"/>
      <c r="D417" s="2" t="s">
        <v>114</v>
      </c>
      <c r="AF417" s="2" t="s">
        <v>958</v>
      </c>
    </row>
    <row r="418" spans="1:39" ht="12.9" customHeight="1">
      <c r="E418" s="1445"/>
      <c r="F418" s="1445"/>
      <c r="G418" s="1445"/>
      <c r="H418" s="13" t="s">
        <v>115</v>
      </c>
      <c r="I418" s="1445"/>
      <c r="J418" s="1445"/>
      <c r="K418" s="1445"/>
      <c r="L418" t="s">
        <v>116</v>
      </c>
      <c r="N418" s="27" t="s">
        <v>576</v>
      </c>
      <c r="P418" s="1585">
        <v>8.0399999999999991</v>
      </c>
      <c r="Q418" s="1585"/>
      <c r="R418" s="1585"/>
      <c r="S418" t="s">
        <v>117</v>
      </c>
      <c r="W418" s="1446">
        <f>IF(E418&gt;0,(E418*I418),(P418*43560))</f>
        <v>350222.39999999997</v>
      </c>
      <c r="X418" s="1446"/>
      <c r="Y418" s="1446"/>
      <c r="Z418" t="s">
        <v>118</v>
      </c>
      <c r="AF418" s="1586">
        <f>IFERROR(IF(P418&gt;0,(AG437/P418),(AG437/(W418/43560))),0)</f>
        <v>14.92537313432836</v>
      </c>
      <c r="AG418" s="1586"/>
      <c r="AH418" s="1586"/>
      <c r="AM418" s="3"/>
    </row>
    <row r="419" spans="1:39" ht="12.9" customHeight="1">
      <c r="E419" t="s">
        <v>51</v>
      </c>
    </row>
    <row r="420" spans="1:39" ht="12.9"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 customHeight="1">
      <c r="E421" s="118" t="s">
        <v>1737</v>
      </c>
      <c r="F421" s="1013"/>
      <c r="G421" s="1013"/>
      <c r="H421" s="1013"/>
      <c r="I421" s="1584">
        <v>8.0399999999999991</v>
      </c>
      <c r="J421" s="1584"/>
      <c r="K421" s="1584"/>
      <c r="L421" s="1013"/>
      <c r="M421" s="118"/>
      <c r="N421" s="1013"/>
      <c r="O421" s="1013"/>
      <c r="P421" s="1836">
        <f>(DU755+DU778+DU800)/I421</f>
        <v>30.348258706467664</v>
      </c>
      <c r="Q421" s="1836"/>
      <c r="R421" s="1836"/>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432">
        <v>11</v>
      </c>
      <c r="Q424" s="1432"/>
      <c r="S424" t="s">
        <v>189</v>
      </c>
      <c r="AE424" s="1432">
        <v>10</v>
      </c>
      <c r="AF424" s="1432"/>
    </row>
    <row r="425" spans="1:39" ht="12.9" customHeight="1">
      <c r="E425" t="s">
        <v>190</v>
      </c>
      <c r="P425" s="1432">
        <v>1</v>
      </c>
      <c r="Q425" s="1432"/>
      <c r="S425" t="s">
        <v>131</v>
      </c>
      <c r="AE425" s="1432" t="s">
        <v>592</v>
      </c>
      <c r="AF425" s="1432"/>
    </row>
    <row r="426" spans="1:39" ht="12.9" customHeight="1">
      <c r="F426" s="28" t="s">
        <v>132</v>
      </c>
    </row>
    <row r="427" spans="1:39" ht="12.9"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609</v>
      </c>
      <c r="P429" s="1"/>
      <c r="Q429" s="1432" t="s">
        <v>670</v>
      </c>
      <c r="R429" s="1432"/>
    </row>
    <row r="430" spans="1:39" ht="12.9" customHeight="1">
      <c r="F430" t="s">
        <v>610</v>
      </c>
      <c r="P430" s="1"/>
      <c r="Q430" s="1"/>
      <c r="AF430" s="1432" t="s">
        <v>592</v>
      </c>
      <c r="AG430" s="1507"/>
    </row>
    <row r="431" spans="1:39" ht="12.9" customHeight="1"/>
    <row r="432" spans="1:39" ht="12.9" customHeight="1">
      <c r="A432" s="2"/>
      <c r="B432" s="2"/>
      <c r="C432" s="2"/>
      <c r="E432" s="4" t="s">
        <v>308</v>
      </c>
      <c r="Z432" s="1432" t="s">
        <v>670</v>
      </c>
      <c r="AA432" s="1432"/>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432" t="s">
        <v>592</v>
      </c>
      <c r="AA434" s="1432"/>
    </row>
    <row r="435" spans="1:55" ht="12.9" customHeight="1"/>
    <row r="436" spans="1:55" ht="12.9" customHeight="1">
      <c r="A436" s="2" t="s">
        <v>468</v>
      </c>
      <c r="B436" s="2"/>
      <c r="C436" s="2"/>
      <c r="D436" s="2" t="s">
        <v>765</v>
      </c>
      <c r="AF436" s="48"/>
    </row>
    <row r="437" spans="1:55" ht="12.9" customHeight="1">
      <c r="D437" s="150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9">
        <v>120</v>
      </c>
      <c r="AH437" s="1389"/>
      <c r="AI437" s="1389"/>
      <c r="AJ437" s="1389"/>
    </row>
    <row r="438" spans="1:55" ht="12.9" customHeight="1">
      <c r="D438" s="1413" t="s">
        <v>1223</v>
      </c>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c r="AB438" s="1414"/>
      <c r="AC438" s="1414"/>
      <c r="AD438" s="1414"/>
      <c r="AE438" s="1414"/>
      <c r="AF438" s="1415"/>
      <c r="AG438" s="1465"/>
      <c r="AH438" s="1466"/>
      <c r="AI438" s="1466"/>
      <c r="AJ438" s="1466"/>
    </row>
    <row r="439" spans="1:55" ht="12.9" customHeight="1">
      <c r="D439" s="1413" t="s">
        <v>1032</v>
      </c>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c r="AB439" s="1414"/>
      <c r="AC439" s="1414"/>
      <c r="AD439" s="1414"/>
      <c r="AE439" s="1414"/>
      <c r="AF439" s="1415"/>
      <c r="AG439" s="1389">
        <v>119</v>
      </c>
      <c r="AH439" s="1389"/>
      <c r="AI439" s="1389"/>
      <c r="AJ439" s="1389"/>
    </row>
    <row r="440" spans="1:55" ht="12.9" customHeight="1">
      <c r="D440" s="1413" t="s">
        <v>1033</v>
      </c>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c r="AB440" s="1414"/>
      <c r="AC440" s="1414"/>
      <c r="AD440" s="1414"/>
      <c r="AE440" s="1414"/>
      <c r="AF440" s="1415"/>
      <c r="AG440" s="1389">
        <v>119</v>
      </c>
      <c r="AH440" s="1389"/>
      <c r="AI440" s="1389"/>
      <c r="AJ440" s="1389"/>
    </row>
    <row r="441" spans="1:55" ht="12.9" customHeight="1">
      <c r="D441" s="1413" t="s">
        <v>1035</v>
      </c>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c r="AB441" s="1414"/>
      <c r="AC441" s="1414"/>
      <c r="AD441" s="1414"/>
      <c r="AE441" s="1414"/>
      <c r="AF441" s="1415"/>
      <c r="AG441" s="1412">
        <f>IF(ISERROR(AG440/AG439),0,AG440/AG439)</f>
        <v>1</v>
      </c>
      <c r="AH441" s="1412"/>
      <c r="AI441" s="1412"/>
      <c r="AJ441" s="1412"/>
    </row>
    <row r="442" spans="1:55" ht="12.9" customHeight="1">
      <c r="D442" s="1413" t="s">
        <v>1034</v>
      </c>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c r="AB442" s="1414"/>
      <c r="AC442" s="1414"/>
      <c r="AD442" s="1414"/>
      <c r="AE442" s="1414"/>
      <c r="AF442" s="1415"/>
      <c r="AG442" s="1411">
        <f>46616+41576</f>
        <v>88192</v>
      </c>
      <c r="AH442" s="1411"/>
      <c r="AI442" s="1411"/>
      <c r="AJ442" s="1411"/>
    </row>
    <row r="443" spans="1:55" ht="12.9" customHeight="1">
      <c r="D443" s="1413" t="s">
        <v>1036</v>
      </c>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c r="AB443" s="1414"/>
      <c r="AC443" s="1414"/>
      <c r="AD443" s="1414"/>
      <c r="AE443" s="1414"/>
      <c r="AF443" s="1415"/>
      <c r="AG443" s="1411">
        <v>88192</v>
      </c>
      <c r="AH443" s="1411"/>
      <c r="AI443" s="1411"/>
      <c r="AJ443" s="1411"/>
    </row>
    <row r="444" spans="1:55" ht="12.9" customHeight="1">
      <c r="D444" s="1413" t="s">
        <v>1037</v>
      </c>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c r="AB444" s="1414"/>
      <c r="AC444" s="1414"/>
      <c r="AD444" s="1414"/>
      <c r="AE444" s="1414"/>
      <c r="AF444" s="1415"/>
      <c r="AG444" s="1412">
        <f>IF(ISERROR(AG443/AG442),0,AG443/AG442)</f>
        <v>1</v>
      </c>
      <c r="AH444" s="1412"/>
      <c r="AI444" s="1412"/>
      <c r="AJ444" s="1412"/>
    </row>
    <row r="445" spans="1:55" ht="12.9" customHeight="1">
      <c r="D445" s="1413" t="s">
        <v>1038</v>
      </c>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c r="AB445" s="1414"/>
      <c r="AC445" s="1414"/>
      <c r="AD445" s="1414"/>
      <c r="AE445" s="1414"/>
      <c r="AF445" s="1415"/>
      <c r="AG445" s="1412">
        <f>MIN(IF(AG441&gt;AG444,AG444,AG441),1)</f>
        <v>1</v>
      </c>
      <c r="AH445" s="1412"/>
      <c r="AI445" s="1412"/>
      <c r="AJ445" s="1412"/>
    </row>
    <row r="446" spans="1:55" ht="12.9" customHeight="1">
      <c r="D446" s="1413" t="s">
        <v>2088</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1">
        <v>0</v>
      </c>
      <c r="AH446" s="1411"/>
      <c r="AI446" s="1411"/>
      <c r="AJ446" s="1411"/>
      <c r="AZ446" s="34"/>
      <c r="BA446" s="34"/>
      <c r="BB446" s="34"/>
      <c r="BC446" s="34"/>
    </row>
    <row r="447" spans="1:55" ht="12.9" customHeight="1">
      <c r="D447" s="1506" t="s">
        <v>570</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1">
        <v>0</v>
      </c>
      <c r="AH447" s="1411"/>
      <c r="AI447" s="1411"/>
      <c r="AJ447" s="1411"/>
      <c r="AZ447" s="3"/>
      <c r="BA447" s="3"/>
      <c r="BB447" s="3"/>
      <c r="BC447" s="3"/>
    </row>
    <row r="448" spans="1:55" ht="12.9" customHeight="1">
      <c r="D448" s="1413" t="s">
        <v>1206</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1">
        <v>0</v>
      </c>
      <c r="AH448" s="1411"/>
      <c r="AI448" s="1411"/>
      <c r="AJ448" s="1411"/>
      <c r="AZ448" s="3"/>
      <c r="BA448" s="3"/>
      <c r="BB448" s="3"/>
      <c r="BC448" s="3"/>
    </row>
    <row r="449" spans="1:55" ht="12.9" customHeight="1">
      <c r="D449" s="1413" t="s">
        <v>1039</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1">
        <v>0</v>
      </c>
      <c r="AH449" s="1411"/>
      <c r="AI449" s="1411"/>
      <c r="AJ449" s="1411"/>
      <c r="BB449" s="3"/>
      <c r="BC449" s="3"/>
    </row>
    <row r="450" spans="1:55" ht="12.9" customHeight="1">
      <c r="D450" s="1577" t="s">
        <v>1040</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25">
        <f>AG442+AG446+AG448+AG449</f>
        <v>88192</v>
      </c>
      <c r="AH450" s="1425"/>
      <c r="AI450" s="1425"/>
      <c r="AJ450" s="1425"/>
      <c r="AZ450" s="3"/>
      <c r="BA450" s="3"/>
      <c r="BB450" s="3"/>
      <c r="BC450" s="3"/>
    </row>
    <row r="451" spans="1:55" ht="12.9" customHeight="1">
      <c r="D451" s="1587" t="s">
        <v>1207</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7">
        <f>IF(AG437=0,"",'Sources and Uses Budget'!B105/Application!AG437)</f>
        <v>336751.42499999999</v>
      </c>
      <c r="AD454" s="1377"/>
      <c r="AE454" s="1377"/>
      <c r="AF454" s="1377"/>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7">
        <f>IF(AG437=0,"",'Sources and Uses Budget'!C105/Application!AG437)</f>
        <v>336751.42499999999</v>
      </c>
      <c r="AD455" s="1377"/>
      <c r="AE455" s="1377"/>
      <c r="AF455" s="1377"/>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7">
        <f>IF(AG437=0,"",('Sources and Uses Budget'!$S$107+'Sources and Uses Budget'!$T$107)/Application!AG437)</f>
        <v>316045.7</v>
      </c>
      <c r="AD456" s="1377"/>
      <c r="AE456" s="1377"/>
      <c r="AF456" s="1377"/>
      <c r="AG456" s="177"/>
      <c r="AH456" s="177"/>
      <c r="AI456" s="177"/>
      <c r="AJ456" s="183"/>
      <c r="AZ456" s="3"/>
      <c r="BA456" s="3"/>
      <c r="BB456" s="3"/>
      <c r="BC456" s="3"/>
    </row>
    <row r="457" spans="1:55" ht="12.9" customHeight="1">
      <c r="D457" s="177"/>
      <c r="E457" s="177"/>
      <c r="F457" s="1378" t="str">
        <f>IFERROR(IF(AC454&gt;650000,"Please provide a justification of cost per unit in Tab 12 for all projects with per unit costs of greater than $650,000.",""),"")</f>
        <v/>
      </c>
      <c r="G457" s="1378"/>
      <c r="H457" s="1378"/>
      <c r="I457" s="1378"/>
      <c r="J457" s="1378"/>
      <c r="K457" s="1378"/>
      <c r="L457" s="1378"/>
      <c r="M457" s="1378"/>
      <c r="N457" s="1378"/>
      <c r="O457" s="1378"/>
      <c r="P457" s="1378"/>
      <c r="Q457" s="1378"/>
      <c r="R457" s="1378"/>
      <c r="S457" s="1378"/>
      <c r="T457" s="1378"/>
      <c r="U457" s="1378"/>
      <c r="V457" s="1378"/>
      <c r="W457" s="1378"/>
      <c r="X457" s="1378"/>
      <c r="Y457" s="1378"/>
      <c r="Z457" s="1378"/>
      <c r="AA457" s="1378"/>
      <c r="AB457" s="1378"/>
      <c r="AC457" s="515"/>
      <c r="AD457" s="177"/>
      <c r="AE457" s="177"/>
      <c r="AF457" s="177"/>
      <c r="AG457" s="177"/>
      <c r="AH457" s="177"/>
      <c r="AI457" s="177"/>
      <c r="AJ457" s="183"/>
      <c r="AZ457" s="3"/>
      <c r="BA457" s="3"/>
      <c r="BB457" s="3"/>
      <c r="BC457" s="3"/>
    </row>
    <row r="458" spans="1:55" ht="12.9" customHeight="1">
      <c r="A458" s="2"/>
      <c r="D458" s="2"/>
      <c r="E458" s="177"/>
      <c r="F458" s="1378"/>
      <c r="G458" s="1378"/>
      <c r="H458" s="1378"/>
      <c r="I458" s="1378"/>
      <c r="J458" s="1378"/>
      <c r="K458" s="1378"/>
      <c r="L458" s="1378"/>
      <c r="M458" s="1378"/>
      <c r="N458" s="1378"/>
      <c r="O458" s="1378"/>
      <c r="P458" s="1378"/>
      <c r="Q458" s="1378"/>
      <c r="R458" s="1378"/>
      <c r="S458" s="1378"/>
      <c r="T458" s="1378"/>
      <c r="U458" s="1378"/>
      <c r="V458" s="1378"/>
      <c r="W458" s="1378"/>
      <c r="X458" s="1378"/>
      <c r="Y458" s="1378"/>
      <c r="Z458" s="1378"/>
      <c r="AA458" s="1378"/>
      <c r="AB458" s="1378"/>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8" t="s">
        <v>2100</v>
      </c>
      <c r="E465" s="1380"/>
      <c r="F465" s="1380"/>
      <c r="G465" s="1380"/>
      <c r="H465" s="1380"/>
      <c r="I465" s="1380"/>
      <c r="J465" s="1380"/>
      <c r="K465" s="1380"/>
      <c r="L465" s="1380"/>
      <c r="M465" s="1380"/>
      <c r="N465" s="1380"/>
      <c r="O465" s="1380"/>
      <c r="P465" s="1380"/>
      <c r="Q465" s="1380"/>
      <c r="R465" s="1380"/>
      <c r="S465" s="1380"/>
      <c r="T465" s="1380"/>
      <c r="U465" s="1380"/>
      <c r="V465" s="1381"/>
      <c r="W465" s="1395">
        <v>0</v>
      </c>
      <c r="X465" s="1396"/>
      <c r="Y465" s="1397"/>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9" t="s">
        <v>694</v>
      </c>
      <c r="E466" s="1380"/>
      <c r="F466" s="1380"/>
      <c r="G466" s="1380"/>
      <c r="H466" s="1380"/>
      <c r="I466" s="1380"/>
      <c r="J466" s="1380"/>
      <c r="K466" s="1380"/>
      <c r="L466" s="1380"/>
      <c r="M466" s="1380"/>
      <c r="N466" s="1380"/>
      <c r="O466" s="1380"/>
      <c r="P466" s="1380"/>
      <c r="Q466" s="1380"/>
      <c r="R466" s="1380"/>
      <c r="S466" s="1380"/>
      <c r="T466" s="1380"/>
      <c r="U466" s="1380"/>
      <c r="V466" s="1381"/>
      <c r="W466" s="1395">
        <v>0</v>
      </c>
      <c r="X466" s="1396"/>
      <c r="Y466" s="1397"/>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9" t="s">
        <v>695</v>
      </c>
      <c r="E467" s="1380"/>
      <c r="F467" s="1380"/>
      <c r="G467" s="1380"/>
      <c r="H467" s="1380"/>
      <c r="I467" s="1380"/>
      <c r="J467" s="1380"/>
      <c r="K467" s="1380"/>
      <c r="L467" s="1380"/>
      <c r="M467" s="1380"/>
      <c r="N467" s="1380"/>
      <c r="O467" s="1380"/>
      <c r="P467" s="1380"/>
      <c r="Q467" s="1380"/>
      <c r="R467" s="1380"/>
      <c r="S467" s="1380"/>
      <c r="T467" s="1380"/>
      <c r="U467" s="1380"/>
      <c r="V467" s="1381"/>
      <c r="W467" s="1395">
        <v>0</v>
      </c>
      <c r="X467" s="1396"/>
      <c r="Y467" s="1397"/>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9" t="s">
        <v>696</v>
      </c>
      <c r="E468" s="1380"/>
      <c r="F468" s="1380"/>
      <c r="G468" s="1380"/>
      <c r="H468" s="1380"/>
      <c r="I468" s="1380"/>
      <c r="J468" s="1380"/>
      <c r="K468" s="1380"/>
      <c r="L468" s="1380"/>
      <c r="M468" s="1380"/>
      <c r="N468" s="1380"/>
      <c r="O468" s="1380"/>
      <c r="P468" s="1380"/>
      <c r="Q468" s="1380"/>
      <c r="R468" s="1380"/>
      <c r="S468" s="1380"/>
      <c r="T468" s="1380"/>
      <c r="U468" s="1380"/>
      <c r="V468" s="1381"/>
      <c r="W468" s="1395">
        <v>0</v>
      </c>
      <c r="X468" s="1396"/>
      <c r="Y468" s="1397"/>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9" t="s">
        <v>882</v>
      </c>
      <c r="E469" s="1380"/>
      <c r="F469" s="1380"/>
      <c r="G469" s="1380"/>
      <c r="H469" s="1380"/>
      <c r="I469" s="1380"/>
      <c r="J469" s="1380"/>
      <c r="K469" s="1380"/>
      <c r="L469" s="1380"/>
      <c r="M469" s="1380"/>
      <c r="N469" s="1380"/>
      <c r="O469" s="1380"/>
      <c r="P469" s="1380"/>
      <c r="Q469" s="1380"/>
      <c r="R469" s="1380"/>
      <c r="S469" s="1380"/>
      <c r="T469" s="1380"/>
      <c r="U469" s="1380"/>
      <c r="V469" s="1381"/>
      <c r="W469" s="1395">
        <v>0</v>
      </c>
      <c r="X469" s="1396"/>
      <c r="Y469" s="1397"/>
      <c r="Z469" s="184"/>
      <c r="AA469" s="184"/>
      <c r="AB469" s="184"/>
      <c r="AC469" s="184"/>
      <c r="AD469" s="177"/>
      <c r="AE469" s="177"/>
      <c r="AF469" s="177"/>
      <c r="AG469" s="177"/>
      <c r="AH469" s="177"/>
      <c r="AI469" s="177"/>
      <c r="AJ469" s="183"/>
      <c r="AZ469" s="3"/>
      <c r="BA469" s="3" t="str">
        <f>N591</f>
        <v>No</v>
      </c>
      <c r="BB469" s="3"/>
      <c r="BC469" s="3"/>
    </row>
    <row r="470" spans="1:55" ht="12.9" customHeight="1">
      <c r="A470" s="3"/>
      <c r="B470" s="3"/>
      <c r="C470" s="3"/>
      <c r="D470" s="1379" t="s">
        <v>697</v>
      </c>
      <c r="E470" s="1380"/>
      <c r="F470" s="1380"/>
      <c r="G470" s="1380"/>
      <c r="H470" s="1380"/>
      <c r="I470" s="1380"/>
      <c r="J470" s="1380"/>
      <c r="K470" s="1380"/>
      <c r="L470" s="1380"/>
      <c r="M470" s="1380"/>
      <c r="N470" s="1380"/>
      <c r="O470" s="1380"/>
      <c r="P470" s="1380"/>
      <c r="Q470" s="1380"/>
      <c r="R470" s="1380"/>
      <c r="S470" s="1380"/>
      <c r="T470" s="1380"/>
      <c r="U470" s="1380"/>
      <c r="V470" s="1381"/>
      <c r="W470" s="1395">
        <v>0</v>
      </c>
      <c r="X470" s="1396"/>
      <c r="Y470" s="1397"/>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9" t="s">
        <v>1013</v>
      </c>
      <c r="E471" s="1380"/>
      <c r="F471" s="1380"/>
      <c r="G471" s="1380"/>
      <c r="H471" s="1380"/>
      <c r="I471" s="1380"/>
      <c r="J471" s="1380"/>
      <c r="K471" s="1380"/>
      <c r="L471" s="1380"/>
      <c r="M471" s="1380"/>
      <c r="N471" s="1380"/>
      <c r="O471" s="1380"/>
      <c r="P471" s="1380"/>
      <c r="Q471" s="1380"/>
      <c r="R471" s="1380"/>
      <c r="S471" s="1380"/>
      <c r="T471" s="1380"/>
      <c r="U471" s="1380"/>
      <c r="V471" s="1381"/>
      <c r="W471" s="1395">
        <v>0</v>
      </c>
      <c r="X471" s="1396"/>
      <c r="Y471" s="1397"/>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8" t="s">
        <v>2191</v>
      </c>
      <c r="E472" s="1398"/>
      <c r="F472" s="1398"/>
      <c r="G472" s="1398"/>
      <c r="H472" s="1398"/>
      <c r="I472" s="1398"/>
      <c r="J472" s="1398"/>
      <c r="K472" s="1398"/>
      <c r="L472" s="1398"/>
      <c r="M472" s="1398"/>
      <c r="N472" s="1398"/>
      <c r="O472" s="1398"/>
      <c r="P472" s="1398"/>
      <c r="Q472" s="1398"/>
      <c r="R472" s="1398"/>
      <c r="S472" s="1398"/>
      <c r="T472" s="1398"/>
      <c r="U472" s="1398"/>
      <c r="V472" s="1399"/>
      <c r="W472" s="1395">
        <v>0</v>
      </c>
      <c r="X472" s="1396"/>
      <c r="Y472" s="1397"/>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8" t="s">
        <v>1655</v>
      </c>
      <c r="E473" s="1380"/>
      <c r="F473" s="1380"/>
      <c r="G473" s="1380"/>
      <c r="H473" s="1380"/>
      <c r="I473" s="1380"/>
      <c r="J473" s="1380"/>
      <c r="K473" s="1380"/>
      <c r="L473" s="1380"/>
      <c r="M473" s="1380"/>
      <c r="N473" s="1380"/>
      <c r="O473" s="1380"/>
      <c r="P473" s="1380"/>
      <c r="Q473" s="1380"/>
      <c r="R473" s="1380"/>
      <c r="S473" s="1380"/>
      <c r="T473" s="1380"/>
      <c r="U473" s="1380"/>
      <c r="V473" s="1381"/>
      <c r="W473" s="1395">
        <v>0</v>
      </c>
      <c r="X473" s="1396"/>
      <c r="Y473" s="139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62"/>
      <c r="H474" s="1663"/>
      <c r="I474" s="1663"/>
      <c r="J474" s="1663"/>
      <c r="K474" s="1663"/>
      <c r="L474" s="1663"/>
      <c r="M474" s="1663"/>
      <c r="N474" s="1663"/>
      <c r="O474" s="1663"/>
      <c r="P474" s="1663"/>
      <c r="Q474" s="1663"/>
      <c r="R474" s="1663"/>
      <c r="S474" s="1663"/>
      <c r="T474" s="1663"/>
      <c r="U474" s="1663"/>
      <c r="V474" s="1664"/>
      <c r="W474" s="1395">
        <v>0</v>
      </c>
      <c r="X474" s="1396"/>
      <c r="Y474" s="139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6" t="s">
        <v>811</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2.9"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90" t="s">
        <v>393</v>
      </c>
      <c r="R485" s="1391"/>
      <c r="S485" s="1391"/>
      <c r="T485" s="1391"/>
      <c r="U485" s="1391"/>
      <c r="V485" s="1391"/>
      <c r="W485" s="1391"/>
      <c r="X485" s="1391"/>
      <c r="Y485" s="1391"/>
      <c r="Z485" s="1391"/>
      <c r="AA485" s="1391"/>
      <c r="AB485" s="1391"/>
      <c r="AC485" s="1391"/>
      <c r="AD485" s="1391"/>
      <c r="AE485" s="1391"/>
      <c r="AF485" s="1391"/>
      <c r="AG485" s="1391"/>
      <c r="AH485" s="1391"/>
      <c r="AI485" s="1391"/>
      <c r="AJ485" s="1391"/>
      <c r="AK485" s="1392"/>
      <c r="AZ485" s="3"/>
      <c r="BB485" s="3"/>
      <c r="BC485" s="3"/>
    </row>
    <row r="486" spans="1:55" ht="12.9" customHeight="1">
      <c r="B486" s="45" t="s">
        <v>394</v>
      </c>
      <c r="C486" s="5"/>
      <c r="D486" s="5"/>
      <c r="E486" s="5"/>
      <c r="F486" s="5"/>
      <c r="G486" s="5"/>
      <c r="H486" s="5"/>
      <c r="I486" s="5"/>
      <c r="J486" s="5"/>
      <c r="K486" s="5"/>
      <c r="L486" s="5"/>
      <c r="M486" s="5"/>
      <c r="N486" s="5"/>
      <c r="O486" s="5"/>
      <c r="P486" s="5"/>
      <c r="Q486" s="1374" t="s">
        <v>2712</v>
      </c>
      <c r="R486" s="1375"/>
      <c r="S486" s="1375"/>
      <c r="T486" s="1375"/>
      <c r="U486" s="1375"/>
      <c r="V486" s="1375"/>
      <c r="W486" s="1375"/>
      <c r="X486" s="1375"/>
      <c r="Y486" s="1375"/>
      <c r="Z486" s="1375"/>
      <c r="AA486" s="1375"/>
      <c r="AB486" s="1375"/>
      <c r="AC486" s="1375"/>
      <c r="AD486" s="1375"/>
      <c r="AE486" s="1375"/>
      <c r="AF486" s="1375"/>
      <c r="AG486" s="1375"/>
      <c r="AH486" s="1375"/>
      <c r="AI486" s="1375"/>
      <c r="AJ486" s="1375"/>
      <c r="AK486" s="1376"/>
      <c r="AZ486" s="3"/>
      <c r="BB486" s="3"/>
      <c r="BC486" s="3"/>
    </row>
    <row r="487" spans="1:55" ht="12.9" customHeight="1">
      <c r="B487" s="45" t="s">
        <v>395</v>
      </c>
      <c r="C487" s="5"/>
      <c r="D487" s="5"/>
      <c r="E487" s="5"/>
      <c r="F487" s="5"/>
      <c r="G487" s="5"/>
      <c r="H487" s="5"/>
      <c r="I487" s="5"/>
      <c r="J487" s="5"/>
      <c r="K487" s="5"/>
      <c r="L487" s="5"/>
      <c r="M487" s="5"/>
      <c r="N487" s="5"/>
      <c r="O487" s="5"/>
      <c r="P487" s="5"/>
      <c r="Q487" s="1374" t="s">
        <v>2712</v>
      </c>
      <c r="R487" s="1375"/>
      <c r="S487" s="1375"/>
      <c r="T487" s="1375"/>
      <c r="U487" s="1375"/>
      <c r="V487" s="1375"/>
      <c r="W487" s="1375"/>
      <c r="X487" s="1375"/>
      <c r="Y487" s="1375"/>
      <c r="Z487" s="1375"/>
      <c r="AA487" s="1375"/>
      <c r="AB487" s="1375"/>
      <c r="AC487" s="1375"/>
      <c r="AD487" s="1375"/>
      <c r="AE487" s="1375"/>
      <c r="AF487" s="1375"/>
      <c r="AG487" s="1375"/>
      <c r="AH487" s="1375"/>
      <c r="AI487" s="1375"/>
      <c r="AJ487" s="1375"/>
      <c r="AK487" s="1376"/>
      <c r="AZ487" s="3"/>
      <c r="BB487" s="3"/>
      <c r="BC487" s="3"/>
    </row>
    <row r="488" spans="1:55" ht="12.9" customHeight="1">
      <c r="B488" s="45" t="s">
        <v>396</v>
      </c>
      <c r="C488" s="5"/>
      <c r="D488" s="5"/>
      <c r="E488" s="5"/>
      <c r="F488" s="5"/>
      <c r="G488" s="5"/>
      <c r="H488" s="5"/>
      <c r="I488" s="5"/>
      <c r="J488" s="5"/>
      <c r="K488" s="5"/>
      <c r="L488" s="5"/>
      <c r="M488" s="5"/>
      <c r="N488" s="5"/>
      <c r="O488" s="5"/>
      <c r="P488" s="5"/>
      <c r="Q488" s="1374" t="s">
        <v>2712</v>
      </c>
      <c r="R488" s="1375"/>
      <c r="S488" s="1375"/>
      <c r="T488" s="1375"/>
      <c r="U488" s="1375"/>
      <c r="V488" s="1375"/>
      <c r="W488" s="1375"/>
      <c r="X488" s="1375"/>
      <c r="Y488" s="1375"/>
      <c r="Z488" s="1375"/>
      <c r="AA488" s="1375"/>
      <c r="AB488" s="1375"/>
      <c r="AC488" s="1375"/>
      <c r="AD488" s="1375"/>
      <c r="AE488" s="1375"/>
      <c r="AF488" s="1375"/>
      <c r="AG488" s="1375"/>
      <c r="AH488" s="1375"/>
      <c r="AI488" s="1375"/>
      <c r="AJ488" s="1375"/>
      <c r="AK488" s="1376"/>
      <c r="AZ488" s="3"/>
      <c r="BA488" s="3"/>
      <c r="BB488" s="3"/>
      <c r="BC488" s="3"/>
    </row>
    <row r="489" spans="1:55" ht="12.9" customHeight="1">
      <c r="B489" s="1455" t="s">
        <v>397</v>
      </c>
      <c r="C489" s="1456"/>
      <c r="D489" s="1456"/>
      <c r="E489" s="1456"/>
      <c r="F489" s="1456"/>
      <c r="G489" s="1456"/>
      <c r="H489" s="1456"/>
      <c r="I489" s="1456"/>
      <c r="J489" s="1456"/>
      <c r="K489" s="1456"/>
      <c r="L489" s="1456"/>
      <c r="M489" s="1456"/>
      <c r="N489" s="1456"/>
      <c r="O489" s="1456"/>
      <c r="P489" s="1457"/>
      <c r="Q489" s="1461" t="s">
        <v>670</v>
      </c>
      <c r="R489" s="1462"/>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 customHeight="1">
      <c r="B490" s="1458"/>
      <c r="C490" s="1459"/>
      <c r="D490" s="1459"/>
      <c r="E490" s="1459"/>
      <c r="F490" s="1459"/>
      <c r="G490" s="1459"/>
      <c r="H490" s="1459"/>
      <c r="I490" s="1459"/>
      <c r="J490" s="1459"/>
      <c r="K490" s="1459"/>
      <c r="L490" s="1459"/>
      <c r="M490" s="1459"/>
      <c r="N490" s="1459"/>
      <c r="O490" s="1459"/>
      <c r="P490" s="1460"/>
      <c r="Q490" s="1463"/>
      <c r="R490" s="1464"/>
      <c r="S490" s="1574"/>
      <c r="T490" s="1532"/>
      <c r="U490" s="1532"/>
      <c r="V490" s="1532"/>
      <c r="W490" s="1532"/>
      <c r="X490" s="1532"/>
      <c r="Y490" s="1532"/>
      <c r="Z490" s="1532"/>
      <c r="AA490" s="1532"/>
      <c r="AB490" s="1532"/>
      <c r="AC490" s="1532"/>
      <c r="AD490" s="1532"/>
      <c r="AE490" s="1532"/>
      <c r="AF490" s="1532"/>
      <c r="AG490" s="1532"/>
      <c r="AH490" s="1532"/>
      <c r="AI490" s="1532"/>
      <c r="AJ490" s="1532"/>
      <c r="AK490" s="1575"/>
      <c r="AZ490" s="3"/>
      <c r="BA490" s="3"/>
      <c r="BB490" s="3"/>
      <c r="BC490" s="3"/>
    </row>
    <row r="491" spans="1:55" ht="12.9" customHeight="1">
      <c r="B491" s="895" t="s">
        <v>1672</v>
      </c>
      <c r="C491" s="873"/>
      <c r="D491" s="873"/>
      <c r="E491" s="873"/>
      <c r="F491" s="873"/>
      <c r="G491" s="873"/>
      <c r="H491" s="873"/>
      <c r="I491" s="873"/>
      <c r="J491" s="873"/>
      <c r="K491" s="873"/>
      <c r="L491" s="873"/>
      <c r="M491" s="873"/>
      <c r="N491" s="873"/>
      <c r="O491" s="873"/>
      <c r="P491" s="873"/>
      <c r="Q491" s="1382" t="s">
        <v>670</v>
      </c>
      <c r="R491" s="1383"/>
      <c r="S491" s="1383"/>
      <c r="T491" s="1383"/>
      <c r="U491" s="1383"/>
      <c r="V491" s="1383"/>
      <c r="W491" s="1383"/>
      <c r="X491" s="1383"/>
      <c r="Y491" s="1383"/>
      <c r="Z491" s="1383"/>
      <c r="AA491" s="1383"/>
      <c r="AB491" s="1383"/>
      <c r="AC491" s="1383"/>
      <c r="AD491" s="1383"/>
      <c r="AE491" s="1383"/>
      <c r="AF491" s="1383"/>
      <c r="AG491" s="1383"/>
      <c r="AH491" s="1383"/>
      <c r="AI491" s="1383"/>
      <c r="AJ491" s="1383"/>
      <c r="AK491" s="1384"/>
      <c r="AZ491" s="3"/>
      <c r="BA491" s="3"/>
      <c r="BB491" s="3"/>
      <c r="BC491" s="3"/>
    </row>
    <row r="492" spans="1:55" ht="12.9" customHeight="1">
      <c r="B492" s="45" t="s">
        <v>398</v>
      </c>
      <c r="C492" s="5"/>
      <c r="D492" s="5"/>
      <c r="E492" s="5"/>
      <c r="F492" s="5"/>
      <c r="G492" s="5"/>
      <c r="H492" s="5"/>
      <c r="I492" s="5"/>
      <c r="J492" s="5"/>
      <c r="K492" s="5"/>
      <c r="L492" s="5"/>
      <c r="M492" s="5"/>
      <c r="N492" s="5"/>
      <c r="O492" s="5"/>
      <c r="P492" s="5"/>
      <c r="Q492" s="1374" t="s">
        <v>2713</v>
      </c>
      <c r="R492" s="1375"/>
      <c r="S492" s="1375"/>
      <c r="T492" s="1375"/>
      <c r="U492" s="1375"/>
      <c r="V492" s="1375"/>
      <c r="W492" s="1375"/>
      <c r="X492" s="1375"/>
      <c r="Y492" s="1375"/>
      <c r="Z492" s="1375"/>
      <c r="AA492" s="1375"/>
      <c r="AB492" s="1375"/>
      <c r="AC492" s="1375"/>
      <c r="AD492" s="1375"/>
      <c r="AE492" s="1375"/>
      <c r="AF492" s="1375"/>
      <c r="AG492" s="1375"/>
      <c r="AH492" s="1375"/>
      <c r="AI492" s="1375"/>
      <c r="AJ492" s="1375"/>
      <c r="AK492" s="1376"/>
      <c r="AZ492" s="3"/>
      <c r="BA492" s="3"/>
      <c r="BB492" s="3"/>
      <c r="BC492" s="3"/>
    </row>
    <row r="493" spans="1:55" ht="12.9" customHeight="1">
      <c r="B493" s="45" t="s">
        <v>399</v>
      </c>
      <c r="C493" s="5"/>
      <c r="D493" s="5"/>
      <c r="E493" s="5"/>
      <c r="F493" s="5"/>
      <c r="G493" s="5"/>
      <c r="H493" s="5"/>
      <c r="I493" s="5"/>
      <c r="J493" s="5"/>
      <c r="K493" s="5"/>
      <c r="L493" s="5"/>
      <c r="M493" s="5"/>
      <c r="N493" s="5"/>
      <c r="O493" s="5"/>
      <c r="P493" s="5"/>
      <c r="Q493" s="1374">
        <v>210</v>
      </c>
      <c r="R493" s="1375"/>
      <c r="S493" s="1375"/>
      <c r="T493" s="1375"/>
      <c r="U493" s="1375"/>
      <c r="V493" s="1375"/>
      <c r="W493" s="1375"/>
      <c r="X493" s="1375"/>
      <c r="Y493" s="1375"/>
      <c r="Z493" s="1375"/>
      <c r="AA493" s="1375"/>
      <c r="AB493" s="1375"/>
      <c r="AC493" s="1375"/>
      <c r="AD493" s="1375"/>
      <c r="AE493" s="1375"/>
      <c r="AF493" s="1375"/>
      <c r="AG493" s="1375"/>
      <c r="AH493" s="1375"/>
      <c r="AI493" s="1375"/>
      <c r="AJ493" s="1375"/>
      <c r="AK493" s="1376"/>
      <c r="AZ493" s="3"/>
      <c r="BA493" s="3"/>
      <c r="BB493" s="3"/>
      <c r="BC493" s="3"/>
    </row>
    <row r="494" spans="1:55" ht="12.9" customHeight="1">
      <c r="B494" s="121" t="s">
        <v>1669</v>
      </c>
      <c r="C494" s="5"/>
      <c r="D494" s="5"/>
      <c r="E494" s="5"/>
      <c r="F494" s="5"/>
      <c r="G494" s="5"/>
      <c r="H494" s="5"/>
      <c r="I494" s="5"/>
      <c r="J494" s="5"/>
      <c r="K494" s="5"/>
      <c r="L494" s="5"/>
      <c r="M494" s="5"/>
      <c r="N494" s="5"/>
      <c r="O494" s="5"/>
      <c r="P494" s="5"/>
      <c r="Q494" s="1374">
        <v>210</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376"/>
      <c r="AZ494" s="3"/>
      <c r="BA494" s="3"/>
      <c r="BB494" s="3"/>
      <c r="BC494" s="3"/>
    </row>
    <row r="495" spans="1:55" ht="12.9" customHeight="1">
      <c r="B495" s="121" t="s">
        <v>1670</v>
      </c>
      <c r="C495" s="5"/>
      <c r="D495" s="5"/>
      <c r="E495" s="5"/>
      <c r="F495" s="5"/>
      <c r="G495" s="5"/>
      <c r="H495" s="5"/>
      <c r="I495" s="5"/>
      <c r="J495" s="5"/>
      <c r="K495" s="5"/>
      <c r="L495" s="5"/>
      <c r="M495" s="1385"/>
      <c r="N495" s="1386"/>
      <c r="O495" s="1386"/>
      <c r="P495" s="1387"/>
      <c r="Q495" s="121" t="s">
        <v>1671</v>
      </c>
      <c r="R495" s="5"/>
      <c r="S495" s="5"/>
      <c r="T495" s="5"/>
      <c r="U495" s="5"/>
      <c r="V495" s="5"/>
      <c r="W495" s="5"/>
      <c r="X495" s="5"/>
      <c r="Y495" s="5"/>
      <c r="Z495" s="5"/>
      <c r="AA495" s="5"/>
      <c r="AB495" s="5"/>
      <c r="AC495" s="5"/>
      <c r="AD495" s="5"/>
      <c r="AE495" s="5"/>
      <c r="AF495" s="5"/>
      <c r="AG495" s="5"/>
      <c r="AH495" s="1385">
        <v>210</v>
      </c>
      <c r="AI495" s="1386"/>
      <c r="AJ495" s="1386"/>
      <c r="AK495" s="1387"/>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0" t="s">
        <v>401</v>
      </c>
      <c r="AD499" s="1391"/>
      <c r="AE499" s="1391"/>
      <c r="AF499" s="1391"/>
      <c r="AG499" s="1391"/>
      <c r="AH499" s="1391"/>
      <c r="AI499" s="1391"/>
      <c r="AJ499" s="1391"/>
      <c r="AK499" s="1392"/>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0" t="s">
        <v>402</v>
      </c>
      <c r="AD500" s="1391"/>
      <c r="AE500" s="1391"/>
      <c r="AF500" s="1391"/>
      <c r="AG500" s="50" t="s">
        <v>403</v>
      </c>
      <c r="AH500" s="1391" t="s">
        <v>404</v>
      </c>
      <c r="AI500" s="1391"/>
      <c r="AJ500" s="1391"/>
      <c r="AK500" s="1392"/>
      <c r="AZ500" s="3"/>
      <c r="BA500" s="3"/>
      <c r="BB500" s="3"/>
      <c r="BC500" s="3"/>
      <c r="BD500" s="3"/>
      <c r="BE500" s="3"/>
      <c r="BF500" s="3"/>
      <c r="BG500" s="3"/>
      <c r="BH500" s="3"/>
      <c r="BI500" s="3"/>
      <c r="BJ500" s="3"/>
      <c r="BK500" s="3"/>
      <c r="BL500" s="3"/>
      <c r="BM500" s="3"/>
      <c r="BN500" s="3"/>
    </row>
    <row r="501" spans="1:66" ht="12.9" customHeight="1">
      <c r="B501" s="1400" t="s">
        <v>405</v>
      </c>
      <c r="C501" s="1401"/>
      <c r="D501" s="1401"/>
      <c r="E501" s="1401"/>
      <c r="F501" s="1401"/>
      <c r="G501" s="1401"/>
      <c r="H501" s="1402"/>
      <c r="I501" s="42" t="s">
        <v>406</v>
      </c>
      <c r="J501" s="42"/>
      <c r="K501" s="42"/>
      <c r="L501" s="42"/>
      <c r="M501" s="42"/>
      <c r="N501" s="42"/>
      <c r="O501" s="42"/>
      <c r="P501" s="42"/>
      <c r="Q501" s="42"/>
      <c r="R501" s="42"/>
      <c r="S501" s="42"/>
      <c r="T501" s="42"/>
      <c r="U501" s="42"/>
      <c r="V501" s="42"/>
      <c r="W501" s="42"/>
      <c r="AC501" s="1393">
        <v>5</v>
      </c>
      <c r="AD501" s="1394"/>
      <c r="AE501" s="1394"/>
      <c r="AF501" s="1394"/>
      <c r="AG501" s="13" t="s">
        <v>403</v>
      </c>
      <c r="AH501" s="1337">
        <v>2025</v>
      </c>
      <c r="AI501" s="1337"/>
      <c r="AJ501" s="1337"/>
      <c r="AK501" s="1338"/>
      <c r="AZ501" s="3"/>
      <c r="BA501" s="3"/>
      <c r="BB501" s="3"/>
      <c r="BC501" s="3"/>
      <c r="BD501" s="3"/>
      <c r="BE501" s="3"/>
      <c r="BF501" s="3"/>
      <c r="BG501" s="3"/>
      <c r="BH501" s="3"/>
      <c r="BI501" s="3"/>
      <c r="BJ501" s="3"/>
      <c r="BK501" s="3"/>
      <c r="BL501" s="3"/>
      <c r="BM501" s="3"/>
      <c r="BN501" s="3"/>
    </row>
    <row r="502" spans="1:66" ht="12.9" customHeight="1">
      <c r="B502" s="1403"/>
      <c r="C502" s="1404"/>
      <c r="D502" s="1404"/>
      <c r="E502" s="1404"/>
      <c r="F502" s="1404"/>
      <c r="G502" s="1404"/>
      <c r="H502" s="1405"/>
      <c r="I502" s="48" t="s">
        <v>407</v>
      </c>
      <c r="J502" s="48"/>
      <c r="K502" s="48"/>
      <c r="L502" s="48"/>
      <c r="M502" s="48"/>
      <c r="N502" s="48"/>
      <c r="O502" s="48"/>
      <c r="P502" s="48"/>
      <c r="Q502" s="48"/>
      <c r="R502" s="48"/>
      <c r="S502" s="48"/>
      <c r="T502" s="48"/>
      <c r="U502" s="48"/>
      <c r="V502" s="48"/>
      <c r="W502" s="48"/>
      <c r="X502" s="48"/>
      <c r="Y502" s="48"/>
      <c r="Z502" s="48"/>
      <c r="AA502" s="48"/>
      <c r="AB502" s="48"/>
      <c r="AC502" s="1393">
        <v>12</v>
      </c>
      <c r="AD502" s="1394"/>
      <c r="AE502" s="1394"/>
      <c r="AF502" s="1394"/>
      <c r="AG502" s="38" t="s">
        <v>403</v>
      </c>
      <c r="AH502" s="1337">
        <v>2021</v>
      </c>
      <c r="AI502" s="1337"/>
      <c r="AJ502" s="1337"/>
      <c r="AK502" s="1338"/>
      <c r="AZ502" s="3"/>
      <c r="BA502" s="3"/>
      <c r="BB502" s="3"/>
      <c r="BC502" s="3"/>
      <c r="BD502" s="3"/>
      <c r="BE502" s="3"/>
      <c r="BF502" s="3"/>
      <c r="BG502" s="3"/>
      <c r="BH502" s="3"/>
      <c r="BI502" s="3"/>
      <c r="BJ502" s="3"/>
      <c r="BK502" s="3"/>
      <c r="BL502" s="3"/>
      <c r="BM502" s="3"/>
      <c r="BN502" s="3"/>
    </row>
    <row r="503" spans="1:66" ht="12.9" customHeight="1">
      <c r="B503" s="1400" t="s">
        <v>408</v>
      </c>
      <c r="C503" s="1401"/>
      <c r="D503" s="1401"/>
      <c r="E503" s="1401"/>
      <c r="F503" s="1401"/>
      <c r="G503" s="1401"/>
      <c r="H503" s="1402"/>
      <c r="I503" s="42" t="s">
        <v>409</v>
      </c>
      <c r="J503" s="42"/>
      <c r="K503" s="42"/>
      <c r="L503" s="42"/>
      <c r="M503" s="42"/>
      <c r="N503" s="42"/>
      <c r="O503" s="42"/>
      <c r="P503" s="42"/>
      <c r="Q503" s="42"/>
      <c r="R503" s="42"/>
      <c r="S503" s="42"/>
      <c r="T503" s="42"/>
      <c r="U503" s="42"/>
      <c r="V503" s="42"/>
      <c r="W503" s="42"/>
      <c r="AC503" s="1393" t="s">
        <v>592</v>
      </c>
      <c r="AD503" s="1394"/>
      <c r="AE503" s="1394"/>
      <c r="AF503" s="1394"/>
      <c r="AG503" s="13" t="s">
        <v>403</v>
      </c>
      <c r="AH503" s="1337"/>
      <c r="AI503" s="1337"/>
      <c r="AJ503" s="1337"/>
      <c r="AK503" s="1338"/>
      <c r="AZ503" s="3"/>
      <c r="BA503" s="3"/>
      <c r="BB503" s="3"/>
      <c r="BC503" s="3"/>
      <c r="BD503" s="3"/>
      <c r="BE503" s="3"/>
      <c r="BF503" s="3"/>
      <c r="BG503" s="3"/>
      <c r="BH503" s="3"/>
      <c r="BI503" s="3"/>
      <c r="BJ503" s="3"/>
      <c r="BK503" s="3"/>
      <c r="BL503" s="3"/>
      <c r="BM503" s="3"/>
      <c r="BN503" s="3"/>
    </row>
    <row r="504" spans="1:66" ht="12.9" customHeight="1">
      <c r="B504" s="1403"/>
      <c r="C504" s="1404"/>
      <c r="D504" s="1404"/>
      <c r="E504" s="1404"/>
      <c r="F504" s="1404"/>
      <c r="G504" s="1404"/>
      <c r="H504" s="1405"/>
      <c r="I504" t="s">
        <v>410</v>
      </c>
      <c r="AC504" s="1393" t="s">
        <v>592</v>
      </c>
      <c r="AD504" s="1394"/>
      <c r="AE504" s="1394"/>
      <c r="AF504" s="1394"/>
      <c r="AG504" s="13" t="s">
        <v>403</v>
      </c>
      <c r="AH504" s="1337"/>
      <c r="AI504" s="1337"/>
      <c r="AJ504" s="1337"/>
      <c r="AK504" s="1338"/>
      <c r="AZ504" s="3"/>
      <c r="BA504" s="3"/>
      <c r="BB504" s="3"/>
      <c r="BC504" s="3"/>
      <c r="BD504" s="3"/>
      <c r="BE504" s="3"/>
      <c r="BF504" s="3"/>
      <c r="BG504" s="3"/>
      <c r="BH504" s="3"/>
      <c r="BI504" s="3"/>
      <c r="BJ504" s="3"/>
      <c r="BK504" s="3"/>
      <c r="BL504" s="3"/>
      <c r="BM504" s="3"/>
      <c r="BN504" s="3"/>
    </row>
    <row r="505" spans="1:66" ht="12.9" customHeight="1">
      <c r="B505" s="1403"/>
      <c r="C505" s="1404"/>
      <c r="D505" s="1404"/>
      <c r="E505" s="1404"/>
      <c r="F505" s="1404"/>
      <c r="G505" s="1404"/>
      <c r="H505" s="1405"/>
      <c r="I505" t="s">
        <v>411</v>
      </c>
      <c r="AC505" s="1393" t="s">
        <v>592</v>
      </c>
      <c r="AD505" s="1394"/>
      <c r="AE505" s="1394"/>
      <c r="AF505" s="1394"/>
      <c r="AG505" s="13" t="s">
        <v>403</v>
      </c>
      <c r="AH505" s="1337"/>
      <c r="AI505" s="1337"/>
      <c r="AJ505" s="1337"/>
      <c r="AK505" s="1338"/>
      <c r="AZ505" s="3"/>
      <c r="BA505" s="3"/>
      <c r="BB505" s="3"/>
      <c r="BC505" s="3"/>
      <c r="BD505" s="3"/>
      <c r="BE505" s="3"/>
      <c r="BF505" s="3"/>
      <c r="BG505" s="3"/>
      <c r="BH505" s="3"/>
      <c r="BI505" s="3"/>
      <c r="BJ505" s="3"/>
      <c r="BK505" s="3"/>
      <c r="BL505" s="3"/>
      <c r="BM505" s="3"/>
      <c r="BN505" s="3"/>
    </row>
    <row r="506" spans="1:66" ht="12.9" customHeight="1">
      <c r="B506" s="1403"/>
      <c r="C506" s="1404"/>
      <c r="D506" s="1404"/>
      <c r="E506" s="1404"/>
      <c r="F506" s="1404"/>
      <c r="G506" s="1404"/>
      <c r="H506" s="1405"/>
      <c r="I506" t="s">
        <v>412</v>
      </c>
      <c r="AC506" s="1393">
        <v>5</v>
      </c>
      <c r="AD506" s="1394"/>
      <c r="AE506" s="1394"/>
      <c r="AF506" s="1394"/>
      <c r="AG506" s="13" t="s">
        <v>403</v>
      </c>
      <c r="AH506" s="1337">
        <v>2026</v>
      </c>
      <c r="AI506" s="1337"/>
      <c r="AJ506" s="1337"/>
      <c r="AK506" s="1338"/>
      <c r="AZ506" s="3"/>
      <c r="BA506" s="3"/>
      <c r="BB506" s="3"/>
      <c r="BC506" s="3"/>
      <c r="BD506" s="3"/>
      <c r="BE506" s="3"/>
      <c r="BF506" s="3"/>
      <c r="BG506" s="3"/>
      <c r="BH506" s="3"/>
      <c r="BI506" s="3"/>
      <c r="BJ506" s="3"/>
      <c r="BK506" s="3"/>
      <c r="BL506" s="3"/>
      <c r="BM506" s="3"/>
      <c r="BN506" s="3"/>
    </row>
    <row r="507" spans="1:66" ht="12.9" customHeight="1">
      <c r="B507" s="1403"/>
      <c r="C507" s="1404"/>
      <c r="D507" s="1404"/>
      <c r="E507" s="1404"/>
      <c r="F507" s="1404"/>
      <c r="G507" s="1404"/>
      <c r="H507" s="1405"/>
      <c r="I507" s="3" t="s">
        <v>413</v>
      </c>
      <c r="AC507" s="1359">
        <v>5</v>
      </c>
      <c r="AD507" s="1360"/>
      <c r="AE507" s="1360"/>
      <c r="AF507" s="1360"/>
      <c r="AG507" s="13" t="s">
        <v>403</v>
      </c>
      <c r="AH507" s="1337">
        <v>2026</v>
      </c>
      <c r="AI507" s="1337"/>
      <c r="AJ507" s="1337"/>
      <c r="AK507" s="1338"/>
      <c r="AZ507" s="3"/>
      <c r="BA507" s="3"/>
      <c r="BB507" s="3"/>
      <c r="BC507" s="3"/>
      <c r="BD507" s="3"/>
      <c r="BE507" s="3"/>
      <c r="BF507" s="3"/>
      <c r="BG507" s="3"/>
      <c r="BH507" s="3"/>
      <c r="BI507" s="3"/>
      <c r="BJ507" s="3"/>
      <c r="BK507" s="3"/>
      <c r="BL507" s="3"/>
      <c r="BM507" s="3"/>
      <c r="BN507" s="3"/>
    </row>
    <row r="508" spans="1:66" ht="12.9" customHeight="1">
      <c r="B508" s="1403"/>
      <c r="C508" s="1404"/>
      <c r="D508" s="1404"/>
      <c r="E508" s="1404"/>
      <c r="F508" s="1404"/>
      <c r="G508" s="1404"/>
      <c r="H508" s="1405"/>
      <c r="I508" s="896" t="s">
        <v>170</v>
      </c>
      <c r="J508" s="48"/>
      <c r="K508" s="48"/>
      <c r="L508" s="1429" t="s">
        <v>334</v>
      </c>
      <c r="M508" s="1430"/>
      <c r="N508" s="1430"/>
      <c r="O508" s="1430"/>
      <c r="P508" s="1430"/>
      <c r="Q508" s="1430"/>
      <c r="R508" s="1430"/>
      <c r="S508" s="1430"/>
      <c r="T508" s="1430"/>
      <c r="U508" s="1430"/>
      <c r="V508" s="1430"/>
      <c r="W508" s="1430"/>
      <c r="X508" s="1430"/>
      <c r="Y508" s="1430"/>
      <c r="Z508" s="1430"/>
      <c r="AA508" s="1430"/>
      <c r="AB508" s="1431"/>
      <c r="AC508" s="1393" t="s">
        <v>592</v>
      </c>
      <c r="AD508" s="1394"/>
      <c r="AE508" s="1394"/>
      <c r="AF508" s="1394"/>
      <c r="AG508" s="38" t="s">
        <v>403</v>
      </c>
      <c r="AH508" s="1337"/>
      <c r="AI508" s="1337"/>
      <c r="AJ508" s="1337"/>
      <c r="AK508" s="1338"/>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1676</v>
      </c>
      <c r="AC509" s="1389" t="s">
        <v>670</v>
      </c>
      <c r="AD509" s="1389"/>
      <c r="AE509" s="1389"/>
      <c r="AF509" s="1389"/>
      <c r="AG509" s="13"/>
      <c r="AH509" s="1409"/>
      <c r="AI509" s="1409"/>
      <c r="AJ509" s="1409"/>
      <c r="AK509" s="1410"/>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1673</v>
      </c>
      <c r="AC510" s="1359"/>
      <c r="AD510" s="1360"/>
      <c r="AE510" s="1360"/>
      <c r="AF510" s="1361"/>
      <c r="AG510" s="13"/>
      <c r="AH510" s="1409"/>
      <c r="AI510" s="1409"/>
      <c r="AJ510" s="1409"/>
      <c r="AK510" s="1410"/>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2">
        <v>0.5</v>
      </c>
      <c r="AD512" s="1453"/>
      <c r="AE512" s="1453"/>
      <c r="AF512" s="1454"/>
      <c r="AG512" s="38"/>
      <c r="AH512" s="1589"/>
      <c r="AI512" s="1589"/>
      <c r="AJ512" s="1589"/>
      <c r="AK512" s="1590"/>
      <c r="AZ512" s="3"/>
      <c r="BA512" s="3"/>
      <c r="BB512" s="3"/>
      <c r="BC512" s="3"/>
      <c r="BD512" s="3"/>
      <c r="BE512" s="3"/>
      <c r="BF512" s="3"/>
      <c r="BG512" s="3"/>
      <c r="BH512" s="3"/>
      <c r="BI512" s="3"/>
      <c r="BJ512" s="3"/>
      <c r="BK512" s="3"/>
      <c r="BL512" s="3"/>
      <c r="BM512" s="3"/>
      <c r="BN512" s="3" t="s">
        <v>1185</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835" t="s">
        <v>402</v>
      </c>
      <c r="AD513" s="1427"/>
      <c r="AE513" s="1427"/>
      <c r="AF513" s="1427"/>
      <c r="AG513" s="38" t="s">
        <v>403</v>
      </c>
      <c r="AH513" s="1427" t="s">
        <v>404</v>
      </c>
      <c r="AI513" s="1427"/>
      <c r="AJ513" s="1427"/>
      <c r="AK513" s="1428"/>
      <c r="AZ513" s="3"/>
      <c r="BA513" s="3"/>
      <c r="BB513" s="3"/>
      <c r="BC513" s="3"/>
      <c r="BD513" s="3"/>
      <c r="BE513" s="3"/>
      <c r="BF513" s="3"/>
      <c r="BG513" s="3"/>
      <c r="BH513" s="3"/>
      <c r="BI513" s="3"/>
      <c r="BJ513" s="3"/>
      <c r="BK513" s="3"/>
      <c r="BL513" s="3"/>
      <c r="BM513" s="3"/>
      <c r="BN513" s="3" t="s">
        <v>2105</v>
      </c>
    </row>
    <row r="514" spans="2:66" ht="12.9" customHeight="1">
      <c r="B514" s="1400" t="s">
        <v>414</v>
      </c>
      <c r="C514" s="1401"/>
      <c r="D514" s="1401"/>
      <c r="E514" s="1401"/>
      <c r="F514" s="1401"/>
      <c r="G514" s="1401"/>
      <c r="H514" s="1402"/>
      <c r="I514" s="42" t="s">
        <v>415</v>
      </c>
      <c r="J514" s="42"/>
      <c r="K514" s="42"/>
      <c r="L514" s="42"/>
      <c r="M514" s="42"/>
      <c r="N514" s="42"/>
      <c r="O514" s="42"/>
      <c r="P514" s="42"/>
      <c r="Q514" s="42"/>
      <c r="R514" s="42"/>
      <c r="S514" s="42"/>
      <c r="T514" s="42"/>
      <c r="U514" s="42"/>
      <c r="V514" s="42"/>
      <c r="W514" s="42"/>
      <c r="AC514" s="1393">
        <v>9</v>
      </c>
      <c r="AD514" s="1394"/>
      <c r="AE514" s="1394"/>
      <c r="AF514" s="1394"/>
      <c r="AG514" s="13" t="s">
        <v>403</v>
      </c>
      <c r="AH514" s="1337">
        <v>2025</v>
      </c>
      <c r="AI514" s="1337"/>
      <c r="AJ514" s="1337"/>
      <c r="AK514" s="1338"/>
      <c r="AZ514" s="3"/>
      <c r="BA514" s="3"/>
      <c r="BB514" s="3"/>
      <c r="BC514" s="3"/>
      <c r="BD514" s="3"/>
      <c r="BE514" s="3"/>
      <c r="BF514" s="3"/>
      <c r="BG514" s="3"/>
      <c r="BH514" s="3"/>
      <c r="BI514" s="3"/>
      <c r="BJ514" s="3"/>
      <c r="BK514" s="3"/>
      <c r="BL514" s="3"/>
      <c r="BM514" s="3"/>
      <c r="BN514" s="3" t="s">
        <v>2106</v>
      </c>
    </row>
    <row r="515" spans="2:66" ht="12.9" customHeight="1">
      <c r="B515" s="1403"/>
      <c r="C515" s="1404"/>
      <c r="D515" s="1404"/>
      <c r="E515" s="1404"/>
      <c r="F515" s="1404"/>
      <c r="G515" s="1404"/>
      <c r="H515" s="1405"/>
      <c r="I515" t="s">
        <v>416</v>
      </c>
      <c r="AC515" s="1393">
        <v>9</v>
      </c>
      <c r="AD515" s="1394"/>
      <c r="AE515" s="1394"/>
      <c r="AF515" s="1394"/>
      <c r="AG515" s="13" t="s">
        <v>403</v>
      </c>
      <c r="AH515" s="1337">
        <v>2025</v>
      </c>
      <c r="AI515" s="1337"/>
      <c r="AJ515" s="1337"/>
      <c r="AK515" s="1338"/>
      <c r="AZ515" s="3"/>
      <c r="BA515" s="3"/>
      <c r="BB515" s="3"/>
      <c r="BC515" s="3"/>
      <c r="BD515" s="3"/>
      <c r="BE515" s="3"/>
      <c r="BF515" s="3"/>
      <c r="BG515" s="3"/>
      <c r="BH515" s="3"/>
      <c r="BI515" s="3"/>
      <c r="BJ515" s="3"/>
      <c r="BK515" s="3"/>
      <c r="BL515" s="3"/>
      <c r="BM515" s="3"/>
      <c r="BN515" s="3" t="s">
        <v>2107</v>
      </c>
    </row>
    <row r="516" spans="2:66" ht="12.9" customHeight="1">
      <c r="B516" s="1403"/>
      <c r="C516" s="1404"/>
      <c r="D516" s="1404"/>
      <c r="E516" s="1404"/>
      <c r="F516" s="1404"/>
      <c r="G516" s="1404"/>
      <c r="H516" s="1405"/>
      <c r="I516" s="48" t="s">
        <v>417</v>
      </c>
      <c r="J516" s="48"/>
      <c r="K516" s="48"/>
      <c r="L516" s="48"/>
      <c r="M516" s="48"/>
      <c r="N516" s="48"/>
      <c r="O516" s="48"/>
      <c r="P516" s="48"/>
      <c r="Q516" s="48"/>
      <c r="R516" s="48"/>
      <c r="S516" s="48"/>
      <c r="T516" s="48"/>
      <c r="U516" s="48"/>
      <c r="V516" s="48"/>
      <c r="W516" s="48"/>
      <c r="X516" s="48"/>
      <c r="Y516" s="48"/>
      <c r="Z516" s="48"/>
      <c r="AA516" s="48"/>
      <c r="AB516" s="48"/>
      <c r="AC516" s="1393">
        <v>5</v>
      </c>
      <c r="AD516" s="1394"/>
      <c r="AE516" s="1394"/>
      <c r="AF516" s="1394"/>
      <c r="AG516" s="38" t="s">
        <v>403</v>
      </c>
      <c r="AH516" s="1337">
        <v>2026</v>
      </c>
      <c r="AI516" s="1337"/>
      <c r="AJ516" s="1337"/>
      <c r="AK516" s="1338"/>
      <c r="AZ516" s="3"/>
      <c r="BA516" s="3"/>
      <c r="BB516" s="3"/>
      <c r="BC516" s="3"/>
      <c r="BD516" s="3"/>
      <c r="BE516" s="3"/>
      <c r="BF516" s="3"/>
      <c r="BG516" s="3"/>
      <c r="BH516" s="3"/>
      <c r="BI516" s="3"/>
      <c r="BJ516" s="3"/>
      <c r="BK516" s="3"/>
      <c r="BL516" s="3"/>
      <c r="BM516" s="3"/>
      <c r="BN516" s="3" t="s">
        <v>2108</v>
      </c>
    </row>
    <row r="517" spans="2:66" ht="12.9" customHeight="1">
      <c r="B517" s="1400" t="s">
        <v>418</v>
      </c>
      <c r="C517" s="1401"/>
      <c r="D517" s="1401"/>
      <c r="E517" s="1401"/>
      <c r="F517" s="1401"/>
      <c r="G517" s="1401"/>
      <c r="H517" s="1402"/>
      <c r="I517" s="42" t="s">
        <v>415</v>
      </c>
      <c r="J517" s="42"/>
      <c r="K517" s="42"/>
      <c r="L517" s="42"/>
      <c r="M517" s="42"/>
      <c r="N517" s="42"/>
      <c r="O517" s="42"/>
      <c r="P517" s="42"/>
      <c r="Q517" s="42"/>
      <c r="R517" s="42"/>
      <c r="S517" s="42"/>
      <c r="T517" s="42"/>
      <c r="U517" s="42"/>
      <c r="V517" s="42"/>
      <c r="W517" s="42"/>
      <c r="X517" s="42"/>
      <c r="Y517" s="42"/>
      <c r="Z517" s="42"/>
      <c r="AA517" s="42"/>
      <c r="AB517" s="42"/>
      <c r="AC517" s="1359">
        <v>9</v>
      </c>
      <c r="AD517" s="1360"/>
      <c r="AE517" s="1360"/>
      <c r="AF517" s="1360"/>
      <c r="AG517" s="129" t="s">
        <v>403</v>
      </c>
      <c r="AH517" s="1337">
        <v>2025</v>
      </c>
      <c r="AI517" s="1337"/>
      <c r="AJ517" s="1337"/>
      <c r="AK517" s="1338"/>
      <c r="AZ517" s="3"/>
      <c r="BB517" s="3"/>
      <c r="BC517" s="3"/>
      <c r="BD517" s="3"/>
      <c r="BE517" s="3"/>
      <c r="BF517" s="3"/>
      <c r="BG517" s="3"/>
      <c r="BH517" s="3"/>
      <c r="BI517" s="3"/>
      <c r="BJ517" s="3"/>
      <c r="BK517" s="3"/>
      <c r="BL517" s="3"/>
      <c r="BM517" s="3"/>
      <c r="BN517" s="3" t="s">
        <v>2109</v>
      </c>
    </row>
    <row r="518" spans="2:66" ht="12.9" customHeight="1">
      <c r="B518" s="1403"/>
      <c r="C518" s="1404"/>
      <c r="D518" s="1404"/>
      <c r="E518" s="1404"/>
      <c r="F518" s="1404"/>
      <c r="G518" s="1404"/>
      <c r="H518" s="1405"/>
      <c r="I518" t="s">
        <v>416</v>
      </c>
      <c r="AC518" s="1393">
        <v>9</v>
      </c>
      <c r="AD518" s="1394"/>
      <c r="AE518" s="1394"/>
      <c r="AF518" s="1394"/>
      <c r="AG518" s="13" t="s">
        <v>403</v>
      </c>
      <c r="AH518" s="1337">
        <v>2025</v>
      </c>
      <c r="AI518" s="1337"/>
      <c r="AJ518" s="1337"/>
      <c r="AK518" s="1338"/>
      <c r="BB518" s="3"/>
      <c r="BC518" s="3"/>
      <c r="BD518" s="3"/>
      <c r="BE518" s="3"/>
      <c r="BF518" s="3"/>
      <c r="BG518" s="3"/>
      <c r="BH518" s="3"/>
      <c r="BI518" s="3"/>
      <c r="BJ518" s="3"/>
      <c r="BK518" s="3"/>
      <c r="BL518" s="3"/>
      <c r="BM518" s="3"/>
      <c r="BN518" s="3" t="s">
        <v>2110</v>
      </c>
    </row>
    <row r="519" spans="2:66" ht="12.9" customHeight="1">
      <c r="B519" s="1406"/>
      <c r="C519" s="1407"/>
      <c r="D519" s="1407"/>
      <c r="E519" s="1407"/>
      <c r="F519" s="1407"/>
      <c r="G519" s="1407"/>
      <c r="H519" s="1408"/>
      <c r="I519" s="48" t="s">
        <v>417</v>
      </c>
      <c r="J519" s="48"/>
      <c r="K519" s="48"/>
      <c r="L519" s="48"/>
      <c r="M519" s="48"/>
      <c r="N519" s="48"/>
      <c r="O519" s="48"/>
      <c r="P519" s="48"/>
      <c r="Q519" s="48"/>
      <c r="R519" s="48"/>
      <c r="S519" s="48"/>
      <c r="T519" s="48"/>
      <c r="U519" s="48"/>
      <c r="V519" s="48"/>
      <c r="W519" s="48"/>
      <c r="X519" s="48"/>
      <c r="Y519" s="48"/>
      <c r="Z519" s="48"/>
      <c r="AA519" s="48"/>
      <c r="AB519" s="48"/>
      <c r="AC519" s="1393">
        <v>5</v>
      </c>
      <c r="AD519" s="1394"/>
      <c r="AE519" s="1394"/>
      <c r="AF519" s="1394"/>
      <c r="AG519" s="38" t="s">
        <v>403</v>
      </c>
      <c r="AH519" s="1337">
        <v>2026</v>
      </c>
      <c r="AI519" s="1337"/>
      <c r="AJ519" s="1337"/>
      <c r="AK519" s="1338"/>
      <c r="BB519" s="3"/>
      <c r="BC519" s="3"/>
      <c r="BD519" s="3"/>
      <c r="BE519" s="3"/>
      <c r="BF519" s="3"/>
      <c r="BG519" s="3"/>
      <c r="BH519" s="3"/>
      <c r="BI519" s="3"/>
      <c r="BJ519" s="3"/>
      <c r="BK519" s="3"/>
      <c r="BL519" s="3"/>
      <c r="BM519" s="3"/>
      <c r="BN519" s="3" t="s">
        <v>2111</v>
      </c>
    </row>
    <row r="520" spans="2:66" ht="12.9" customHeight="1">
      <c r="B520" s="1400" t="s">
        <v>419</v>
      </c>
      <c r="C520" s="1401"/>
      <c r="D520" s="1401"/>
      <c r="E520" s="1401"/>
      <c r="F520" s="1401"/>
      <c r="G520" s="1401"/>
      <c r="H520" s="1402"/>
      <c r="I520" s="41" t="s">
        <v>420</v>
      </c>
      <c r="J520" s="42"/>
      <c r="K520" s="42"/>
      <c r="L520" s="42"/>
      <c r="M520" s="42"/>
      <c r="N520" s="42"/>
      <c r="O520" s="1429" t="s">
        <v>334</v>
      </c>
      <c r="P520" s="1430"/>
      <c r="Q520" s="1430"/>
      <c r="R520" s="1430"/>
      <c r="S520" s="1430"/>
      <c r="T520" s="1430"/>
      <c r="U520" s="1430"/>
      <c r="V520" s="1430"/>
      <c r="W520" s="1430"/>
      <c r="X520" s="1430"/>
      <c r="Y520" s="1430"/>
      <c r="Z520" s="1430"/>
      <c r="AA520" s="1430"/>
      <c r="AB520" s="58"/>
      <c r="AC520" s="1359" t="s">
        <v>592</v>
      </c>
      <c r="AD520" s="1360"/>
      <c r="AE520" s="1360"/>
      <c r="AF520" s="1360"/>
      <c r="AG520" s="129" t="s">
        <v>403</v>
      </c>
      <c r="AH520" s="1337"/>
      <c r="AI520" s="1337"/>
      <c r="AJ520" s="1337"/>
      <c r="AK520" s="1338"/>
      <c r="AZ520" s="3"/>
      <c r="BB520" s="3"/>
      <c r="BC520" s="3"/>
      <c r="BD520" s="3"/>
      <c r="BE520" s="3"/>
      <c r="BF520" s="3"/>
      <c r="BG520" s="3"/>
      <c r="BH520" s="3"/>
      <c r="BI520" s="3"/>
      <c r="BJ520" s="3"/>
      <c r="BK520" s="3"/>
      <c r="BL520" s="3"/>
      <c r="BM520" s="3"/>
      <c r="BN520" s="3" t="s">
        <v>2112</v>
      </c>
    </row>
    <row r="521" spans="2:66" ht="12.9" customHeight="1">
      <c r="B521" s="1403"/>
      <c r="C521" s="1404"/>
      <c r="D521" s="1404"/>
      <c r="E521" s="1404"/>
      <c r="F521" s="1404"/>
      <c r="G521" s="1404"/>
      <c r="H521" s="1405"/>
      <c r="I521" s="114" t="s">
        <v>421</v>
      </c>
      <c r="AB521" s="65"/>
      <c r="AC521" s="1393" t="s">
        <v>592</v>
      </c>
      <c r="AD521" s="1394"/>
      <c r="AE521" s="1394"/>
      <c r="AF521" s="1394"/>
      <c r="AG521" s="13" t="s">
        <v>403</v>
      </c>
      <c r="AH521" s="1337"/>
      <c r="AI521" s="1337"/>
      <c r="AJ521" s="1337"/>
      <c r="AK521" s="1338"/>
      <c r="AZ521" s="3"/>
      <c r="BB521" s="3"/>
      <c r="BC521" s="3"/>
      <c r="BD521" s="3"/>
      <c r="BE521" s="3"/>
      <c r="BF521" s="3"/>
      <c r="BG521" s="3"/>
      <c r="BH521" s="3"/>
      <c r="BI521" s="3"/>
      <c r="BJ521" s="3"/>
      <c r="BK521" s="3"/>
      <c r="BL521" s="3"/>
      <c r="BM521" s="3"/>
      <c r="BN521" s="3" t="s">
        <v>2113</v>
      </c>
    </row>
    <row r="522" spans="2:66" ht="12.9" customHeight="1">
      <c r="B522" s="1403"/>
      <c r="C522" s="1404"/>
      <c r="D522" s="1404"/>
      <c r="E522" s="1404"/>
      <c r="F522" s="1404"/>
      <c r="G522" s="1404"/>
      <c r="H522" s="1405"/>
      <c r="I522" s="47" t="s">
        <v>422</v>
      </c>
      <c r="J522" s="48"/>
      <c r="K522" s="48"/>
      <c r="L522" s="48"/>
      <c r="M522" s="48"/>
      <c r="N522" s="48"/>
      <c r="O522" s="48"/>
      <c r="P522" s="48"/>
      <c r="Q522" s="48"/>
      <c r="R522" s="48"/>
      <c r="S522" s="48"/>
      <c r="T522" s="48"/>
      <c r="U522" s="48"/>
      <c r="V522" s="48"/>
      <c r="W522" s="48"/>
      <c r="X522" s="48"/>
      <c r="Y522" s="48"/>
      <c r="Z522" s="48"/>
      <c r="AA522" s="48"/>
      <c r="AB522" s="49"/>
      <c r="AC522" s="1393" t="s">
        <v>592</v>
      </c>
      <c r="AD522" s="1394"/>
      <c r="AE522" s="1394"/>
      <c r="AF522" s="1394"/>
      <c r="AG522" s="38" t="s">
        <v>403</v>
      </c>
      <c r="AH522" s="1337"/>
      <c r="AI522" s="1337"/>
      <c r="AJ522" s="1337"/>
      <c r="AK522" s="1338"/>
      <c r="AZ522" s="3"/>
      <c r="BA522" s="3"/>
      <c r="BB522" s="3"/>
      <c r="BC522" s="3"/>
      <c r="BD522" s="3"/>
      <c r="BE522" s="3"/>
      <c r="BF522" s="3"/>
      <c r="BG522" s="3"/>
      <c r="BH522" s="3"/>
      <c r="BI522" s="3"/>
      <c r="BJ522" s="3"/>
      <c r="BK522" s="3"/>
      <c r="BL522" s="3"/>
      <c r="BM522" s="3"/>
      <c r="BN522" s="3" t="s">
        <v>2114</v>
      </c>
    </row>
    <row r="523" spans="2:66" ht="12.9" customHeight="1">
      <c r="B523" s="1403"/>
      <c r="C523" s="1404"/>
      <c r="D523" s="1404"/>
      <c r="E523" s="1404"/>
      <c r="F523" s="1404"/>
      <c r="G523" s="1404"/>
      <c r="H523" s="1405"/>
      <c r="I523" s="42" t="s">
        <v>423</v>
      </c>
      <c r="J523" s="42"/>
      <c r="K523" s="42"/>
      <c r="L523" s="42"/>
      <c r="M523" s="42"/>
      <c r="N523" s="42"/>
      <c r="O523" s="1429" t="s">
        <v>334</v>
      </c>
      <c r="P523" s="1430"/>
      <c r="Q523" s="1430"/>
      <c r="R523" s="1430"/>
      <c r="S523" s="1430"/>
      <c r="T523" s="1430"/>
      <c r="U523" s="1430"/>
      <c r="V523" s="1430"/>
      <c r="W523" s="1430"/>
      <c r="X523" s="1430"/>
      <c r="Y523" s="1430"/>
      <c r="Z523" s="1430"/>
      <c r="AA523" s="1430"/>
      <c r="AC523" s="1393" t="s">
        <v>592</v>
      </c>
      <c r="AD523" s="1394"/>
      <c r="AE523" s="1394"/>
      <c r="AF523" s="1394"/>
      <c r="AG523" s="13" t="s">
        <v>403</v>
      </c>
      <c r="AH523" s="1337"/>
      <c r="AI523" s="1337"/>
      <c r="AJ523" s="1337"/>
      <c r="AK523" s="1338"/>
      <c r="AZ523" s="3"/>
      <c r="BA523" s="3"/>
      <c r="BB523" s="3"/>
      <c r="BC523" s="3"/>
      <c r="BD523" s="3"/>
      <c r="BE523" s="3"/>
      <c r="BF523" s="3"/>
      <c r="BG523" s="3"/>
      <c r="BH523" s="3"/>
      <c r="BI523" s="3"/>
      <c r="BJ523" s="3"/>
      <c r="BK523" s="3"/>
      <c r="BL523" s="3"/>
      <c r="BM523" s="3"/>
      <c r="BN523" s="3" t="s">
        <v>2115</v>
      </c>
    </row>
    <row r="524" spans="2:66" ht="12.9" customHeight="1">
      <c r="B524" s="1403"/>
      <c r="C524" s="1404"/>
      <c r="D524" s="1404"/>
      <c r="E524" s="1404"/>
      <c r="F524" s="1404"/>
      <c r="G524" s="1404"/>
      <c r="H524" s="1405"/>
      <c r="I524" t="s">
        <v>421</v>
      </c>
      <c r="AC524" s="1393" t="s">
        <v>592</v>
      </c>
      <c r="AD524" s="1394"/>
      <c r="AE524" s="1394"/>
      <c r="AF524" s="1394"/>
      <c r="AG524" s="13" t="s">
        <v>403</v>
      </c>
      <c r="AH524" s="1337"/>
      <c r="AI524" s="1337"/>
      <c r="AJ524" s="1337"/>
      <c r="AK524" s="1338"/>
      <c r="AZ524" s="3"/>
      <c r="BA524" s="3"/>
      <c r="BB524" s="3"/>
      <c r="BC524" s="3"/>
      <c r="BD524" s="3"/>
      <c r="BE524" s="3"/>
      <c r="BF524" s="3"/>
      <c r="BG524" s="3"/>
      <c r="BH524" s="3"/>
      <c r="BI524" s="3"/>
      <c r="BJ524" s="3"/>
      <c r="BK524" s="3"/>
      <c r="BL524" s="3"/>
      <c r="BM524" s="3"/>
      <c r="BN524" s="3" t="s">
        <v>2116</v>
      </c>
    </row>
    <row r="525" spans="2:66" ht="12.9" customHeight="1">
      <c r="B525" s="1403"/>
      <c r="C525" s="1404"/>
      <c r="D525" s="1404"/>
      <c r="E525" s="1404"/>
      <c r="F525" s="1404"/>
      <c r="G525" s="1404"/>
      <c r="H525" s="1405"/>
      <c r="I525" s="48" t="s">
        <v>422</v>
      </c>
      <c r="J525" s="48"/>
      <c r="K525" s="48"/>
      <c r="L525" s="48"/>
      <c r="M525" s="48"/>
      <c r="N525" s="48"/>
      <c r="O525" s="48"/>
      <c r="P525" s="48"/>
      <c r="Q525" s="48"/>
      <c r="R525" s="48"/>
      <c r="S525" s="48"/>
      <c r="T525" s="48"/>
      <c r="U525" s="48"/>
      <c r="V525" s="48"/>
      <c r="W525" s="48"/>
      <c r="X525" s="48"/>
      <c r="Y525" s="48"/>
      <c r="Z525" s="48"/>
      <c r="AA525" s="48"/>
      <c r="AB525" s="48"/>
      <c r="AC525" s="1393" t="s">
        <v>592</v>
      </c>
      <c r="AD525" s="1394"/>
      <c r="AE525" s="1394"/>
      <c r="AF525" s="1394"/>
      <c r="AG525" s="38" t="s">
        <v>403</v>
      </c>
      <c r="AH525" s="1337"/>
      <c r="AI525" s="1337"/>
      <c r="AJ525" s="1337"/>
      <c r="AK525" s="1338"/>
      <c r="AZ525" s="3"/>
      <c r="BA525" s="3"/>
      <c r="BB525" s="3"/>
      <c r="BC525" s="3"/>
      <c r="BD525" s="3"/>
      <c r="BE525" s="3"/>
      <c r="BF525" s="3"/>
      <c r="BG525" s="3"/>
      <c r="BH525" s="3"/>
      <c r="BI525" s="3"/>
      <c r="BJ525" s="3"/>
      <c r="BK525" s="3"/>
      <c r="BL525" s="3"/>
      <c r="BM525" s="3"/>
      <c r="BN525" s="3" t="s">
        <v>2117</v>
      </c>
    </row>
    <row r="526" spans="2:66" ht="12.9" customHeight="1">
      <c r="B526" s="1403"/>
      <c r="C526" s="1404"/>
      <c r="D526" s="1404"/>
      <c r="E526" s="1404"/>
      <c r="F526" s="1404"/>
      <c r="G526" s="1404"/>
      <c r="H526" s="1405"/>
      <c r="I526" s="42" t="s">
        <v>423</v>
      </c>
      <c r="J526" s="42"/>
      <c r="K526" s="42"/>
      <c r="L526" s="42"/>
      <c r="M526" s="42"/>
      <c r="N526" s="42"/>
      <c r="O526" s="1429" t="s">
        <v>334</v>
      </c>
      <c r="P526" s="1430"/>
      <c r="Q526" s="1430"/>
      <c r="R526" s="1430"/>
      <c r="S526" s="1430"/>
      <c r="T526" s="1430"/>
      <c r="U526" s="1430"/>
      <c r="V526" s="1430"/>
      <c r="W526" s="1430"/>
      <c r="X526" s="1430"/>
      <c r="Y526" s="1430"/>
      <c r="Z526" s="1430"/>
      <c r="AA526" s="1430"/>
      <c r="AC526" s="1393" t="s">
        <v>592</v>
      </c>
      <c r="AD526" s="1394"/>
      <c r="AE526" s="1394"/>
      <c r="AF526" s="1394"/>
      <c r="AG526" s="13" t="s">
        <v>403</v>
      </c>
      <c r="AH526" s="1337"/>
      <c r="AI526" s="1337"/>
      <c r="AJ526" s="1337"/>
      <c r="AK526" s="1338"/>
      <c r="AZ526" s="3"/>
      <c r="BA526" s="3"/>
      <c r="BB526" s="3"/>
      <c r="BC526" s="3"/>
      <c r="BD526" s="3"/>
      <c r="BE526" s="3"/>
      <c r="BF526" s="3"/>
      <c r="BG526" s="3"/>
      <c r="BH526" s="3"/>
      <c r="BI526" s="3"/>
      <c r="BJ526" s="3"/>
      <c r="BK526" s="3"/>
      <c r="BL526" s="3"/>
      <c r="BM526" s="3"/>
      <c r="BN526" s="3" t="s">
        <v>2118</v>
      </c>
    </row>
    <row r="527" spans="2:66" ht="12.9" customHeight="1">
      <c r="B527" s="1403"/>
      <c r="C527" s="1404"/>
      <c r="D527" s="1404"/>
      <c r="E527" s="1404"/>
      <c r="F527" s="1404"/>
      <c r="G527" s="1404"/>
      <c r="H527" s="1405"/>
      <c r="I527" t="s">
        <v>421</v>
      </c>
      <c r="AC527" s="1393" t="s">
        <v>592</v>
      </c>
      <c r="AD527" s="1394"/>
      <c r="AE527" s="1394"/>
      <c r="AF527" s="1394"/>
      <c r="AG527" s="13" t="s">
        <v>403</v>
      </c>
      <c r="AH527" s="1337"/>
      <c r="AI527" s="1337"/>
      <c r="AJ527" s="1337"/>
      <c r="AK527" s="1338"/>
      <c r="AZ527" s="3"/>
      <c r="BA527" s="3"/>
      <c r="BB527" s="3"/>
      <c r="BC527" s="3"/>
      <c r="BD527" s="3"/>
      <c r="BE527" s="3"/>
      <c r="BF527" s="3"/>
      <c r="BG527" s="3"/>
      <c r="BH527" s="3"/>
      <c r="BI527" s="3"/>
      <c r="BJ527" s="3"/>
      <c r="BK527" s="3"/>
      <c r="BL527" s="3"/>
      <c r="BM527" s="3"/>
      <c r="BN527" s="3" t="s">
        <v>2119</v>
      </c>
    </row>
    <row r="528" spans="2:66" ht="12.9" customHeight="1">
      <c r="B528" s="1403"/>
      <c r="C528" s="1404"/>
      <c r="D528" s="1404"/>
      <c r="E528" s="1404"/>
      <c r="F528" s="1404"/>
      <c r="G528" s="1404"/>
      <c r="H528" s="1405"/>
      <c r="I528" s="48" t="s">
        <v>422</v>
      </c>
      <c r="J528" s="48"/>
      <c r="K528" s="48"/>
      <c r="L528" s="48"/>
      <c r="M528" s="48"/>
      <c r="N528" s="48"/>
      <c r="O528" s="48"/>
      <c r="P528" s="48"/>
      <c r="Q528" s="48"/>
      <c r="R528" s="48"/>
      <c r="S528" s="48"/>
      <c r="T528" s="48"/>
      <c r="U528" s="48"/>
      <c r="V528" s="48"/>
      <c r="W528" s="48"/>
      <c r="X528" s="48"/>
      <c r="Y528" s="48"/>
      <c r="Z528" s="48"/>
      <c r="AA528" s="48"/>
      <c r="AB528" s="48"/>
      <c r="AC528" s="1393" t="s">
        <v>592</v>
      </c>
      <c r="AD528" s="1394"/>
      <c r="AE528" s="1394"/>
      <c r="AF528" s="1394"/>
      <c r="AG528" s="38" t="s">
        <v>403</v>
      </c>
      <c r="AH528" s="1337"/>
      <c r="AI528" s="1337"/>
      <c r="AJ528" s="1337"/>
      <c r="AK528" s="1338"/>
      <c r="AZ528" s="3"/>
      <c r="BA528" s="3"/>
      <c r="BB528" s="3"/>
      <c r="BC528" s="3"/>
      <c r="BD528" s="3"/>
      <c r="BE528" s="3"/>
      <c r="BF528" s="3"/>
      <c r="BG528" s="3"/>
      <c r="BH528" s="3"/>
      <c r="BI528" s="3"/>
      <c r="BJ528" s="3"/>
      <c r="BK528" s="3"/>
      <c r="BL528" s="3"/>
      <c r="BM528" s="3"/>
      <c r="BN528" s="3" t="s">
        <v>2120</v>
      </c>
    </row>
    <row r="529" spans="1:66" ht="12.9" customHeight="1">
      <c r="B529" s="1403"/>
      <c r="C529" s="1404"/>
      <c r="D529" s="1404"/>
      <c r="E529" s="1404"/>
      <c r="F529" s="1404"/>
      <c r="G529" s="1404"/>
      <c r="H529" s="1405"/>
      <c r="I529" s="42" t="s">
        <v>423</v>
      </c>
      <c r="J529" s="42"/>
      <c r="K529" s="42"/>
      <c r="L529" s="42"/>
      <c r="M529" s="42"/>
      <c r="N529" s="42"/>
      <c r="O529" s="1429" t="s">
        <v>334</v>
      </c>
      <c r="P529" s="1430"/>
      <c r="Q529" s="1430"/>
      <c r="R529" s="1430"/>
      <c r="S529" s="1430"/>
      <c r="T529" s="1430"/>
      <c r="U529" s="1430"/>
      <c r="V529" s="1430"/>
      <c r="W529" s="1430"/>
      <c r="X529" s="1430"/>
      <c r="Y529" s="1430"/>
      <c r="Z529" s="1430"/>
      <c r="AA529" s="1430"/>
      <c r="AC529" s="1393" t="s">
        <v>592</v>
      </c>
      <c r="AD529" s="1394"/>
      <c r="AE529" s="1394"/>
      <c r="AF529" s="1394"/>
      <c r="AG529" s="13" t="s">
        <v>403</v>
      </c>
      <c r="AH529" s="1337"/>
      <c r="AI529" s="1337"/>
      <c r="AJ529" s="1337"/>
      <c r="AK529" s="1338"/>
      <c r="AZ529" s="3"/>
      <c r="BA529" s="3"/>
      <c r="BB529" s="3"/>
      <c r="BC529" s="3"/>
      <c r="BD529" s="3"/>
      <c r="BE529" s="3"/>
      <c r="BF529" s="3"/>
      <c r="BG529" s="3"/>
      <c r="BH529" s="3"/>
      <c r="BI529" s="3"/>
      <c r="BJ529" s="3"/>
      <c r="BK529" s="3"/>
      <c r="BL529" s="3"/>
      <c r="BM529" s="3"/>
      <c r="BN529" s="3" t="s">
        <v>2121</v>
      </c>
    </row>
    <row r="530" spans="1:66" ht="12.9" customHeight="1">
      <c r="B530" s="1403"/>
      <c r="C530" s="1404"/>
      <c r="D530" s="1404"/>
      <c r="E530" s="1404"/>
      <c r="F530" s="1404"/>
      <c r="G530" s="1404"/>
      <c r="H530" s="1405"/>
      <c r="I530" t="s">
        <v>421</v>
      </c>
      <c r="AC530" s="1393" t="s">
        <v>592</v>
      </c>
      <c r="AD530" s="1394"/>
      <c r="AE530" s="1394"/>
      <c r="AF530" s="1394"/>
      <c r="AG530" s="13" t="s">
        <v>403</v>
      </c>
      <c r="AH530" s="1337"/>
      <c r="AI530" s="1337"/>
      <c r="AJ530" s="1337"/>
      <c r="AK530" s="1338"/>
      <c r="AZ530" s="3"/>
      <c r="BA530" s="3"/>
      <c r="BB530" s="3"/>
      <c r="BC530" s="3"/>
      <c r="BD530" s="3"/>
      <c r="BE530" s="3"/>
      <c r="BF530" s="3"/>
      <c r="BG530" s="3"/>
      <c r="BH530" s="3"/>
      <c r="BI530" s="3"/>
      <c r="BJ530" s="3"/>
      <c r="BK530" s="3"/>
      <c r="BL530" s="3"/>
      <c r="BM530" s="3"/>
      <c r="BN530" s="3" t="s">
        <v>2122</v>
      </c>
    </row>
    <row r="531" spans="1:66" ht="12.9" customHeight="1">
      <c r="B531" s="1403"/>
      <c r="C531" s="1404"/>
      <c r="D531" s="1404"/>
      <c r="E531" s="1404"/>
      <c r="F531" s="1404"/>
      <c r="G531" s="1404"/>
      <c r="H531" s="1405"/>
      <c r="I531" s="48" t="s">
        <v>422</v>
      </c>
      <c r="J531" s="48"/>
      <c r="K531" s="48"/>
      <c r="L531" s="48"/>
      <c r="M531" s="48"/>
      <c r="N531" s="48"/>
      <c r="O531" s="48"/>
      <c r="P531" s="48"/>
      <c r="Q531" s="48"/>
      <c r="R531" s="48"/>
      <c r="S531" s="48"/>
      <c r="T531" s="48"/>
      <c r="U531" s="48"/>
      <c r="V531" s="48"/>
      <c r="W531" s="48"/>
      <c r="X531" s="48"/>
      <c r="Y531" s="48"/>
      <c r="Z531" s="48"/>
      <c r="AA531" s="48"/>
      <c r="AB531" s="48"/>
      <c r="AC531" s="1393" t="s">
        <v>592</v>
      </c>
      <c r="AD531" s="1394"/>
      <c r="AE531" s="1394"/>
      <c r="AF531" s="1394"/>
      <c r="AG531" s="38" t="s">
        <v>403</v>
      </c>
      <c r="AH531" s="1337"/>
      <c r="AI531" s="1337"/>
      <c r="AJ531" s="1337"/>
      <c r="AK531" s="1338"/>
      <c r="AZ531" s="3"/>
      <c r="BA531" s="3"/>
      <c r="BB531" s="3"/>
      <c r="BC531" s="3"/>
      <c r="BD531" s="3"/>
      <c r="BE531" s="3"/>
      <c r="BF531" s="3"/>
      <c r="BG531" s="3"/>
      <c r="BH531" s="3"/>
      <c r="BI531" s="3"/>
      <c r="BJ531" s="3"/>
      <c r="BK531" s="3"/>
      <c r="BL531" s="3"/>
      <c r="BM531" s="3"/>
      <c r="BN531" s="3" t="s">
        <v>2123</v>
      </c>
    </row>
    <row r="532" spans="1:66" ht="12.9" customHeight="1">
      <c r="B532" s="1403"/>
      <c r="C532" s="1404"/>
      <c r="D532" s="1404"/>
      <c r="E532" s="1404"/>
      <c r="F532" s="1404"/>
      <c r="G532" s="1404"/>
      <c r="H532" s="1405"/>
      <c r="I532" s="42" t="s">
        <v>423</v>
      </c>
      <c r="J532" s="42"/>
      <c r="K532" s="42"/>
      <c r="L532" s="42"/>
      <c r="M532" s="42"/>
      <c r="N532" s="42"/>
      <c r="O532" s="1429" t="s">
        <v>334</v>
      </c>
      <c r="P532" s="1430"/>
      <c r="Q532" s="1430"/>
      <c r="R532" s="1430"/>
      <c r="S532" s="1430"/>
      <c r="T532" s="1430"/>
      <c r="U532" s="1430"/>
      <c r="V532" s="1430"/>
      <c r="W532" s="1430"/>
      <c r="X532" s="1430"/>
      <c r="Y532" s="1430"/>
      <c r="Z532" s="1430"/>
      <c r="AA532" s="1430"/>
      <c r="AC532" s="1393" t="s">
        <v>592</v>
      </c>
      <c r="AD532" s="1394"/>
      <c r="AE532" s="1394"/>
      <c r="AF532" s="1394"/>
      <c r="AG532" s="13" t="s">
        <v>403</v>
      </c>
      <c r="AH532" s="1337"/>
      <c r="AI532" s="1337"/>
      <c r="AJ532" s="1337"/>
      <c r="AK532" s="1338"/>
      <c r="AZ532" s="3"/>
      <c r="BA532" s="3"/>
      <c r="BB532" s="3"/>
      <c r="BC532" s="3"/>
      <c r="BD532" s="3"/>
      <c r="BE532" s="3"/>
      <c r="BF532" s="3"/>
      <c r="BG532" s="3"/>
      <c r="BH532" s="3"/>
      <c r="BI532" s="3"/>
      <c r="BJ532" s="3"/>
      <c r="BK532" s="3"/>
      <c r="BL532" s="3"/>
      <c r="BM532" s="3"/>
      <c r="BN532" s="3" t="s">
        <v>2124</v>
      </c>
    </row>
    <row r="533" spans="1:66" ht="12.9" customHeight="1">
      <c r="B533" s="1403"/>
      <c r="C533" s="1404"/>
      <c r="D533" s="1404"/>
      <c r="E533" s="1404"/>
      <c r="F533" s="1404"/>
      <c r="G533" s="1404"/>
      <c r="H533" s="1405"/>
      <c r="I533" t="s">
        <v>421</v>
      </c>
      <c r="AC533" s="1393" t="s">
        <v>592</v>
      </c>
      <c r="AD533" s="1394"/>
      <c r="AE533" s="1394"/>
      <c r="AF533" s="1394"/>
      <c r="AG533" s="38" t="s">
        <v>403</v>
      </c>
      <c r="AH533" s="1337"/>
      <c r="AI533" s="1337"/>
      <c r="AJ533" s="1337"/>
      <c r="AK533" s="1338"/>
      <c r="AZ533" s="3"/>
      <c r="BA533" s="3"/>
      <c r="BB533" s="3"/>
      <c r="BC533" s="3"/>
      <c r="BD533" s="3"/>
      <c r="BE533" s="3"/>
      <c r="BF533" s="3"/>
      <c r="BG533" s="3"/>
      <c r="BH533" s="3"/>
      <c r="BI533" s="3"/>
      <c r="BJ533" s="3"/>
      <c r="BK533" s="3"/>
      <c r="BL533" s="3"/>
      <c r="BM533" s="3"/>
      <c r="BN533" s="3" t="s">
        <v>2125</v>
      </c>
    </row>
    <row r="534" spans="1:66" ht="12.9" customHeight="1">
      <c r="B534" s="1403"/>
      <c r="C534" s="1404"/>
      <c r="D534" s="1404"/>
      <c r="E534" s="1404"/>
      <c r="F534" s="1404"/>
      <c r="G534" s="1404"/>
      <c r="H534" s="1405"/>
      <c r="I534" s="48" t="s">
        <v>422</v>
      </c>
      <c r="J534" s="48"/>
      <c r="K534" s="48"/>
      <c r="L534" s="48"/>
      <c r="M534" s="48"/>
      <c r="N534" s="48"/>
      <c r="O534" s="48"/>
      <c r="P534" s="48"/>
      <c r="Q534" s="48"/>
      <c r="R534" s="48"/>
      <c r="S534" s="48"/>
      <c r="T534" s="48"/>
      <c r="U534" s="48"/>
      <c r="V534" s="48"/>
      <c r="W534" s="48"/>
      <c r="X534" s="48"/>
      <c r="Y534" s="48"/>
      <c r="Z534" s="48"/>
      <c r="AA534" s="48"/>
      <c r="AB534" s="48"/>
      <c r="AC534" s="1393" t="s">
        <v>592</v>
      </c>
      <c r="AD534" s="1394"/>
      <c r="AE534" s="1394"/>
      <c r="AF534" s="1394"/>
      <c r="AG534" s="13" t="s">
        <v>403</v>
      </c>
      <c r="AH534" s="1337"/>
      <c r="AI534" s="1337"/>
      <c r="AJ534" s="1337"/>
      <c r="AK534" s="1338"/>
      <c r="AZ534" s="3"/>
      <c r="BA534" s="3"/>
      <c r="BB534" s="3"/>
      <c r="BC534" s="3"/>
      <c r="BD534" s="3"/>
      <c r="BE534" s="3"/>
      <c r="BF534" s="3"/>
      <c r="BG534" s="3"/>
      <c r="BH534" s="3"/>
      <c r="BI534" s="3"/>
      <c r="BJ534" s="3"/>
      <c r="BK534" s="3"/>
      <c r="BL534" s="3"/>
      <c r="BM534" s="3"/>
      <c r="BN534" s="3" t="s">
        <v>2126</v>
      </c>
    </row>
    <row r="535" spans="1:66" ht="12.9" customHeight="1">
      <c r="B535" s="1403"/>
      <c r="C535" s="1404"/>
      <c r="D535" s="1404"/>
      <c r="E535" s="1404"/>
      <c r="F535" s="1404"/>
      <c r="G535" s="1404"/>
      <c r="H535" s="1405"/>
      <c r="I535" s="42" t="s">
        <v>423</v>
      </c>
      <c r="J535" s="42"/>
      <c r="K535" s="42"/>
      <c r="L535" s="42"/>
      <c r="M535" s="42"/>
      <c r="N535" s="42"/>
      <c r="O535" s="1429" t="s">
        <v>334</v>
      </c>
      <c r="P535" s="1430"/>
      <c r="Q535" s="1430"/>
      <c r="R535" s="1430"/>
      <c r="S535" s="1430"/>
      <c r="T535" s="1430"/>
      <c r="U535" s="1430"/>
      <c r="V535" s="1430"/>
      <c r="W535" s="1430"/>
      <c r="X535" s="1430"/>
      <c r="Y535" s="1430"/>
      <c r="Z535" s="1430"/>
      <c r="AA535" s="1430"/>
      <c r="AC535" s="1393" t="s">
        <v>592</v>
      </c>
      <c r="AD535" s="1394"/>
      <c r="AE535" s="1394"/>
      <c r="AF535" s="1394"/>
      <c r="AG535" s="38" t="s">
        <v>403</v>
      </c>
      <c r="AH535" s="1337"/>
      <c r="AI535" s="1337"/>
      <c r="AJ535" s="1337"/>
      <c r="AK535" s="1338"/>
      <c r="AZ535" s="3"/>
      <c r="BA535" s="3"/>
      <c r="BB535" s="3"/>
      <c r="BC535" s="3"/>
      <c r="BD535" s="3"/>
      <c r="BE535" s="3"/>
      <c r="BF535" s="3"/>
      <c r="BG535" s="3"/>
      <c r="BH535" s="3"/>
      <c r="BI535" s="3"/>
      <c r="BJ535" s="3"/>
      <c r="BK535" s="3"/>
      <c r="BL535" s="3"/>
      <c r="BM535" s="3"/>
      <c r="BN535" s="3" t="s">
        <v>2127</v>
      </c>
    </row>
    <row r="536" spans="1:66" ht="12.9" customHeight="1">
      <c r="B536" s="1403"/>
      <c r="C536" s="1404"/>
      <c r="D536" s="1404"/>
      <c r="E536" s="1404"/>
      <c r="F536" s="1404"/>
      <c r="G536" s="1404"/>
      <c r="H536" s="1405"/>
      <c r="I536" t="s">
        <v>421</v>
      </c>
      <c r="AC536" s="1393" t="s">
        <v>592</v>
      </c>
      <c r="AD536" s="1394"/>
      <c r="AE536" s="1394"/>
      <c r="AF536" s="1394"/>
      <c r="AG536" s="13" t="s">
        <v>403</v>
      </c>
      <c r="AH536" s="1337"/>
      <c r="AI536" s="1337"/>
      <c r="AJ536" s="1337"/>
      <c r="AK536" s="1338"/>
      <c r="AZ536" s="3"/>
      <c r="BA536" s="3"/>
      <c r="BB536" s="3"/>
      <c r="BC536" s="3"/>
      <c r="BD536" s="3"/>
      <c r="BE536" s="3"/>
      <c r="BF536" s="3"/>
      <c r="BG536" s="3"/>
      <c r="BH536" s="3"/>
      <c r="BI536" s="3"/>
      <c r="BJ536" s="3"/>
      <c r="BK536" s="3"/>
      <c r="BL536" s="3"/>
      <c r="BM536" s="3"/>
      <c r="BN536" s="3" t="s">
        <v>2128</v>
      </c>
    </row>
    <row r="537" spans="1:66" ht="12.9" customHeight="1">
      <c r="B537" s="1403"/>
      <c r="C537" s="1404"/>
      <c r="D537" s="1404"/>
      <c r="E537" s="1404"/>
      <c r="F537" s="1404"/>
      <c r="G537" s="1404"/>
      <c r="H537" s="1405"/>
      <c r="I537" s="48" t="s">
        <v>422</v>
      </c>
      <c r="J537" s="48"/>
      <c r="K537" s="48"/>
      <c r="L537" s="48"/>
      <c r="M537" s="48"/>
      <c r="N537" s="48"/>
      <c r="O537" s="48"/>
      <c r="P537" s="48"/>
      <c r="Q537" s="48"/>
      <c r="R537" s="48"/>
      <c r="S537" s="48"/>
      <c r="T537" s="48"/>
      <c r="U537" s="48"/>
      <c r="V537" s="48"/>
      <c r="W537" s="48"/>
      <c r="X537" s="48"/>
      <c r="Y537" s="48"/>
      <c r="Z537" s="48"/>
      <c r="AA537" s="48"/>
      <c r="AB537" s="48"/>
      <c r="AC537" s="1393" t="s">
        <v>592</v>
      </c>
      <c r="AD537" s="1394"/>
      <c r="AE537" s="1394"/>
      <c r="AF537" s="1394"/>
      <c r="AG537" s="38" t="s">
        <v>403</v>
      </c>
      <c r="AH537" s="1337"/>
      <c r="AI537" s="1337"/>
      <c r="AJ537" s="1337"/>
      <c r="AK537" s="1338"/>
      <c r="AZ537" s="3"/>
      <c r="BA537" s="3"/>
      <c r="BB537" s="3"/>
      <c r="BC537" s="3"/>
      <c r="BD537" s="3"/>
      <c r="BE537" s="3"/>
      <c r="BF537" s="3"/>
      <c r="BG537" s="3"/>
      <c r="BH537" s="3"/>
      <c r="BI537" s="3"/>
      <c r="BJ537" s="3"/>
      <c r="BK537" s="3"/>
      <c r="BL537" s="3"/>
      <c r="BM537" s="3"/>
      <c r="BN537" s="3" t="s">
        <v>2129</v>
      </c>
    </row>
    <row r="538" spans="1:66" ht="12.9" customHeight="1">
      <c r="B538" s="1403"/>
      <c r="C538" s="1404"/>
      <c r="D538" s="1404"/>
      <c r="E538" s="1404"/>
      <c r="F538" s="1404"/>
      <c r="G538" s="1404"/>
      <c r="H538" s="1405"/>
      <c r="I538" s="42" t="s">
        <v>563</v>
      </c>
      <c r="J538" s="42"/>
      <c r="K538" s="42"/>
      <c r="L538" s="42"/>
      <c r="M538" s="42"/>
      <c r="N538" s="42"/>
      <c r="O538" s="42"/>
      <c r="P538" s="42"/>
      <c r="Q538" s="42"/>
      <c r="R538" s="42"/>
      <c r="S538" s="42"/>
      <c r="T538" s="42"/>
      <c r="U538" s="42"/>
      <c r="V538" s="42"/>
      <c r="W538" s="42"/>
      <c r="AC538" s="1335">
        <v>5</v>
      </c>
      <c r="AD538" s="1336"/>
      <c r="AE538" s="1336"/>
      <c r="AF538" s="1336"/>
      <c r="AG538" s="38" t="s">
        <v>403</v>
      </c>
      <c r="AH538" s="1337">
        <v>2027</v>
      </c>
      <c r="AI538" s="1337"/>
      <c r="AJ538" s="1337"/>
      <c r="AK538" s="1338"/>
      <c r="AZ538" s="3"/>
      <c r="BA538" s="3"/>
      <c r="BB538" s="3"/>
      <c r="BC538" s="3"/>
      <c r="BD538" s="3"/>
      <c r="BE538" s="3"/>
      <c r="BF538" s="3"/>
      <c r="BG538" s="3"/>
      <c r="BH538" s="3"/>
      <c r="BI538" s="3"/>
      <c r="BJ538" s="3"/>
      <c r="BK538" s="3"/>
      <c r="BL538" s="3"/>
      <c r="BM538" s="3"/>
      <c r="BN538" s="3"/>
    </row>
    <row r="539" spans="1:66" ht="12.9" customHeight="1">
      <c r="B539" s="1403"/>
      <c r="C539" s="1404"/>
      <c r="D539" s="1404"/>
      <c r="E539" s="1404"/>
      <c r="F539" s="1404"/>
      <c r="G539" s="1404"/>
      <c r="H539" s="1405"/>
      <c r="I539" t="s">
        <v>564</v>
      </c>
      <c r="AC539" s="1335">
        <v>5</v>
      </c>
      <c r="AD539" s="1336"/>
      <c r="AE539" s="1336"/>
      <c r="AF539" s="1336"/>
      <c r="AG539" s="13" t="s">
        <v>403</v>
      </c>
      <c r="AH539" s="1337">
        <v>2026</v>
      </c>
      <c r="AI539" s="1337"/>
      <c r="AJ539" s="1337"/>
      <c r="AK539" s="1338"/>
      <c r="AZ539" s="3"/>
      <c r="BA539" s="3"/>
      <c r="BB539" s="3"/>
      <c r="BC539" s="3"/>
      <c r="BD539" s="3"/>
      <c r="BE539" s="3"/>
      <c r="BF539" s="3"/>
      <c r="BG539" s="3"/>
      <c r="BH539" s="3"/>
      <c r="BI539" s="3"/>
      <c r="BJ539" s="3"/>
      <c r="BK539" s="3"/>
      <c r="BL539" s="3"/>
      <c r="BM539" s="3"/>
      <c r="BN539" s="3"/>
    </row>
    <row r="540" spans="1:66" ht="12.9" customHeight="1">
      <c r="B540" s="1403"/>
      <c r="C540" s="1404"/>
      <c r="D540" s="1404"/>
      <c r="E540" s="1404"/>
      <c r="F540" s="1404"/>
      <c r="G540" s="1404"/>
      <c r="H540" s="1405"/>
      <c r="I540" t="s">
        <v>565</v>
      </c>
      <c r="AC540" s="1335">
        <v>11</v>
      </c>
      <c r="AD540" s="1336"/>
      <c r="AE540" s="1336"/>
      <c r="AF540" s="1336"/>
      <c r="AG540" s="38" t="s">
        <v>403</v>
      </c>
      <c r="AH540" s="1337">
        <v>2027</v>
      </c>
      <c r="AI540" s="1337"/>
      <c r="AJ540" s="1337"/>
      <c r="AK540" s="1338"/>
      <c r="AZ540" s="3"/>
      <c r="BA540" s="3"/>
      <c r="BB540" s="3"/>
      <c r="BC540" s="3"/>
      <c r="BD540" s="3"/>
      <c r="BE540" s="3"/>
      <c r="BF540" s="3"/>
      <c r="BG540" s="3"/>
      <c r="BH540" s="3"/>
      <c r="BI540" s="3"/>
      <c r="BJ540" s="3"/>
      <c r="BK540" s="3"/>
      <c r="BL540" s="3"/>
      <c r="BM540" s="3"/>
      <c r="BN540" s="3"/>
    </row>
    <row r="541" spans="1:66" ht="12.9" customHeight="1">
      <c r="B541" s="1403"/>
      <c r="C541" s="1404"/>
      <c r="D541" s="1404"/>
      <c r="E541" s="1404"/>
      <c r="F541" s="1404"/>
      <c r="G541" s="1404"/>
      <c r="H541" s="1405"/>
      <c r="I541" t="s">
        <v>566</v>
      </c>
      <c r="AC541" s="1335">
        <v>12</v>
      </c>
      <c r="AD541" s="1336"/>
      <c r="AE541" s="1336"/>
      <c r="AF541" s="1336"/>
      <c r="AG541" s="38" t="s">
        <v>403</v>
      </c>
      <c r="AH541" s="1337">
        <v>2027</v>
      </c>
      <c r="AI541" s="1337"/>
      <c r="AJ541" s="1337"/>
      <c r="AK541" s="1338"/>
      <c r="AZ541" s="3"/>
      <c r="BA541" s="3"/>
      <c r="BB541" s="3"/>
      <c r="BC541" s="3"/>
      <c r="BD541" s="3"/>
      <c r="BE541" s="3"/>
      <c r="BF541" s="3"/>
      <c r="BG541" s="3"/>
      <c r="BH541" s="3"/>
      <c r="BI541" s="3"/>
      <c r="BJ541" s="3"/>
      <c r="BK541" s="3"/>
      <c r="BL541" s="3"/>
      <c r="BM541" s="3"/>
      <c r="BN541" s="3"/>
    </row>
    <row r="542" spans="1:66" ht="12.9" customHeight="1">
      <c r="B542" s="1406"/>
      <c r="C542" s="1407"/>
      <c r="D542" s="1407"/>
      <c r="E542" s="1407"/>
      <c r="F542" s="1407"/>
      <c r="G542" s="1407"/>
      <c r="H542" s="1408"/>
      <c r="I542" s="48" t="s">
        <v>452</v>
      </c>
      <c r="J542" s="48"/>
      <c r="K542" s="48"/>
      <c r="L542" s="48"/>
      <c r="M542" s="48"/>
      <c r="N542" s="48"/>
      <c r="O542" s="48"/>
      <c r="P542" s="48"/>
      <c r="Q542" s="48"/>
      <c r="R542" s="48"/>
      <c r="S542" s="48"/>
      <c r="T542" s="48"/>
      <c r="U542" s="48"/>
      <c r="V542" s="48"/>
      <c r="W542" s="48"/>
      <c r="X542" s="48"/>
      <c r="Y542" s="48"/>
      <c r="Z542" s="48"/>
      <c r="AA542" s="48"/>
      <c r="AB542" s="48"/>
      <c r="AC542" s="1335">
        <v>12</v>
      </c>
      <c r="AD542" s="1336"/>
      <c r="AE542" s="1336"/>
      <c r="AF542" s="1336"/>
      <c r="AG542" s="38" t="s">
        <v>403</v>
      </c>
      <c r="AH542" s="1337">
        <v>2027</v>
      </c>
      <c r="AI542" s="1337"/>
      <c r="AJ542" s="1337"/>
      <c r="AK542" s="1338"/>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No</v>
      </c>
    </row>
    <row r="551" spans="1:61" ht="12.9" customHeight="1">
      <c r="B551" s="1400" t="s">
        <v>2103</v>
      </c>
      <c r="C551" s="1401"/>
      <c r="D551" s="1401"/>
      <c r="E551" s="1401"/>
      <c r="F551" s="1401"/>
      <c r="G551" s="1401"/>
      <c r="H551" s="1401"/>
      <c r="I551" s="1401"/>
      <c r="J551" s="1401"/>
      <c r="K551" s="1401"/>
      <c r="L551" s="1402"/>
      <c r="M551" s="1400" t="s">
        <v>2104</v>
      </c>
      <c r="N551" s="1401"/>
      <c r="O551" s="1401"/>
      <c r="P551" s="1402"/>
      <c r="Q551" s="1400" t="s">
        <v>2130</v>
      </c>
      <c r="R551" s="1401"/>
      <c r="S551" s="1402"/>
      <c r="T551" s="1400" t="s">
        <v>2131</v>
      </c>
      <c r="U551" s="1401"/>
      <c r="V551" s="1402"/>
      <c r="W551" s="1400" t="s">
        <v>454</v>
      </c>
      <c r="X551" s="1401"/>
      <c r="Y551" s="1402"/>
      <c r="Z551" s="1400" t="s">
        <v>1852</v>
      </c>
      <c r="AA551" s="1401"/>
      <c r="AB551" s="1401"/>
      <c r="AC551" s="1401"/>
      <c r="AD551" s="1402"/>
      <c r="AE551" s="1400" t="s">
        <v>1677</v>
      </c>
      <c r="AF551" s="1401"/>
      <c r="AG551" s="1401"/>
      <c r="AH551" s="1402"/>
      <c r="AI551" s="1400" t="s">
        <v>1678</v>
      </c>
      <c r="AJ551" s="1401"/>
      <c r="AK551" s="1401"/>
      <c r="AL551" s="1402"/>
      <c r="AM551" s="1400" t="s">
        <v>455</v>
      </c>
      <c r="AN551" s="1401"/>
      <c r="AO551" s="1401"/>
      <c r="AP551" s="1401"/>
      <c r="AQ551" s="1401"/>
      <c r="AR551" s="1401"/>
      <c r="AS551" s="1402"/>
      <c r="BB551" s="3"/>
      <c r="BC551" s="3"/>
      <c r="BD551" s="3"/>
      <c r="BE551" s="3"/>
      <c r="BF551" s="3"/>
      <c r="BG551" s="3"/>
      <c r="BH551" s="3" t="s">
        <v>582</v>
      </c>
      <c r="BI551" s="3" t="str">
        <f>AG657</f>
        <v>No</v>
      </c>
    </row>
    <row r="552" spans="1:61" ht="12.9" customHeight="1">
      <c r="B552" s="1403"/>
      <c r="C552" s="1404"/>
      <c r="D552" s="1404"/>
      <c r="E552" s="1404"/>
      <c r="F552" s="1404"/>
      <c r="G552" s="1404"/>
      <c r="H552" s="1404"/>
      <c r="I552" s="1404"/>
      <c r="J552" s="1404"/>
      <c r="K552" s="1404"/>
      <c r="L552" s="1405"/>
      <c r="M552" s="1403"/>
      <c r="N552" s="1404"/>
      <c r="O552" s="1404"/>
      <c r="P552" s="1405"/>
      <c r="Q552" s="1403"/>
      <c r="R552" s="1404"/>
      <c r="S552" s="1405"/>
      <c r="T552" s="1403"/>
      <c r="U552" s="1404"/>
      <c r="V552" s="1405"/>
      <c r="W552" s="1403"/>
      <c r="X552" s="1404"/>
      <c r="Y552" s="1405"/>
      <c r="Z552" s="1403"/>
      <c r="AA552" s="1404"/>
      <c r="AB552" s="1404"/>
      <c r="AC552" s="1404"/>
      <c r="AD552" s="1405"/>
      <c r="AE552" s="1403"/>
      <c r="AF552" s="1404"/>
      <c r="AG552" s="1404"/>
      <c r="AH552" s="1405"/>
      <c r="AI552" s="1403"/>
      <c r="AJ552" s="1404"/>
      <c r="AK552" s="1404"/>
      <c r="AL552" s="1405"/>
      <c r="AM552" s="1403"/>
      <c r="AN552" s="1404"/>
      <c r="AO552" s="1404"/>
      <c r="AP552" s="1404"/>
      <c r="AQ552" s="1404"/>
      <c r="AR552" s="1404"/>
      <c r="AS552" s="1405"/>
      <c r="AU552" s="1147"/>
      <c r="BB552" s="3"/>
      <c r="BC552" s="3"/>
      <c r="BD552" s="3"/>
      <c r="BE552" s="3"/>
      <c r="BF552" s="3"/>
      <c r="BG552" s="3"/>
      <c r="BH552" s="3"/>
      <c r="BI552" s="3"/>
    </row>
    <row r="553" spans="1:61" ht="12.9" customHeight="1">
      <c r="B553" s="1406"/>
      <c r="C553" s="1407"/>
      <c r="D553" s="1407"/>
      <c r="E553" s="1407"/>
      <c r="F553" s="1407"/>
      <c r="G553" s="1407"/>
      <c r="H553" s="1407"/>
      <c r="I553" s="1407"/>
      <c r="J553" s="1407"/>
      <c r="K553" s="1407"/>
      <c r="L553" s="1408"/>
      <c r="M553" s="1406"/>
      <c r="N553" s="1407"/>
      <c r="O553" s="1407"/>
      <c r="P553" s="1408"/>
      <c r="Q553" s="1406"/>
      <c r="R553" s="1407"/>
      <c r="S553" s="1408"/>
      <c r="T553" s="1406"/>
      <c r="U553" s="1407"/>
      <c r="V553" s="1408"/>
      <c r="W553" s="1406"/>
      <c r="X553" s="1407"/>
      <c r="Y553" s="1408"/>
      <c r="Z553" s="1406"/>
      <c r="AA553" s="1407"/>
      <c r="AB553" s="1407"/>
      <c r="AC553" s="1407"/>
      <c r="AD553" s="1408"/>
      <c r="AE553" s="1406"/>
      <c r="AF553" s="1407"/>
      <c r="AG553" s="1407"/>
      <c r="AH553" s="1408"/>
      <c r="AI553" s="1406"/>
      <c r="AJ553" s="1407"/>
      <c r="AK553" s="1407"/>
      <c r="AL553" s="1408"/>
      <c r="AM553" s="1406"/>
      <c r="AN553" s="1407"/>
      <c r="AO553" s="1407"/>
      <c r="AP553" s="1407"/>
      <c r="AQ553" s="1407"/>
      <c r="AR553" s="1407"/>
      <c r="AS553" s="1408"/>
      <c r="AU553" s="1147"/>
      <c r="BB553" s="3"/>
      <c r="BC553" s="3"/>
      <c r="BD553" s="3"/>
      <c r="BE553" s="3"/>
      <c r="BF553" s="3"/>
      <c r="BG553" s="3"/>
      <c r="BH553" s="3"/>
      <c r="BI553" s="3"/>
    </row>
    <row r="554" spans="1:61" ht="12.9" customHeight="1">
      <c r="B554" s="51" t="s">
        <v>112</v>
      </c>
      <c r="C554" s="1436" t="s">
        <v>2695</v>
      </c>
      <c r="D554" s="1436"/>
      <c r="E554" s="1436"/>
      <c r="F554" s="1436"/>
      <c r="G554" s="1436"/>
      <c r="H554" s="1436"/>
      <c r="I554" s="1436"/>
      <c r="J554" s="1436"/>
      <c r="K554" s="1436"/>
      <c r="L554" s="1436"/>
      <c r="M554" s="1436" t="s">
        <v>2120</v>
      </c>
      <c r="N554" s="1436"/>
      <c r="O554" s="1436"/>
      <c r="P554" s="1436"/>
      <c r="Q554" s="1423">
        <v>24</v>
      </c>
      <c r="R554" s="1423"/>
      <c r="S554" s="1424"/>
      <c r="T554" s="1422">
        <v>24</v>
      </c>
      <c r="U554" s="1423"/>
      <c r="V554" s="1424"/>
      <c r="W554" s="1416">
        <v>7.0000000000000007E-2</v>
      </c>
      <c r="X554" s="1417"/>
      <c r="Y554" s="1418"/>
      <c r="Z554" s="1426" t="s">
        <v>1185</v>
      </c>
      <c r="AA554" s="1426"/>
      <c r="AB554" s="1426"/>
      <c r="AC554" s="1426"/>
      <c r="AD554" s="1426"/>
      <c r="AE554" s="1419"/>
      <c r="AF554" s="1420"/>
      <c r="AG554" s="1420"/>
      <c r="AH554" s="1421"/>
      <c r="AI554" s="1433"/>
      <c r="AJ554" s="1434"/>
      <c r="AK554" s="1434"/>
      <c r="AL554" s="1435"/>
      <c r="AM554" s="1467">
        <v>11498640</v>
      </c>
      <c r="AN554" s="1468"/>
      <c r="AO554" s="1468"/>
      <c r="AP554" s="1468"/>
      <c r="AQ554" s="1468"/>
      <c r="AR554" s="1468"/>
      <c r="AS554" s="1469"/>
      <c r="AT554" s="1148"/>
      <c r="AU554" s="1147"/>
      <c r="BB554" s="3"/>
      <c r="BC554" s="3"/>
      <c r="BD554" s="3"/>
      <c r="BE554" s="3"/>
      <c r="BF554" s="3"/>
      <c r="BG554" s="3"/>
      <c r="BH554" s="3"/>
      <c r="BI554" s="3"/>
    </row>
    <row r="555" spans="1:61" ht="12.9" customHeight="1">
      <c r="B555" s="52" t="s">
        <v>113</v>
      </c>
      <c r="C555" s="1437" t="s">
        <v>2696</v>
      </c>
      <c r="D555" s="1437"/>
      <c r="E555" s="1437"/>
      <c r="F555" s="1437"/>
      <c r="G555" s="1437"/>
      <c r="H555" s="1437"/>
      <c r="I555" s="1437"/>
      <c r="J555" s="1437"/>
      <c r="K555" s="1437"/>
      <c r="L555" s="1437"/>
      <c r="M555" s="1436" t="s">
        <v>2119</v>
      </c>
      <c r="N555" s="1436"/>
      <c r="O555" s="1436"/>
      <c r="P555" s="1436"/>
      <c r="Q555" s="1422">
        <v>24</v>
      </c>
      <c r="R555" s="1423"/>
      <c r="S555" s="1424"/>
      <c r="T555" s="1422">
        <v>24</v>
      </c>
      <c r="U555" s="1423"/>
      <c r="V555" s="1424"/>
      <c r="W555" s="1416">
        <v>7.0000000000000007E-2</v>
      </c>
      <c r="X555" s="1417"/>
      <c r="Y555" s="1418"/>
      <c r="Z555" s="1426" t="s">
        <v>1185</v>
      </c>
      <c r="AA555" s="1426"/>
      <c r="AB555" s="1426"/>
      <c r="AC555" s="1426"/>
      <c r="AD555" s="1426"/>
      <c r="AE555" s="1419"/>
      <c r="AF555" s="1420"/>
      <c r="AG555" s="1420"/>
      <c r="AH555" s="1421"/>
      <c r="AI555" s="1433"/>
      <c r="AJ555" s="1434"/>
      <c r="AK555" s="1434"/>
      <c r="AL555" s="1435"/>
      <c r="AM555" s="1467">
        <v>19169718</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 customHeight="1">
      <c r="B556" s="52" t="s">
        <v>119</v>
      </c>
      <c r="C556" s="1437" t="s">
        <v>2697</v>
      </c>
      <c r="D556" s="1437"/>
      <c r="E556" s="1437"/>
      <c r="F556" s="1437"/>
      <c r="G556" s="1437"/>
      <c r="H556" s="1437"/>
      <c r="I556" s="1437"/>
      <c r="J556" s="1437"/>
      <c r="K556" s="1437"/>
      <c r="L556" s="1437"/>
      <c r="M556" s="1436" t="s">
        <v>2121</v>
      </c>
      <c r="N556" s="1436"/>
      <c r="O556" s="1436"/>
      <c r="P556" s="1436"/>
      <c r="Q556" s="1422">
        <v>24</v>
      </c>
      <c r="R556" s="1423"/>
      <c r="S556" s="1424"/>
      <c r="T556" s="1422">
        <v>24</v>
      </c>
      <c r="U556" s="1423"/>
      <c r="V556" s="1424"/>
      <c r="W556" s="1416">
        <v>7.0000000000000007E-2</v>
      </c>
      <c r="X556" s="1417"/>
      <c r="Y556" s="1418"/>
      <c r="Z556" s="1426" t="s">
        <v>1185</v>
      </c>
      <c r="AA556" s="1426"/>
      <c r="AB556" s="1426"/>
      <c r="AC556" s="1426"/>
      <c r="AD556" s="1426"/>
      <c r="AE556" s="1419"/>
      <c r="AF556" s="1420"/>
      <c r="AG556" s="1420"/>
      <c r="AH556" s="1421"/>
      <c r="AI556" s="1433"/>
      <c r="AJ556" s="1434"/>
      <c r="AK556" s="1434"/>
      <c r="AL556" s="1435"/>
      <c r="AM556" s="1467">
        <v>4000000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 customHeight="1">
      <c r="B557" s="52" t="s">
        <v>582</v>
      </c>
      <c r="C557" s="1437" t="s">
        <v>2699</v>
      </c>
      <c r="D557" s="1437"/>
      <c r="E557" s="1437"/>
      <c r="F557" s="1437"/>
      <c r="G557" s="1437"/>
      <c r="H557" s="1437"/>
      <c r="I557" s="1437"/>
      <c r="J557" s="1437"/>
      <c r="K557" s="1437"/>
      <c r="L557" s="1437"/>
      <c r="M557" s="1436" t="s">
        <v>1185</v>
      </c>
      <c r="N557" s="1436"/>
      <c r="O557" s="1436"/>
      <c r="P557" s="1436"/>
      <c r="Q557" s="1422"/>
      <c r="R557" s="1423"/>
      <c r="S557" s="1424"/>
      <c r="T557" s="1422"/>
      <c r="U557" s="1423"/>
      <c r="V557" s="1424"/>
      <c r="W557" s="1416"/>
      <c r="X557" s="1417"/>
      <c r="Y557" s="1418"/>
      <c r="Z557" s="1426" t="s">
        <v>1185</v>
      </c>
      <c r="AA557" s="1426"/>
      <c r="AB557" s="1426"/>
      <c r="AC557" s="1426"/>
      <c r="AD557" s="1426"/>
      <c r="AE557" s="1419"/>
      <c r="AF557" s="1420"/>
      <c r="AG557" s="1420"/>
      <c r="AH557" s="1421"/>
      <c r="AI557" s="1433"/>
      <c r="AJ557" s="1434"/>
      <c r="AK557" s="1434"/>
      <c r="AL557" s="1435"/>
      <c r="AM557" s="1467">
        <f>+AO641-AM556-AM555-AM554</f>
        <v>5741813</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 customHeight="1">
      <c r="B558" s="52" t="s">
        <v>764</v>
      </c>
      <c r="C558" s="1437"/>
      <c r="D558" s="1437"/>
      <c r="E558" s="1437"/>
      <c r="F558" s="1437"/>
      <c r="G558" s="1437"/>
      <c r="H558" s="1437"/>
      <c r="I558" s="1437"/>
      <c r="J558" s="1437"/>
      <c r="K558" s="1437"/>
      <c r="L558" s="1437"/>
      <c r="M558" s="1436" t="s">
        <v>1185</v>
      </c>
      <c r="N558" s="1436"/>
      <c r="O558" s="1436"/>
      <c r="P558" s="1436"/>
      <c r="Q558" s="1422"/>
      <c r="R558" s="1423"/>
      <c r="S558" s="1424"/>
      <c r="T558" s="1422"/>
      <c r="U558" s="1423"/>
      <c r="V558" s="1424"/>
      <c r="W558" s="1416"/>
      <c r="X558" s="1417"/>
      <c r="Y558" s="1418"/>
      <c r="Z558" s="1426" t="s">
        <v>1185</v>
      </c>
      <c r="AA558" s="1426"/>
      <c r="AB558" s="1426"/>
      <c r="AC558" s="1426"/>
      <c r="AD558" s="1426"/>
      <c r="AE558" s="1419"/>
      <c r="AF558" s="1420"/>
      <c r="AG558" s="1420"/>
      <c r="AH558" s="1421"/>
      <c r="AI558" s="1433"/>
      <c r="AJ558" s="1434"/>
      <c r="AK558" s="1434"/>
      <c r="AL558" s="1435"/>
      <c r="AM558" s="1467"/>
      <c r="AN558" s="1468"/>
      <c r="AO558" s="1468"/>
      <c r="AP558" s="1468"/>
      <c r="AQ558" s="1468"/>
      <c r="AR558" s="1468"/>
      <c r="AS558" s="1469"/>
      <c r="AT558" s="1148" t="str">
        <f t="shared" ref="AT558:AT565" si="0">IF(AND(NOT(C557=""),C558="",NOT(C559="")),"!","")</f>
        <v/>
      </c>
      <c r="AU558" s="1147"/>
      <c r="BB558" s="3"/>
      <c r="BC558" s="3"/>
      <c r="BD558" s="3"/>
      <c r="BE558" s="3"/>
      <c r="BF558" s="3"/>
      <c r="BG558" s="3"/>
      <c r="BH558" s="3" t="s">
        <v>764</v>
      </c>
      <c r="BI558" s="3" t="str">
        <f>N665</f>
        <v>No</v>
      </c>
    </row>
    <row r="559" spans="1:61" ht="12.9" customHeight="1">
      <c r="B559" s="52" t="s">
        <v>585</v>
      </c>
      <c r="C559" s="1437"/>
      <c r="D559" s="1437"/>
      <c r="E559" s="1437"/>
      <c r="F559" s="1437"/>
      <c r="G559" s="1437"/>
      <c r="H559" s="1437"/>
      <c r="I559" s="1437"/>
      <c r="J559" s="1437"/>
      <c r="K559" s="1437"/>
      <c r="L559" s="1437"/>
      <c r="M559" s="1436" t="s">
        <v>1185</v>
      </c>
      <c r="N559" s="1436"/>
      <c r="O559" s="1436"/>
      <c r="P559" s="1436"/>
      <c r="Q559" s="1422"/>
      <c r="R559" s="1423"/>
      <c r="S559" s="1424"/>
      <c r="T559" s="1422"/>
      <c r="U559" s="1423"/>
      <c r="V559" s="1424"/>
      <c r="W559" s="1416"/>
      <c r="X559" s="1417"/>
      <c r="Y559" s="1418"/>
      <c r="Z559" s="1426" t="s">
        <v>1185</v>
      </c>
      <c r="AA559" s="1426"/>
      <c r="AB559" s="1426"/>
      <c r="AC559" s="1426"/>
      <c r="AD559" s="1426"/>
      <c r="AE559" s="1419"/>
      <c r="AF559" s="1420"/>
      <c r="AG559" s="1420"/>
      <c r="AH559" s="1421"/>
      <c r="AI559" s="1433"/>
      <c r="AJ559" s="1434"/>
      <c r="AK559" s="1434"/>
      <c r="AL559" s="1435"/>
      <c r="AM559" s="1467"/>
      <c r="AN559" s="1468"/>
      <c r="AO559" s="1468"/>
      <c r="AP559" s="1468"/>
      <c r="AQ559" s="1468"/>
      <c r="AR559" s="1468"/>
      <c r="AS559" s="1469"/>
      <c r="AT559" s="1148" t="str">
        <f t="shared" si="0"/>
        <v/>
      </c>
      <c r="AU559" s="1147"/>
      <c r="BB559" s="3"/>
      <c r="BC559" s="3"/>
      <c r="BD559" s="3"/>
      <c r="BE559" s="3"/>
      <c r="BF559" s="3"/>
      <c r="BG559" s="3"/>
      <c r="BH559" s="3" t="s">
        <v>585</v>
      </c>
      <c r="BI559" s="3" t="str">
        <f>AG665</f>
        <v>No</v>
      </c>
    </row>
    <row r="560" spans="1:61" ht="12.9" customHeight="1">
      <c r="B560" s="52" t="s">
        <v>456</v>
      </c>
      <c r="C560" s="1437"/>
      <c r="D560" s="1437"/>
      <c r="E560" s="1437"/>
      <c r="F560" s="1437"/>
      <c r="G560" s="1437"/>
      <c r="H560" s="1437"/>
      <c r="I560" s="1437"/>
      <c r="J560" s="1437"/>
      <c r="K560" s="1437"/>
      <c r="L560" s="1437"/>
      <c r="M560" s="1436" t="s">
        <v>1185</v>
      </c>
      <c r="N560" s="1436"/>
      <c r="O560" s="1436"/>
      <c r="P560" s="1436"/>
      <c r="Q560" s="1422"/>
      <c r="R560" s="1423"/>
      <c r="S560" s="1424"/>
      <c r="T560" s="1422"/>
      <c r="U560" s="1423"/>
      <c r="V560" s="1424"/>
      <c r="W560" s="1416"/>
      <c r="X560" s="1417"/>
      <c r="Y560" s="1418"/>
      <c r="Z560" s="1426" t="s">
        <v>1185</v>
      </c>
      <c r="AA560" s="1426"/>
      <c r="AB560" s="1426"/>
      <c r="AC560" s="1426"/>
      <c r="AD560" s="1426"/>
      <c r="AE560" s="1419"/>
      <c r="AF560" s="1420"/>
      <c r="AG560" s="1420"/>
      <c r="AH560" s="1421"/>
      <c r="AI560" s="1433"/>
      <c r="AJ560" s="1434"/>
      <c r="AK560" s="1434"/>
      <c r="AL560" s="1435"/>
      <c r="AM560" s="1467"/>
      <c r="AN560" s="1468"/>
      <c r="AO560" s="1468"/>
      <c r="AP560" s="1468"/>
      <c r="AQ560" s="1468"/>
      <c r="AR560" s="1468"/>
      <c r="AS560" s="1469"/>
      <c r="AT560" s="1148" t="str">
        <f t="shared" si="0"/>
        <v/>
      </c>
      <c r="AU560" s="1147"/>
      <c r="BB560" s="3"/>
      <c r="BC560" s="3"/>
      <c r="BD560" s="3"/>
      <c r="BE560" s="3"/>
      <c r="BF560" s="3"/>
      <c r="BG560" s="3"/>
      <c r="BH560" s="3"/>
      <c r="BI560" s="3"/>
    </row>
    <row r="561" spans="1:61" ht="12.9" customHeight="1">
      <c r="B561" s="52" t="s">
        <v>457</v>
      </c>
      <c r="C561" s="1437"/>
      <c r="D561" s="1437"/>
      <c r="E561" s="1437"/>
      <c r="F561" s="1437"/>
      <c r="G561" s="1437"/>
      <c r="H561" s="1437"/>
      <c r="I561" s="1437"/>
      <c r="J561" s="1437"/>
      <c r="K561" s="1437"/>
      <c r="L561" s="1437"/>
      <c r="M561" s="1436" t="s">
        <v>1185</v>
      </c>
      <c r="N561" s="1436"/>
      <c r="O561" s="1436"/>
      <c r="P561" s="1436"/>
      <c r="Q561" s="1422"/>
      <c r="R561" s="1423"/>
      <c r="S561" s="1424"/>
      <c r="T561" s="1422"/>
      <c r="U561" s="1423"/>
      <c r="V561" s="1424"/>
      <c r="W561" s="1416"/>
      <c r="X561" s="1417"/>
      <c r="Y561" s="1418"/>
      <c r="Z561" s="1426" t="s">
        <v>1185</v>
      </c>
      <c r="AA561" s="1426"/>
      <c r="AB561" s="1426"/>
      <c r="AC561" s="1426"/>
      <c r="AD561" s="1426"/>
      <c r="AE561" s="1419"/>
      <c r="AF561" s="1420"/>
      <c r="AG561" s="1420"/>
      <c r="AH561" s="1421"/>
      <c r="AI561" s="1433"/>
      <c r="AJ561" s="1434"/>
      <c r="AK561" s="1434"/>
      <c r="AL561" s="1435"/>
      <c r="AM561" s="1467"/>
      <c r="AN561" s="1468"/>
      <c r="AO561" s="1468"/>
      <c r="AP561" s="1468"/>
      <c r="AQ561" s="1468"/>
      <c r="AR561" s="1468"/>
      <c r="AS561" s="1469"/>
      <c r="AT561" s="1148" t="str">
        <f t="shared" si="0"/>
        <v/>
      </c>
      <c r="AU561" s="1147"/>
      <c r="BB561" s="3"/>
      <c r="BC561" s="3"/>
      <c r="BD561" s="3"/>
      <c r="BE561" s="3"/>
      <c r="BF561" s="3"/>
      <c r="BG561" s="3"/>
      <c r="BH561" s="3"/>
      <c r="BI561" s="3"/>
    </row>
    <row r="562" spans="1:61" ht="12.9" customHeight="1">
      <c r="B562" s="52" t="s">
        <v>462</v>
      </c>
      <c r="C562" s="1437"/>
      <c r="D562" s="1437"/>
      <c r="E562" s="1437"/>
      <c r="F562" s="1437"/>
      <c r="G562" s="1437"/>
      <c r="H562" s="1437"/>
      <c r="I562" s="1437"/>
      <c r="J562" s="1437"/>
      <c r="K562" s="1437"/>
      <c r="L562" s="1437"/>
      <c r="M562" s="1436" t="s">
        <v>1185</v>
      </c>
      <c r="N562" s="1436"/>
      <c r="O562" s="1436"/>
      <c r="P562" s="1436"/>
      <c r="Q562" s="1422"/>
      <c r="R562" s="1423"/>
      <c r="S562" s="1424"/>
      <c r="T562" s="1422"/>
      <c r="U562" s="1423"/>
      <c r="V562" s="1424"/>
      <c r="W562" s="1416"/>
      <c r="X562" s="1417"/>
      <c r="Y562" s="1418"/>
      <c r="Z562" s="1426" t="s">
        <v>1185</v>
      </c>
      <c r="AA562" s="1426"/>
      <c r="AB562" s="1426"/>
      <c r="AC562" s="1426"/>
      <c r="AD562" s="1426"/>
      <c r="AE562" s="1419"/>
      <c r="AF562" s="1420"/>
      <c r="AG562" s="1420"/>
      <c r="AH562" s="1421"/>
      <c r="AI562" s="1433"/>
      <c r="AJ562" s="1434"/>
      <c r="AK562" s="1434"/>
      <c r="AL562" s="1435"/>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2.9" customHeight="1">
      <c r="B563" s="52" t="s">
        <v>647</v>
      </c>
      <c r="C563" s="1437"/>
      <c r="D563" s="1437"/>
      <c r="E563" s="1437"/>
      <c r="F563" s="1437"/>
      <c r="G563" s="1437"/>
      <c r="H563" s="1437"/>
      <c r="I563" s="1437"/>
      <c r="J563" s="1437"/>
      <c r="K563" s="1437"/>
      <c r="L563" s="1437"/>
      <c r="M563" s="1436" t="s">
        <v>1185</v>
      </c>
      <c r="N563" s="1436"/>
      <c r="O563" s="1436"/>
      <c r="P563" s="1436"/>
      <c r="Q563" s="1422"/>
      <c r="R563" s="1423"/>
      <c r="S563" s="1424"/>
      <c r="T563" s="1422"/>
      <c r="U563" s="1423"/>
      <c r="V563" s="1424"/>
      <c r="W563" s="1416"/>
      <c r="X563" s="1417"/>
      <c r="Y563" s="1418"/>
      <c r="Z563" s="1426" t="s">
        <v>1185</v>
      </c>
      <c r="AA563" s="1426"/>
      <c r="AB563" s="1426"/>
      <c r="AC563" s="1426"/>
      <c r="AD563" s="1426"/>
      <c r="AE563" s="1419"/>
      <c r="AF563" s="1420"/>
      <c r="AG563" s="1420"/>
      <c r="AH563" s="1421"/>
      <c r="AI563" s="1433"/>
      <c r="AJ563" s="1434"/>
      <c r="AK563" s="1434"/>
      <c r="AL563" s="1435"/>
      <c r="AM563" s="1467"/>
      <c r="AN563" s="1468"/>
      <c r="AO563" s="1468"/>
      <c r="AP563" s="1468"/>
      <c r="AQ563" s="1468"/>
      <c r="AR563" s="1468"/>
      <c r="AS563" s="1469"/>
      <c r="AT563" s="1148" t="str">
        <f t="shared" si="0"/>
        <v/>
      </c>
      <c r="BB563" s="3"/>
      <c r="BC563" s="3"/>
      <c r="BD563" s="3"/>
      <c r="BE563" s="3"/>
      <c r="BF563" s="3"/>
      <c r="BG563" s="3"/>
      <c r="BH563" s="3"/>
      <c r="BI563" s="3"/>
    </row>
    <row r="564" spans="1:61" ht="12.9" customHeight="1">
      <c r="B564" s="52" t="s">
        <v>362</v>
      </c>
      <c r="C564" s="1437"/>
      <c r="D564" s="1437"/>
      <c r="E564" s="1437"/>
      <c r="F564" s="1437"/>
      <c r="G564" s="1437"/>
      <c r="H564" s="1437"/>
      <c r="I564" s="1437"/>
      <c r="J564" s="1437"/>
      <c r="K564" s="1437"/>
      <c r="L564" s="1437"/>
      <c r="M564" s="1436" t="s">
        <v>1185</v>
      </c>
      <c r="N564" s="1436"/>
      <c r="O564" s="1436"/>
      <c r="P564" s="1436"/>
      <c r="Q564" s="1422"/>
      <c r="R564" s="1423"/>
      <c r="S564" s="1424"/>
      <c r="T564" s="1422"/>
      <c r="U564" s="1423"/>
      <c r="V564" s="1424"/>
      <c r="W564" s="1416"/>
      <c r="X564" s="1417"/>
      <c r="Y564" s="1418"/>
      <c r="Z564" s="1426" t="s">
        <v>1185</v>
      </c>
      <c r="AA564" s="1426"/>
      <c r="AB564" s="1426"/>
      <c r="AC564" s="1426"/>
      <c r="AD564" s="1426"/>
      <c r="AE564" s="1419"/>
      <c r="AF564" s="1420"/>
      <c r="AG564" s="1420"/>
      <c r="AH564" s="1421"/>
      <c r="AI564" s="1433"/>
      <c r="AJ564" s="1434"/>
      <c r="AK564" s="1434"/>
      <c r="AL564" s="1435"/>
      <c r="AM564" s="1467"/>
      <c r="AN564" s="1468"/>
      <c r="AO564" s="1468"/>
      <c r="AP564" s="1468"/>
      <c r="AQ564" s="1468"/>
      <c r="AR564" s="1468"/>
      <c r="AS564" s="1469"/>
      <c r="AT564" s="1148" t="str">
        <f t="shared" si="0"/>
        <v/>
      </c>
      <c r="BB564" s="3"/>
      <c r="BC564" s="3"/>
      <c r="BD564" s="3"/>
      <c r="BE564" s="3"/>
      <c r="BF564" s="3"/>
      <c r="BG564" s="3"/>
      <c r="BH564" s="3"/>
      <c r="BI564" s="3"/>
    </row>
    <row r="565" spans="1:61" ht="12.9" customHeight="1">
      <c r="B565" s="52" t="s">
        <v>363</v>
      </c>
      <c r="C565" s="1437"/>
      <c r="D565" s="1437"/>
      <c r="E565" s="1437"/>
      <c r="F565" s="1437"/>
      <c r="G565" s="1437"/>
      <c r="H565" s="1437"/>
      <c r="I565" s="1437"/>
      <c r="J565" s="1437"/>
      <c r="K565" s="1437"/>
      <c r="L565" s="1437"/>
      <c r="M565" s="1436" t="s">
        <v>1185</v>
      </c>
      <c r="N565" s="1436"/>
      <c r="O565" s="1436"/>
      <c r="P565" s="1436"/>
      <c r="Q565" s="1422"/>
      <c r="R565" s="1423"/>
      <c r="S565" s="1424"/>
      <c r="T565" s="1422"/>
      <c r="U565" s="1423"/>
      <c r="V565" s="1424"/>
      <c r="W565" s="1416"/>
      <c r="X565" s="1417"/>
      <c r="Y565" s="1418"/>
      <c r="Z565" s="1426" t="s">
        <v>1185</v>
      </c>
      <c r="AA565" s="1426"/>
      <c r="AB565" s="1426"/>
      <c r="AC565" s="1426"/>
      <c r="AD565" s="1426"/>
      <c r="AE565" s="1419"/>
      <c r="AF565" s="1420"/>
      <c r="AG565" s="1420"/>
      <c r="AH565" s="1421"/>
      <c r="AI565" s="1433"/>
      <c r="AJ565" s="1434"/>
      <c r="AK565" s="1434"/>
      <c r="AL565" s="1435"/>
      <c r="AM565" s="1467"/>
      <c r="AN565" s="1468"/>
      <c r="AO565" s="1468"/>
      <c r="AP565" s="1468"/>
      <c r="AQ565" s="1468"/>
      <c r="AR565" s="1468"/>
      <c r="AS565" s="1469"/>
      <c r="AT565" s="1148" t="str">
        <f t="shared" si="0"/>
        <v/>
      </c>
      <c r="BB565" s="3"/>
      <c r="BC565" s="3"/>
      <c r="BD565" s="3"/>
      <c r="BE565" s="3"/>
      <c r="BF565" s="3"/>
      <c r="BG565" s="3"/>
      <c r="BH565" s="3"/>
      <c r="BI565" s="3"/>
    </row>
    <row r="566" spans="1:61" ht="12.9" customHeight="1">
      <c r="B566" s="1439" t="s">
        <v>127</v>
      </c>
      <c r="C566" s="1440"/>
      <c r="D566" s="1440"/>
      <c r="E566" s="1440"/>
      <c r="F566" s="1440"/>
      <c r="G566" s="1440"/>
      <c r="H566" s="1440"/>
      <c r="I566" s="1440"/>
      <c r="J566" s="1440"/>
      <c r="K566" s="1440"/>
      <c r="L566" s="1440"/>
      <c r="M566" s="1440"/>
      <c r="N566" s="1440"/>
      <c r="O566" s="1440"/>
      <c r="P566" s="1440"/>
      <c r="Q566" s="1440"/>
      <c r="R566" s="1440"/>
      <c r="S566" s="1440"/>
      <c r="T566" s="1440"/>
      <c r="U566" s="1441"/>
      <c r="V566" s="1440"/>
      <c r="W566" s="1440"/>
      <c r="X566" s="1440"/>
      <c r="Y566" s="1440"/>
      <c r="Z566" s="1440"/>
      <c r="AA566" s="1440"/>
      <c r="AB566" s="1440"/>
      <c r="AC566" s="1440"/>
      <c r="AD566" s="1440"/>
      <c r="AE566" s="1440"/>
      <c r="AF566" s="1440"/>
      <c r="AG566" s="1440"/>
      <c r="AH566" s="1440"/>
      <c r="AI566" s="1440"/>
      <c r="AJ566" s="1440"/>
      <c r="AK566" s="1440"/>
      <c r="AL566" s="1442"/>
      <c r="AM566" s="1474">
        <f>SUM(AM554:AS565)</f>
        <v>40410171</v>
      </c>
      <c r="AN566" s="1475"/>
      <c r="AO566" s="1475"/>
      <c r="AP566" s="1475"/>
      <c r="AQ566" s="1475"/>
      <c r="AR566" s="1475"/>
      <c r="AS566" s="1476"/>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485" t="str">
        <f>C554</f>
        <v>Citi Bank Tax Exempt Loan</v>
      </c>
      <c r="H568" s="1485"/>
      <c r="I568" s="1485"/>
      <c r="J568" s="1485"/>
      <c r="K568" s="1485"/>
      <c r="L568" s="1485"/>
      <c r="M568" s="1485"/>
      <c r="N568" s="1485"/>
      <c r="O568" s="1485"/>
      <c r="P568" s="1485"/>
      <c r="Q568" s="1485"/>
      <c r="R568" s="1485"/>
      <c r="S568" s="8"/>
      <c r="T568" s="55" t="s">
        <v>113</v>
      </c>
      <c r="U568" t="s">
        <v>464</v>
      </c>
      <c r="Z568" s="1485" t="str">
        <f>C555</f>
        <v>Citi Bank Taxable Loan</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 customHeight="1">
      <c r="A569" s="22"/>
      <c r="B569" t="s">
        <v>85</v>
      </c>
      <c r="G569" s="1438" t="s">
        <v>2714</v>
      </c>
      <c r="H569" s="1438"/>
      <c r="I569" s="1438"/>
      <c r="J569" s="1438"/>
      <c r="K569" s="1438"/>
      <c r="L569" s="1438"/>
      <c r="M569" s="1438"/>
      <c r="N569" s="1438"/>
      <c r="O569" s="1438"/>
      <c r="P569" s="1438"/>
      <c r="Q569" s="1438"/>
      <c r="R569" s="1438"/>
      <c r="S569" s="8"/>
      <c r="T569" s="22"/>
      <c r="U569" t="s">
        <v>85</v>
      </c>
      <c r="Z569" s="1438" t="s">
        <v>2714</v>
      </c>
      <c r="AA569" s="1438"/>
      <c r="AB569" s="1438"/>
      <c r="AC569" s="1438"/>
      <c r="AD569" s="1438"/>
      <c r="AE569" s="1438"/>
      <c r="AF569" s="1438"/>
      <c r="AG569" s="1438"/>
      <c r="AH569" s="1438"/>
      <c r="AI569" s="1438"/>
      <c r="AJ569" s="1438"/>
      <c r="AK569" s="1438"/>
      <c r="BB569" s="3"/>
      <c r="BC569" s="3"/>
      <c r="BD569" s="3"/>
      <c r="BE569" s="3"/>
      <c r="BF569" s="3"/>
      <c r="BG569" s="3"/>
      <c r="BH569" s="3"/>
      <c r="BI569" s="3"/>
    </row>
    <row r="570" spans="1:61" ht="12.9" customHeight="1">
      <c r="A570" s="22"/>
      <c r="B570" t="s">
        <v>581</v>
      </c>
      <c r="G570" s="1438" t="s">
        <v>2715</v>
      </c>
      <c r="H570" s="1438"/>
      <c r="I570" s="1438"/>
      <c r="J570" s="1438"/>
      <c r="K570" s="1438"/>
      <c r="L570" s="1438"/>
      <c r="M570" s="1438"/>
      <c r="N570" s="1438"/>
      <c r="O570" s="1438"/>
      <c r="P570" s="1438"/>
      <c r="Q570" s="1438"/>
      <c r="R570" s="1438"/>
      <c r="T570" s="22"/>
      <c r="U570" t="s">
        <v>581</v>
      </c>
      <c r="Z570" s="1375" t="s">
        <v>2715</v>
      </c>
      <c r="AA570" s="1375"/>
      <c r="AB570" s="1375"/>
      <c r="AC570" s="1375"/>
      <c r="AD570" s="1375"/>
      <c r="AE570" s="1375"/>
      <c r="AF570" s="1375"/>
      <c r="AG570" s="1375"/>
      <c r="AH570" s="1375"/>
      <c r="AI570" s="1375"/>
      <c r="AJ570" s="1375"/>
      <c r="AK570" s="1375"/>
      <c r="BB570" s="3"/>
      <c r="BC570" s="3"/>
      <c r="BD570" s="3"/>
      <c r="BE570" s="3"/>
      <c r="BF570" s="3"/>
      <c r="BG570" s="3"/>
      <c r="BH570" s="3"/>
      <c r="BI570" s="3"/>
    </row>
    <row r="571" spans="1:61" ht="12.9" customHeight="1">
      <c r="A571" s="22"/>
      <c r="B571" t="s">
        <v>17</v>
      </c>
      <c r="G571" s="1438" t="s">
        <v>2716</v>
      </c>
      <c r="H571" s="1438"/>
      <c r="I571" s="1438"/>
      <c r="J571" s="1438"/>
      <c r="K571" s="1438"/>
      <c r="L571" s="1438"/>
      <c r="M571" s="1438"/>
      <c r="N571" s="1438"/>
      <c r="O571" s="1438"/>
      <c r="P571" s="1438"/>
      <c r="Q571" s="1438"/>
      <c r="R571" s="1438"/>
      <c r="S571" s="8"/>
      <c r="T571" s="22"/>
      <c r="U571" t="s">
        <v>17</v>
      </c>
      <c r="Z571" s="1375" t="s">
        <v>2716</v>
      </c>
      <c r="AA571" s="1375"/>
      <c r="AB571" s="1375"/>
      <c r="AC571" s="1375"/>
      <c r="AD571" s="1375"/>
      <c r="AE571" s="1375"/>
      <c r="AF571" s="1375"/>
      <c r="AG571" s="1375"/>
      <c r="AH571" s="1375"/>
      <c r="AI571" s="1375"/>
      <c r="AJ571" s="1375"/>
      <c r="AK571" s="1375"/>
      <c r="BB571" s="3"/>
      <c r="BC571" s="3"/>
      <c r="BD571" s="3"/>
      <c r="BE571" s="3"/>
      <c r="BF571" s="3"/>
      <c r="BG571" s="3"/>
      <c r="BH571" s="3"/>
      <c r="BI571" s="3"/>
    </row>
    <row r="572" spans="1:61" ht="12.9" customHeight="1">
      <c r="A572" s="22"/>
      <c r="B572" t="s">
        <v>316</v>
      </c>
      <c r="G572" s="1489">
        <v>4156583118</v>
      </c>
      <c r="H572" s="1489"/>
      <c r="I572" s="1489"/>
      <c r="J572" s="1489"/>
      <c r="K572" s="1489"/>
      <c r="L572" s="1489"/>
      <c r="O572" s="33" t="s">
        <v>206</v>
      </c>
      <c r="P572" s="1473"/>
      <c r="Q572" s="1473"/>
      <c r="R572" s="1473"/>
      <c r="S572" s="10"/>
      <c r="T572" s="22"/>
      <c r="U572" t="s">
        <v>316</v>
      </c>
      <c r="Z572" s="1489">
        <v>4156583118</v>
      </c>
      <c r="AA572" s="1489"/>
      <c r="AB572" s="1489"/>
      <c r="AC572" s="1489"/>
      <c r="AD572" s="1489"/>
      <c r="AE572" s="1489"/>
      <c r="AH572" s="33" t="s">
        <v>206</v>
      </c>
      <c r="AI572" s="1473"/>
      <c r="AJ572" s="1473"/>
      <c r="AK572" s="1473"/>
      <c r="BB572" s="3"/>
      <c r="BC572" s="3"/>
      <c r="BD572" s="3"/>
      <c r="BE572" s="3"/>
      <c r="BF572" s="3"/>
      <c r="BG572" s="3"/>
      <c r="BH572" s="3"/>
      <c r="BI572" s="3"/>
    </row>
    <row r="573" spans="1:61" ht="12.9" customHeight="1">
      <c r="A573" s="22"/>
      <c r="B573" t="s">
        <v>18</v>
      </c>
      <c r="H573" s="1438" t="s">
        <v>2717</v>
      </c>
      <c r="I573" s="1438"/>
      <c r="J573" s="1438"/>
      <c r="K573" s="1438"/>
      <c r="L573" s="1438"/>
      <c r="M573" s="1438"/>
      <c r="N573" s="1438"/>
      <c r="O573" s="1438"/>
      <c r="P573" s="1438"/>
      <c r="Q573" s="1438"/>
      <c r="R573" s="1438"/>
      <c r="S573" s="8"/>
      <c r="T573" s="22"/>
      <c r="U573" t="s">
        <v>18</v>
      </c>
      <c r="AA573" s="1438" t="s">
        <v>2717</v>
      </c>
      <c r="AB573" s="1438"/>
      <c r="AC573" s="1438"/>
      <c r="AD573" s="1438"/>
      <c r="AE573" s="1438"/>
      <c r="AF573" s="1438"/>
      <c r="AG573" s="1438"/>
      <c r="AH573" s="1438"/>
      <c r="AI573" s="1438"/>
      <c r="AJ573" s="1438"/>
      <c r="AK573" s="1438"/>
      <c r="BB573" s="3"/>
      <c r="BC573" s="3"/>
      <c r="BD573" s="3"/>
      <c r="BE573" s="3"/>
      <c r="BF573" s="3"/>
      <c r="BG573" s="3"/>
      <c r="BH573" s="3"/>
      <c r="BI573" s="3"/>
    </row>
    <row r="574" spans="1:61" ht="12.9" customHeight="1">
      <c r="A574" s="22"/>
      <c r="B574" s="320" t="s">
        <v>1186</v>
      </c>
      <c r="H574" s="8"/>
      <c r="I574" s="8"/>
      <c r="J574" s="8"/>
      <c r="K574" s="8"/>
      <c r="L574" s="8"/>
      <c r="M574" s="1629"/>
      <c r="N574" s="1629"/>
      <c r="O574" s="1629"/>
      <c r="P574" s="1629"/>
      <c r="Q574" s="1629"/>
      <c r="R574" s="1629"/>
      <c r="S574" s="8"/>
      <c r="T574" s="22"/>
      <c r="U574" s="320" t="s">
        <v>1186</v>
      </c>
      <c r="AA574" s="8"/>
      <c r="AB574" s="8"/>
      <c r="AC574" s="8"/>
      <c r="AD574" s="8"/>
      <c r="AE574" s="8"/>
      <c r="AF574" s="1629"/>
      <c r="AG574" s="1629"/>
      <c r="AH574" s="1629"/>
      <c r="AI574" s="1629"/>
      <c r="AJ574" s="1629"/>
      <c r="AK574" s="1629"/>
      <c r="BB574" s="3"/>
      <c r="BC574" s="3"/>
      <c r="BD574" s="3"/>
      <c r="BE574" s="3"/>
      <c r="BF574" s="3"/>
      <c r="BG574" s="3"/>
      <c r="BH574" s="3"/>
      <c r="BI574" s="3"/>
    </row>
    <row r="575" spans="1:61" ht="12.9" customHeight="1">
      <c r="A575" s="22"/>
      <c r="B575" t="s">
        <v>20</v>
      </c>
      <c r="N575" s="1432" t="s">
        <v>546</v>
      </c>
      <c r="O575" s="1432"/>
      <c r="T575" s="22"/>
      <c r="U575" t="s">
        <v>20</v>
      </c>
      <c r="AG575" s="1432" t="s">
        <v>546</v>
      </c>
      <c r="AH575" s="1432"/>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485" t="str">
        <f>C556</f>
        <v>Citi Bank Recycled Bonds</v>
      </c>
      <c r="H577" s="1485"/>
      <c r="I577" s="1485"/>
      <c r="J577" s="1485"/>
      <c r="K577" s="1485"/>
      <c r="L577" s="1485"/>
      <c r="M577" s="1485"/>
      <c r="N577" s="1485"/>
      <c r="O577" s="1485"/>
      <c r="P577" s="1485"/>
      <c r="Q577" s="1485"/>
      <c r="R577" s="1485"/>
      <c r="T577" s="55" t="s">
        <v>582</v>
      </c>
      <c r="U577" t="s">
        <v>464</v>
      </c>
      <c r="Z577" s="1485" t="str">
        <f>C557</f>
        <v>Tax Credit Equity</v>
      </c>
      <c r="AA577" s="1485"/>
      <c r="AB577" s="1485"/>
      <c r="AC577" s="1485"/>
      <c r="AD577" s="1485"/>
      <c r="AE577" s="1485"/>
      <c r="AF577" s="1485"/>
      <c r="AG577" s="1485"/>
      <c r="AH577" s="1485"/>
      <c r="AI577" s="1485"/>
      <c r="AJ577" s="1485"/>
      <c r="AK577" s="1485"/>
      <c r="BB577" s="3"/>
      <c r="BC577" s="3"/>
    </row>
    <row r="578" spans="1:55" ht="12.9" customHeight="1">
      <c r="A578" s="22"/>
      <c r="B578" t="s">
        <v>85</v>
      </c>
      <c r="G578" s="1438" t="s">
        <v>2714</v>
      </c>
      <c r="H578" s="1438"/>
      <c r="I578" s="1438"/>
      <c r="J578" s="1438"/>
      <c r="K578" s="1438"/>
      <c r="L578" s="1438"/>
      <c r="M578" s="1438"/>
      <c r="N578" s="1438"/>
      <c r="O578" s="1438"/>
      <c r="P578" s="1438"/>
      <c r="Q578" s="1438"/>
      <c r="R578" s="1438"/>
      <c r="T578" s="22"/>
      <c r="U578" t="s">
        <v>85</v>
      </c>
      <c r="Z578" s="1438" t="s">
        <v>2718</v>
      </c>
      <c r="AA578" s="1438"/>
      <c r="AB578" s="1438"/>
      <c r="AC578" s="1438"/>
      <c r="AD578" s="1438"/>
      <c r="AE578" s="1438"/>
      <c r="AF578" s="1438"/>
      <c r="AG578" s="1438"/>
      <c r="AH578" s="1438"/>
      <c r="AI578" s="1438"/>
      <c r="AJ578" s="1438"/>
      <c r="AK578" s="1438"/>
      <c r="BB578" s="3"/>
      <c r="BC578" s="3"/>
    </row>
    <row r="579" spans="1:55" ht="12.9" customHeight="1">
      <c r="A579" s="22"/>
      <c r="B579" t="s">
        <v>581</v>
      </c>
      <c r="G579" s="1375" t="s">
        <v>2715</v>
      </c>
      <c r="H579" s="1375"/>
      <c r="I579" s="1375"/>
      <c r="J579" s="1375"/>
      <c r="K579" s="1375"/>
      <c r="L579" s="1375"/>
      <c r="M579" s="1375"/>
      <c r="N579" s="1375"/>
      <c r="O579" s="1375"/>
      <c r="P579" s="1375"/>
      <c r="Q579" s="1375"/>
      <c r="R579" s="1375"/>
      <c r="T579" s="22"/>
      <c r="U579" t="s">
        <v>581</v>
      </c>
      <c r="Z579" s="1375" t="s">
        <v>2680</v>
      </c>
      <c r="AA579" s="1375"/>
      <c r="AB579" s="1375"/>
      <c r="AC579" s="1375"/>
      <c r="AD579" s="1375"/>
      <c r="AE579" s="1375"/>
      <c r="AF579" s="1375"/>
      <c r="AG579" s="1375"/>
      <c r="AH579" s="1375"/>
      <c r="AI579" s="1375"/>
      <c r="AJ579" s="1375"/>
      <c r="AK579" s="1375"/>
      <c r="BB579" s="3"/>
      <c r="BC579" s="3"/>
    </row>
    <row r="580" spans="1:55" ht="12.9" customHeight="1">
      <c r="A580" s="22"/>
      <c r="B580" t="s">
        <v>17</v>
      </c>
      <c r="G580" s="1375" t="s">
        <v>2716</v>
      </c>
      <c r="H580" s="1375"/>
      <c r="I580" s="1375"/>
      <c r="J580" s="1375"/>
      <c r="K580" s="1375"/>
      <c r="L580" s="1375"/>
      <c r="M580" s="1375"/>
      <c r="N580" s="1375"/>
      <c r="O580" s="1375"/>
      <c r="P580" s="1375"/>
      <c r="Q580" s="1375"/>
      <c r="R580" s="1375"/>
      <c r="T580" s="22"/>
      <c r="U580" t="s">
        <v>17</v>
      </c>
      <c r="Z580" s="1375" t="s">
        <v>2681</v>
      </c>
      <c r="AA580" s="1375"/>
      <c r="AB580" s="1375"/>
      <c r="AC580" s="1375"/>
      <c r="AD580" s="1375"/>
      <c r="AE580" s="1375"/>
      <c r="AF580" s="1375"/>
      <c r="AG580" s="1375"/>
      <c r="AH580" s="1375"/>
      <c r="AI580" s="1375"/>
      <c r="AJ580" s="1375"/>
      <c r="AK580" s="1375"/>
      <c r="BB580" s="3"/>
      <c r="BC580" s="3"/>
    </row>
    <row r="581" spans="1:55" ht="12.9" customHeight="1">
      <c r="A581" s="22"/>
      <c r="B581" t="s">
        <v>316</v>
      </c>
      <c r="G581" s="1489">
        <v>4156583118</v>
      </c>
      <c r="H581" s="1489"/>
      <c r="I581" s="1489"/>
      <c r="J581" s="1489"/>
      <c r="K581" s="1489"/>
      <c r="L581" s="1489"/>
      <c r="O581" s="33" t="s">
        <v>206</v>
      </c>
      <c r="P581" s="1473"/>
      <c r="Q581" s="1473"/>
      <c r="R581" s="1473"/>
      <c r="T581" s="22"/>
      <c r="U581" t="s">
        <v>316</v>
      </c>
      <c r="Z581" s="1489">
        <v>3108604550</v>
      </c>
      <c r="AA581" s="1489"/>
      <c r="AB581" s="1489"/>
      <c r="AC581" s="1489"/>
      <c r="AD581" s="1489"/>
      <c r="AE581" s="1489"/>
      <c r="AH581" s="33" t="s">
        <v>206</v>
      </c>
      <c r="AI581" s="1473"/>
      <c r="AJ581" s="1473"/>
      <c r="AK581" s="1473"/>
      <c r="BB581" s="3"/>
      <c r="BC581" s="3"/>
    </row>
    <row r="582" spans="1:55" ht="12.9" customHeight="1">
      <c r="A582" s="22"/>
      <c r="B582" t="s">
        <v>18</v>
      </c>
      <c r="H582" s="1438" t="s">
        <v>2717</v>
      </c>
      <c r="I582" s="1438"/>
      <c r="J582" s="1438"/>
      <c r="K582" s="1438"/>
      <c r="L582" s="1438"/>
      <c r="M582" s="1438"/>
      <c r="N582" s="1438"/>
      <c r="O582" s="1438"/>
      <c r="P582" s="1438"/>
      <c r="Q582" s="1438"/>
      <c r="R582" s="1438"/>
      <c r="T582" s="22"/>
      <c r="U582" t="s">
        <v>18</v>
      </c>
      <c r="AA582" s="1438" t="s">
        <v>2719</v>
      </c>
      <c r="AB582" s="1438"/>
      <c r="AC582" s="1438"/>
      <c r="AD582" s="1438"/>
      <c r="AE582" s="1438"/>
      <c r="AF582" s="1438"/>
      <c r="AG582" s="1438"/>
      <c r="AH582" s="1438"/>
      <c r="AI582" s="1438"/>
      <c r="AJ582" s="1438"/>
      <c r="AK582" s="1438"/>
      <c r="BB582" s="3"/>
      <c r="BC582" s="3"/>
    </row>
    <row r="583" spans="1:55" ht="12.9" customHeight="1">
      <c r="A583" s="22"/>
      <c r="B583" t="s">
        <v>20</v>
      </c>
      <c r="N583" s="1432" t="s">
        <v>546</v>
      </c>
      <c r="O583" s="1432"/>
      <c r="T583" s="22"/>
      <c r="U583" t="s">
        <v>20</v>
      </c>
      <c r="AG583" s="1432" t="s">
        <v>546</v>
      </c>
      <c r="AH583" s="1432"/>
      <c r="BB583" s="3"/>
      <c r="BC583" s="3"/>
    </row>
    <row r="584" spans="1:55" ht="12.9" customHeight="1">
      <c r="A584" s="22"/>
      <c r="T584" s="22"/>
      <c r="BB584" s="3"/>
      <c r="BC584" s="3"/>
    </row>
    <row r="585" spans="1:55" ht="12.9" customHeight="1">
      <c r="A585" s="55" t="s">
        <v>764</v>
      </c>
      <c r="B585" t="s">
        <v>464</v>
      </c>
      <c r="G585" s="1485">
        <f>C558</f>
        <v>0</v>
      </c>
      <c r="H585" s="1485"/>
      <c r="I585" s="1485"/>
      <c r="J585" s="1485"/>
      <c r="K585" s="1485"/>
      <c r="L585" s="1485"/>
      <c r="M585" s="1485"/>
      <c r="N585" s="1485"/>
      <c r="O585" s="1485"/>
      <c r="P585" s="1485"/>
      <c r="Q585" s="1485"/>
      <c r="R585" s="1485"/>
      <c r="T585" s="55" t="s">
        <v>585</v>
      </c>
      <c r="U585" t="s">
        <v>464</v>
      </c>
      <c r="Z585" s="1485">
        <f>C559</f>
        <v>0</v>
      </c>
      <c r="AA585" s="1485"/>
      <c r="AB585" s="1485"/>
      <c r="AC585" s="1485"/>
      <c r="AD585" s="1485"/>
      <c r="AE585" s="1485"/>
      <c r="AF585" s="1485"/>
      <c r="AG585" s="1485"/>
      <c r="AH585" s="1485"/>
      <c r="AI585" s="1485"/>
      <c r="AJ585" s="1485"/>
      <c r="AK585" s="1485"/>
      <c r="BB585" s="3"/>
      <c r="BC585" s="3"/>
    </row>
    <row r="586" spans="1:55" ht="12.9" customHeight="1">
      <c r="A586" s="22"/>
      <c r="B586" t="s">
        <v>85</v>
      </c>
      <c r="G586" s="1438"/>
      <c r="H586" s="1438"/>
      <c r="I586" s="1438"/>
      <c r="J586" s="1438"/>
      <c r="K586" s="1438"/>
      <c r="L586" s="1438"/>
      <c r="M586" s="1438"/>
      <c r="N586" s="1438"/>
      <c r="O586" s="1438"/>
      <c r="P586" s="1438"/>
      <c r="Q586" s="1438"/>
      <c r="R586" s="1438"/>
      <c r="T586" s="22"/>
      <c r="U586" t="s">
        <v>85</v>
      </c>
      <c r="Z586" s="1438"/>
      <c r="AA586" s="1438"/>
      <c r="AB586" s="1438"/>
      <c r="AC586" s="1438"/>
      <c r="AD586" s="1438"/>
      <c r="AE586" s="1438"/>
      <c r="AF586" s="1438"/>
      <c r="AG586" s="1438"/>
      <c r="AH586" s="1438"/>
      <c r="AI586" s="1438"/>
      <c r="AJ586" s="1438"/>
      <c r="AK586" s="1438"/>
      <c r="BB586" s="3"/>
      <c r="BC586" s="3"/>
    </row>
    <row r="587" spans="1:55" ht="12.9" customHeight="1">
      <c r="A587" s="22"/>
      <c r="B587" t="s">
        <v>581</v>
      </c>
      <c r="G587" s="1438"/>
      <c r="H587" s="1438"/>
      <c r="I587" s="1438"/>
      <c r="J587" s="1438"/>
      <c r="K587" s="1438"/>
      <c r="L587" s="1438"/>
      <c r="M587" s="1438"/>
      <c r="N587" s="1438"/>
      <c r="O587" s="1438"/>
      <c r="P587" s="1438"/>
      <c r="Q587" s="1438"/>
      <c r="R587" s="1438"/>
      <c r="T587" s="22"/>
      <c r="U587" t="s">
        <v>581</v>
      </c>
      <c r="Z587" s="1375"/>
      <c r="AA587" s="1375"/>
      <c r="AB587" s="1375"/>
      <c r="AC587" s="1375"/>
      <c r="AD587" s="1375"/>
      <c r="AE587" s="1375"/>
      <c r="AF587" s="1375"/>
      <c r="AG587" s="1375"/>
      <c r="AH587" s="1375"/>
      <c r="AI587" s="1375"/>
      <c r="AJ587" s="1375"/>
      <c r="AK587" s="1375"/>
      <c r="BB587" s="3"/>
      <c r="BC587" s="3"/>
    </row>
    <row r="588" spans="1:55" ht="12.9" customHeight="1">
      <c r="A588" s="22"/>
      <c r="B588" t="s">
        <v>17</v>
      </c>
      <c r="G588" s="1438"/>
      <c r="H588" s="1438"/>
      <c r="I588" s="1438"/>
      <c r="J588" s="1438"/>
      <c r="K588" s="1438"/>
      <c r="L588" s="1438"/>
      <c r="M588" s="1438"/>
      <c r="N588" s="1438"/>
      <c r="O588" s="1438"/>
      <c r="P588" s="1438"/>
      <c r="Q588" s="1438"/>
      <c r="R588" s="1438"/>
      <c r="T588" s="22"/>
      <c r="U588" t="s">
        <v>17</v>
      </c>
      <c r="Z588" s="1375"/>
      <c r="AA588" s="1375"/>
      <c r="AB588" s="1375"/>
      <c r="AC588" s="1375"/>
      <c r="AD588" s="1375"/>
      <c r="AE588" s="1375"/>
      <c r="AF588" s="1375"/>
      <c r="AG588" s="1375"/>
      <c r="AH588" s="1375"/>
      <c r="AI588" s="1375"/>
      <c r="AJ588" s="1375"/>
      <c r="AK588" s="1375"/>
    </row>
    <row r="589" spans="1:55" ht="12.9" customHeight="1">
      <c r="A589" s="22"/>
      <c r="B589" t="s">
        <v>316</v>
      </c>
      <c r="G589" s="1489"/>
      <c r="H589" s="1489"/>
      <c r="I589" s="1489"/>
      <c r="J589" s="1489"/>
      <c r="K589" s="1489"/>
      <c r="L589" s="1489"/>
      <c r="O589" s="33" t="s">
        <v>206</v>
      </c>
      <c r="P589" s="1473"/>
      <c r="Q589" s="1473"/>
      <c r="R589" s="1473"/>
      <c r="T589" s="22"/>
      <c r="U589" t="s">
        <v>316</v>
      </c>
      <c r="Z589" s="1489"/>
      <c r="AA589" s="1489"/>
      <c r="AB589" s="1489"/>
      <c r="AC589" s="1489"/>
      <c r="AD589" s="1489"/>
      <c r="AE589" s="1489"/>
      <c r="AH589" s="33" t="s">
        <v>206</v>
      </c>
      <c r="AI589" s="1473"/>
      <c r="AJ589" s="1473"/>
      <c r="AK589" s="1473"/>
      <c r="AZ589" s="3"/>
      <c r="BA589" s="3"/>
      <c r="BB589" s="3"/>
      <c r="BC589" s="3"/>
    </row>
    <row r="590" spans="1:55" ht="12.9" customHeight="1">
      <c r="A590" s="22"/>
      <c r="B590" t="s">
        <v>18</v>
      </c>
      <c r="H590" s="1438"/>
      <c r="I590" s="1438"/>
      <c r="J590" s="1438"/>
      <c r="K590" s="1438"/>
      <c r="L590" s="1438"/>
      <c r="M590" s="1438"/>
      <c r="N590" s="1438"/>
      <c r="O590" s="1438"/>
      <c r="P590" s="1438"/>
      <c r="Q590" s="1438"/>
      <c r="R590" s="1438"/>
      <c r="T590" s="22"/>
      <c r="U590" t="s">
        <v>18</v>
      </c>
      <c r="AA590" s="1438"/>
      <c r="AB590" s="1438"/>
      <c r="AC590" s="1438"/>
      <c r="AD590" s="1438"/>
      <c r="AE590" s="1438"/>
      <c r="AF590" s="1438"/>
      <c r="AG590" s="1438"/>
      <c r="AH590" s="1438"/>
      <c r="AI590" s="1438"/>
      <c r="AJ590" s="1438"/>
      <c r="AK590" s="1438"/>
      <c r="AZ590" s="3"/>
      <c r="BA590" s="3"/>
      <c r="BB590" s="3"/>
      <c r="BC590" s="3"/>
    </row>
    <row r="591" spans="1:55" ht="12.9" customHeight="1">
      <c r="A591" s="22"/>
      <c r="B591" t="s">
        <v>20</v>
      </c>
      <c r="N591" s="1432" t="s">
        <v>670</v>
      </c>
      <c r="O591" s="1432"/>
      <c r="T591" s="22"/>
      <c r="U591" t="s">
        <v>20</v>
      </c>
      <c r="AG591" s="1432" t="s">
        <v>670</v>
      </c>
      <c r="AH591" s="1432"/>
      <c r="AZ591" s="3"/>
      <c r="BA591" s="3"/>
      <c r="BB591" s="3"/>
      <c r="BC591" s="3"/>
    </row>
    <row r="592" spans="1:55" ht="12.9" customHeight="1">
      <c r="A592" s="22"/>
      <c r="T592" s="22"/>
      <c r="AZ592" s="3"/>
      <c r="BA592" s="3"/>
      <c r="BB592" s="3"/>
      <c r="BC592" s="3"/>
    </row>
    <row r="593" spans="1:55" ht="12.9" customHeight="1">
      <c r="A593" s="55" t="s">
        <v>456</v>
      </c>
      <c r="B593" t="s">
        <v>464</v>
      </c>
      <c r="G593" s="1485">
        <f>C560</f>
        <v>0</v>
      </c>
      <c r="H593" s="1485"/>
      <c r="I593" s="1485"/>
      <c r="J593" s="1485"/>
      <c r="K593" s="1485"/>
      <c r="L593" s="1485"/>
      <c r="M593" s="1485"/>
      <c r="N593" s="1485"/>
      <c r="O593" s="1485"/>
      <c r="P593" s="1485"/>
      <c r="Q593" s="1485"/>
      <c r="R593" s="1485"/>
      <c r="T593" s="55" t="s">
        <v>457</v>
      </c>
      <c r="U593" t="s">
        <v>464</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 customHeight="1">
      <c r="A594" s="22"/>
      <c r="B594" t="s">
        <v>85</v>
      </c>
      <c r="C594"/>
      <c r="D594"/>
      <c r="E594"/>
      <c r="F594"/>
      <c r="G594" s="1438"/>
      <c r="H594" s="1438"/>
      <c r="I594" s="1438"/>
      <c r="J594" s="1438"/>
      <c r="K594" s="1438"/>
      <c r="L594" s="1438"/>
      <c r="M594" s="1438"/>
      <c r="N594" s="1438"/>
      <c r="O594" s="1438"/>
      <c r="P594" s="1438"/>
      <c r="Q594" s="1438"/>
      <c r="R594" s="1438"/>
      <c r="S594"/>
      <c r="T594" s="22"/>
      <c r="U594" t="s">
        <v>85</v>
      </c>
      <c r="V594"/>
      <c r="W594"/>
      <c r="X594"/>
      <c r="Y594"/>
      <c r="Z594" s="1438"/>
      <c r="AA594" s="1438"/>
      <c r="AB594" s="1438"/>
      <c r="AC594" s="1438"/>
      <c r="AD594" s="1438"/>
      <c r="AE594" s="1438"/>
      <c r="AF594" s="1438"/>
      <c r="AG594" s="1438"/>
      <c r="AH594" s="1438"/>
      <c r="AI594" s="1438"/>
      <c r="AJ594" s="1438"/>
      <c r="AK594" s="1438"/>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438"/>
      <c r="H595" s="1438"/>
      <c r="I595" s="1438"/>
      <c r="J595" s="1438"/>
      <c r="K595" s="1438"/>
      <c r="L595" s="1438"/>
      <c r="M595" s="1438"/>
      <c r="N595" s="1438"/>
      <c r="O595" s="1438"/>
      <c r="P595" s="1438"/>
      <c r="Q595" s="1438"/>
      <c r="R595" s="1438"/>
      <c r="S595"/>
      <c r="T595" s="22"/>
      <c r="U595" t="s">
        <v>581</v>
      </c>
      <c r="V595"/>
      <c r="W595"/>
      <c r="X595"/>
      <c r="Y595"/>
      <c r="Z595" s="1375"/>
      <c r="AA595" s="1375"/>
      <c r="AB595" s="1375"/>
      <c r="AC595" s="1375"/>
      <c r="AD595" s="1375"/>
      <c r="AE595" s="1375"/>
      <c r="AF595" s="1375"/>
      <c r="AG595" s="1375"/>
      <c r="AH595" s="1375"/>
      <c r="AI595" s="1375"/>
      <c r="AJ595" s="1375"/>
      <c r="AK595" s="1375"/>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38"/>
      <c r="H596" s="1438"/>
      <c r="I596" s="1438"/>
      <c r="J596" s="1438"/>
      <c r="K596" s="1438"/>
      <c r="L596" s="1438"/>
      <c r="M596" s="1438"/>
      <c r="N596" s="1438"/>
      <c r="O596" s="1438"/>
      <c r="P596" s="1438"/>
      <c r="Q596" s="1438"/>
      <c r="R596" s="1438"/>
      <c r="S596"/>
      <c r="T596" s="22"/>
      <c r="U596" t="s">
        <v>17</v>
      </c>
      <c r="V596"/>
      <c r="W596"/>
      <c r="X596"/>
      <c r="Y596"/>
      <c r="Z596" s="1375"/>
      <c r="AA596" s="1375"/>
      <c r="AB596" s="1375"/>
      <c r="AC596" s="1375"/>
      <c r="AD596" s="1375"/>
      <c r="AE596" s="1375"/>
      <c r="AF596" s="1375"/>
      <c r="AG596" s="1375"/>
      <c r="AH596" s="1375"/>
      <c r="AI596" s="1375"/>
      <c r="AJ596" s="1375"/>
      <c r="AK596" s="1375"/>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89"/>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38"/>
      <c r="I598" s="1438"/>
      <c r="J598" s="1438"/>
      <c r="K598" s="1438"/>
      <c r="L598" s="1438"/>
      <c r="M598" s="1438"/>
      <c r="N598" s="1438"/>
      <c r="O598" s="1438"/>
      <c r="P598" s="1438"/>
      <c r="Q598" s="1438"/>
      <c r="R598" s="1438"/>
      <c r="S598"/>
      <c r="T598" s="22"/>
      <c r="U598" t="s">
        <v>18</v>
      </c>
      <c r="V598"/>
      <c r="W598"/>
      <c r="X598"/>
      <c r="Y598"/>
      <c r="Z598"/>
      <c r="AA598" s="1438"/>
      <c r="AB598" s="1438"/>
      <c r="AC598" s="1438"/>
      <c r="AD598" s="1438"/>
      <c r="AE598" s="1438"/>
      <c r="AF598" s="1438"/>
      <c r="AG598" s="1438"/>
      <c r="AH598" s="1438"/>
      <c r="AI598" s="1438"/>
      <c r="AJ598" s="1438"/>
      <c r="AK598" s="1438"/>
      <c r="AL598"/>
      <c r="AM598"/>
      <c r="AN598"/>
      <c r="AO598"/>
      <c r="AP598"/>
      <c r="AQ598"/>
      <c r="AR598"/>
      <c r="AS598"/>
      <c r="AT598"/>
      <c r="AU598"/>
      <c r="AV598"/>
      <c r="AW598"/>
      <c r="AX598"/>
      <c r="AY598"/>
      <c r="BB598" s="3"/>
      <c r="BC598" s="3"/>
    </row>
    <row r="599" spans="1:55" ht="12.9" customHeight="1">
      <c r="A599" s="22"/>
      <c r="B599" t="s">
        <v>20</v>
      </c>
      <c r="N599" s="1432" t="s">
        <v>670</v>
      </c>
      <c r="O599" s="1432"/>
      <c r="T599" s="22"/>
      <c r="U599" t="s">
        <v>20</v>
      </c>
      <c r="AG599" s="1432" t="s">
        <v>670</v>
      </c>
      <c r="AH599" s="1432"/>
      <c r="BB599" s="3"/>
      <c r="BC599" s="3"/>
    </row>
    <row r="600" spans="1:55" ht="12.9" customHeight="1">
      <c r="A600" s="22"/>
      <c r="T600" s="22"/>
      <c r="BB600" s="3"/>
      <c r="BC600" s="3"/>
    </row>
    <row r="601" spans="1:55" ht="12.9" customHeight="1">
      <c r="A601" s="55" t="s">
        <v>462</v>
      </c>
      <c r="B601" t="s">
        <v>464</v>
      </c>
      <c r="G601" s="1485">
        <f>C562</f>
        <v>0</v>
      </c>
      <c r="H601" s="1485"/>
      <c r="I601" s="1485"/>
      <c r="J601" s="1485"/>
      <c r="K601" s="1485"/>
      <c r="L601" s="1485"/>
      <c r="M601" s="1485"/>
      <c r="N601" s="1485"/>
      <c r="O601" s="1485"/>
      <c r="P601" s="1485"/>
      <c r="Q601" s="1485"/>
      <c r="R601" s="1485"/>
      <c r="T601" s="55" t="s">
        <v>647</v>
      </c>
      <c r="U601" t="s">
        <v>464</v>
      </c>
      <c r="Z601" s="1485">
        <f>C563</f>
        <v>0</v>
      </c>
      <c r="AA601" s="1485"/>
      <c r="AB601" s="1485"/>
      <c r="AC601" s="1485"/>
      <c r="AD601" s="1485"/>
      <c r="AE601" s="1485"/>
      <c r="AF601" s="1485"/>
      <c r="AG601" s="1485"/>
      <c r="AH601" s="1485"/>
      <c r="AI601" s="1485"/>
      <c r="AJ601" s="1485"/>
      <c r="AK601" s="1485"/>
      <c r="BB601" s="3"/>
      <c r="BC601" s="3"/>
    </row>
    <row r="602" spans="1:55" ht="12.9" customHeight="1">
      <c r="A602" s="22"/>
      <c r="B602" t="s">
        <v>85</v>
      </c>
      <c r="G602" s="1438"/>
      <c r="H602" s="1438"/>
      <c r="I602" s="1438"/>
      <c r="J602" s="1438"/>
      <c r="K602" s="1438"/>
      <c r="L602" s="1438"/>
      <c r="M602" s="1438"/>
      <c r="N602" s="1438"/>
      <c r="O602" s="1438"/>
      <c r="P602" s="1438"/>
      <c r="Q602" s="1438"/>
      <c r="R602" s="1438"/>
      <c r="T602" s="22"/>
      <c r="U602" t="s">
        <v>85</v>
      </c>
      <c r="Z602" s="1438"/>
      <c r="AA602" s="1438"/>
      <c r="AB602" s="1438"/>
      <c r="AC602" s="1438"/>
      <c r="AD602" s="1438"/>
      <c r="AE602" s="1438"/>
      <c r="AF602" s="1438"/>
      <c r="AG602" s="1438"/>
      <c r="AH602" s="1438"/>
      <c r="AI602" s="1438"/>
      <c r="AJ602" s="1438"/>
      <c r="AK602" s="1438"/>
      <c r="AZ602" s="3"/>
      <c r="BA602" s="3"/>
      <c r="BB602" s="3"/>
      <c r="BC602" s="3"/>
    </row>
    <row r="603" spans="1:55" ht="12.9" customHeight="1">
      <c r="A603" s="22"/>
      <c r="B603" t="s">
        <v>581</v>
      </c>
      <c r="G603" s="1438"/>
      <c r="H603" s="1438"/>
      <c r="I603" s="1438"/>
      <c r="J603" s="1438"/>
      <c r="K603" s="1438"/>
      <c r="L603" s="1438"/>
      <c r="M603" s="1438"/>
      <c r="N603" s="1438"/>
      <c r="O603" s="1438"/>
      <c r="P603" s="1438"/>
      <c r="Q603" s="1438"/>
      <c r="R603" s="1438"/>
      <c r="T603" s="22"/>
      <c r="U603" t="s">
        <v>581</v>
      </c>
      <c r="Z603" s="1375"/>
      <c r="AA603" s="1375"/>
      <c r="AB603" s="1375"/>
      <c r="AC603" s="1375"/>
      <c r="AD603" s="1375"/>
      <c r="AE603" s="1375"/>
      <c r="AF603" s="1375"/>
      <c r="AG603" s="1375"/>
      <c r="AH603" s="1375"/>
      <c r="AI603" s="1375"/>
      <c r="AJ603" s="1375"/>
      <c r="AK603" s="1375"/>
      <c r="AZ603" s="3"/>
      <c r="BA603" s="3"/>
      <c r="BB603" s="3"/>
      <c r="BC603" s="3"/>
    </row>
    <row r="604" spans="1:55" ht="12.9" customHeight="1">
      <c r="A604" s="22"/>
      <c r="B604" t="s">
        <v>17</v>
      </c>
      <c r="G604" s="1438"/>
      <c r="H604" s="1438"/>
      <c r="I604" s="1438"/>
      <c r="J604" s="1438"/>
      <c r="K604" s="1438"/>
      <c r="L604" s="1438"/>
      <c r="M604" s="1438"/>
      <c r="N604" s="1438"/>
      <c r="O604" s="1438"/>
      <c r="P604" s="1438"/>
      <c r="Q604" s="1438"/>
      <c r="R604" s="1438"/>
      <c r="T604" s="22"/>
      <c r="U604" t="s">
        <v>17</v>
      </c>
      <c r="Z604" s="1375"/>
      <c r="AA604" s="1375"/>
      <c r="AB604" s="1375"/>
      <c r="AC604" s="1375"/>
      <c r="AD604" s="1375"/>
      <c r="AE604" s="1375"/>
      <c r="AF604" s="1375"/>
      <c r="AG604" s="1375"/>
      <c r="AH604" s="1375"/>
      <c r="AI604" s="1375"/>
      <c r="AJ604" s="1375"/>
      <c r="AK604" s="1375"/>
      <c r="AZ604" s="3"/>
      <c r="BA604" s="3"/>
      <c r="BB604" s="3"/>
      <c r="BC604" s="3"/>
    </row>
    <row r="605" spans="1:55" s="4" customFormat="1" ht="12.9"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38"/>
      <c r="I606" s="1438"/>
      <c r="J606" s="1438"/>
      <c r="K606" s="1438"/>
      <c r="L606" s="1438"/>
      <c r="M606" s="1438"/>
      <c r="N606" s="1438"/>
      <c r="O606" s="1438"/>
      <c r="P606" s="1438"/>
      <c r="Q606" s="1438"/>
      <c r="R606" s="1438"/>
      <c r="S606"/>
      <c r="T606" s="22"/>
      <c r="U606" t="s">
        <v>18</v>
      </c>
      <c r="V606"/>
      <c r="W606"/>
      <c r="X606"/>
      <c r="Y606"/>
      <c r="Z606"/>
      <c r="AA606" s="1438"/>
      <c r="AB606" s="1438"/>
      <c r="AC606" s="1438"/>
      <c r="AD606" s="1438"/>
      <c r="AE606" s="1438"/>
      <c r="AF606" s="1438"/>
      <c r="AG606" s="1438"/>
      <c r="AH606" s="1438"/>
      <c r="AI606" s="1438"/>
      <c r="AJ606" s="1438"/>
      <c r="AK606" s="1438"/>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32" t="s">
        <v>670</v>
      </c>
      <c r="O607" s="1432"/>
      <c r="P607"/>
      <c r="Q607"/>
      <c r="R607"/>
      <c r="S607"/>
      <c r="T607" s="22"/>
      <c r="U607" t="s">
        <v>20</v>
      </c>
      <c r="V607"/>
      <c r="W607"/>
      <c r="X607"/>
      <c r="Y607"/>
      <c r="Z607"/>
      <c r="AA607"/>
      <c r="AB607"/>
      <c r="AC607"/>
      <c r="AD607"/>
      <c r="AE607"/>
      <c r="AF607"/>
      <c r="AG607" s="1432" t="s">
        <v>670</v>
      </c>
      <c r="AH607" s="1432"/>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485">
        <f>C564</f>
        <v>0</v>
      </c>
      <c r="H609" s="1485"/>
      <c r="I609" s="1485"/>
      <c r="J609" s="1485"/>
      <c r="K609" s="1485"/>
      <c r="L609" s="1485"/>
      <c r="M609" s="1485"/>
      <c r="N609" s="1485"/>
      <c r="O609" s="1485"/>
      <c r="P609" s="1485"/>
      <c r="Q609" s="1485"/>
      <c r="R609" s="1485"/>
      <c r="T609" s="55" t="s">
        <v>363</v>
      </c>
      <c r="U609" t="s">
        <v>464</v>
      </c>
      <c r="Z609" s="1485">
        <f>C565</f>
        <v>0</v>
      </c>
      <c r="AA609" s="1485"/>
      <c r="AB609" s="1485"/>
      <c r="AC609" s="1485"/>
      <c r="AD609" s="1485"/>
      <c r="AE609" s="1485"/>
      <c r="AF609" s="1485"/>
      <c r="AG609" s="1485"/>
      <c r="AH609" s="1485"/>
      <c r="AI609" s="1485"/>
      <c r="AJ609" s="1485"/>
      <c r="AK609" s="1485"/>
      <c r="AZ609" s="3"/>
      <c r="BA609" s="3"/>
      <c r="BB609" s="3"/>
      <c r="BC609" s="3"/>
    </row>
    <row r="610" spans="1:55" ht="12.9" customHeight="1">
      <c r="B610" t="s">
        <v>85</v>
      </c>
      <c r="G610" s="1438"/>
      <c r="H610" s="1438"/>
      <c r="I610" s="1438"/>
      <c r="J610" s="1438"/>
      <c r="K610" s="1438"/>
      <c r="L610" s="1438"/>
      <c r="M610" s="1438"/>
      <c r="N610" s="1438"/>
      <c r="O610" s="1438"/>
      <c r="P610" s="1438"/>
      <c r="Q610" s="1438"/>
      <c r="R610" s="1438"/>
      <c r="U610" t="s">
        <v>85</v>
      </c>
      <c r="Z610" s="1438"/>
      <c r="AA610" s="1438"/>
      <c r="AB610" s="1438"/>
      <c r="AC610" s="1438"/>
      <c r="AD610" s="1438"/>
      <c r="AE610" s="1438"/>
      <c r="AF610" s="1438"/>
      <c r="AG610" s="1438"/>
      <c r="AH610" s="1438"/>
      <c r="AI610" s="1438"/>
      <c r="AJ610" s="1438"/>
      <c r="AK610" s="1438"/>
      <c r="AZ610" s="3"/>
      <c r="BA610" s="3"/>
      <c r="BB610" s="3"/>
      <c r="BC610" s="3"/>
    </row>
    <row r="611" spans="1:55" ht="12.9" customHeight="1">
      <c r="B611" t="s">
        <v>581</v>
      </c>
      <c r="G611" s="1438"/>
      <c r="H611" s="1438"/>
      <c r="I611" s="1438"/>
      <c r="J611" s="1438"/>
      <c r="K611" s="1438"/>
      <c r="L611" s="1438"/>
      <c r="M611" s="1438"/>
      <c r="N611" s="1438"/>
      <c r="O611" s="1438"/>
      <c r="P611" s="1438"/>
      <c r="Q611" s="1438"/>
      <c r="R611" s="1438"/>
      <c r="U611" t="s">
        <v>581</v>
      </c>
      <c r="Z611" s="1375"/>
      <c r="AA611" s="1375"/>
      <c r="AB611" s="1375"/>
      <c r="AC611" s="1375"/>
      <c r="AD611" s="1375"/>
      <c r="AE611" s="1375"/>
      <c r="AF611" s="1375"/>
      <c r="AG611" s="1375"/>
      <c r="AH611" s="1375"/>
      <c r="AI611" s="1375"/>
      <c r="AJ611" s="1375"/>
      <c r="AK611" s="1375"/>
      <c r="AZ611" s="3"/>
      <c r="BA611" s="3"/>
      <c r="BB611" s="3"/>
      <c r="BC611" s="3"/>
    </row>
    <row r="612" spans="1:55" ht="12.9" customHeight="1">
      <c r="B612" t="s">
        <v>17</v>
      </c>
      <c r="G612" s="1438"/>
      <c r="H612" s="1438"/>
      <c r="I612" s="1438"/>
      <c r="J612" s="1438"/>
      <c r="K612" s="1438"/>
      <c r="L612" s="1438"/>
      <c r="M612" s="1438"/>
      <c r="N612" s="1438"/>
      <c r="O612" s="1438"/>
      <c r="P612" s="1438"/>
      <c r="Q612" s="1438"/>
      <c r="R612" s="1438"/>
      <c r="U612" t="s">
        <v>17</v>
      </c>
      <c r="Z612" s="1375"/>
      <c r="AA612" s="1375"/>
      <c r="AB612" s="1375"/>
      <c r="AC612" s="1375"/>
      <c r="AD612" s="1375"/>
      <c r="AE612" s="1375"/>
      <c r="AF612" s="1375"/>
      <c r="AG612" s="1375"/>
      <c r="AH612" s="1375"/>
      <c r="AI612" s="1375"/>
      <c r="AJ612" s="1375"/>
      <c r="AK612" s="1375"/>
      <c r="AZ612" s="3"/>
      <c r="BA612" s="3"/>
      <c r="BB612" s="3"/>
      <c r="BC612" s="3"/>
    </row>
    <row r="613" spans="1:55" ht="12.9"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2.9" customHeight="1">
      <c r="B614" t="s">
        <v>18</v>
      </c>
      <c r="H614" s="1438"/>
      <c r="I614" s="1438"/>
      <c r="J614" s="1438"/>
      <c r="K614" s="1438"/>
      <c r="L614" s="1438"/>
      <c r="M614" s="1438"/>
      <c r="N614" s="1438"/>
      <c r="O614" s="1438"/>
      <c r="P614" s="1438"/>
      <c r="Q614" s="1438"/>
      <c r="R614" s="1438"/>
      <c r="U614" t="s">
        <v>18</v>
      </c>
      <c r="AA614" s="1438"/>
      <c r="AB614" s="1438"/>
      <c r="AC614" s="1438"/>
      <c r="AD614" s="1438"/>
      <c r="AE614" s="1438"/>
      <c r="AF614" s="1438"/>
      <c r="AG614" s="1438"/>
      <c r="AH614" s="1438"/>
      <c r="AI614" s="1438"/>
      <c r="AJ614" s="1438"/>
      <c r="AK614" s="1438"/>
      <c r="AU614" s="899"/>
      <c r="AV614" s="899"/>
      <c r="AW614" s="899"/>
      <c r="AX614" s="899"/>
      <c r="AY614" s="899"/>
      <c r="AZ614" s="3"/>
      <c r="BA614" s="3"/>
      <c r="BB614" s="3"/>
      <c r="BC614" s="3"/>
    </row>
    <row r="615" spans="1:55" ht="12.9" customHeight="1">
      <c r="B615" t="s">
        <v>20</v>
      </c>
      <c r="N615" s="1432" t="s">
        <v>670</v>
      </c>
      <c r="O615" s="1432"/>
      <c r="U615" t="s">
        <v>20</v>
      </c>
      <c r="AG615" s="1432" t="s">
        <v>670</v>
      </c>
      <c r="AH615" s="1432"/>
      <c r="AU615" s="899"/>
      <c r="AV615" s="899"/>
      <c r="AW615" s="899"/>
      <c r="AX615" s="899"/>
      <c r="AY615" s="899"/>
      <c r="AZ615" s="3"/>
      <c r="BA615" s="3"/>
      <c r="BB615" s="3"/>
      <c r="BC615" s="3"/>
    </row>
    <row r="616" spans="1:55" ht="12.9" customHeight="1">
      <c r="AZ616" s="3"/>
      <c r="BA616" s="3"/>
      <c r="BB616" s="3"/>
      <c r="BC616" s="3"/>
    </row>
    <row r="617" spans="1:55" ht="12.9"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665" t="s">
        <v>2103</v>
      </c>
      <c r="C624" s="1665"/>
      <c r="D624" s="1665"/>
      <c r="E624" s="1665"/>
      <c r="F624" s="1665"/>
      <c r="G624" s="1665"/>
      <c r="H624" s="1665"/>
      <c r="I624" s="1665"/>
      <c r="J624" s="1665"/>
      <c r="K624" s="1665"/>
      <c r="L624" s="1665"/>
      <c r="M624" s="1667" t="s">
        <v>2104</v>
      </c>
      <c r="N624" s="1667"/>
      <c r="O624" s="1667"/>
      <c r="P624" s="1667"/>
      <c r="Q624" s="1667" t="s">
        <v>1853</v>
      </c>
      <c r="R624" s="1667"/>
      <c r="S624" s="1667"/>
      <c r="T624" s="1667" t="s">
        <v>1851</v>
      </c>
      <c r="U624" s="1667"/>
      <c r="V624" s="1667"/>
      <c r="W624" s="1666" t="s">
        <v>454</v>
      </c>
      <c r="X624" s="1666"/>
      <c r="Y624" s="1666"/>
      <c r="Z624" s="1401" t="s">
        <v>2133</v>
      </c>
      <c r="AA624" s="1401"/>
      <c r="AB624" s="1402"/>
      <c r="AC624" s="1677" t="s">
        <v>1677</v>
      </c>
      <c r="AD624" s="1678"/>
      <c r="AE624" s="1679"/>
      <c r="AF624" s="1400" t="s">
        <v>1931</v>
      </c>
      <c r="AG624" s="1401"/>
      <c r="AH624" s="1401"/>
      <c r="AI624" s="1401"/>
      <c r="AJ624" s="1402"/>
      <c r="AK624" s="1668" t="s">
        <v>1932</v>
      </c>
      <c r="AL624" s="1669"/>
      <c r="AM624" s="1669"/>
      <c r="AN624" s="1670"/>
      <c r="AO624" s="1667" t="s">
        <v>455</v>
      </c>
      <c r="AP624" s="1667"/>
      <c r="AQ624" s="1667"/>
      <c r="AR624" s="1667"/>
      <c r="AS624" s="1667"/>
      <c r="AU624" s="3"/>
      <c r="AZ624" s="3"/>
      <c r="BA624" s="3"/>
      <c r="BB624" s="3"/>
      <c r="BC624" s="3"/>
    </row>
    <row r="625" spans="2:157" ht="12.9" customHeight="1">
      <c r="B625" s="1665"/>
      <c r="C625" s="1665"/>
      <c r="D625" s="1665"/>
      <c r="E625" s="1665"/>
      <c r="F625" s="1665"/>
      <c r="G625" s="1665"/>
      <c r="H625" s="1665"/>
      <c r="I625" s="1665"/>
      <c r="J625" s="1665"/>
      <c r="K625" s="1665"/>
      <c r="L625" s="1665"/>
      <c r="M625" s="1667"/>
      <c r="N625" s="1667"/>
      <c r="O625" s="1667"/>
      <c r="P625" s="1667"/>
      <c r="Q625" s="1667"/>
      <c r="R625" s="1667"/>
      <c r="S625" s="1667"/>
      <c r="T625" s="1667"/>
      <c r="U625" s="1667"/>
      <c r="V625" s="1667"/>
      <c r="W625" s="1666"/>
      <c r="X625" s="1666"/>
      <c r="Y625" s="1666"/>
      <c r="Z625" s="1404"/>
      <c r="AA625" s="1404"/>
      <c r="AB625" s="1405"/>
      <c r="AC625" s="1680"/>
      <c r="AD625" s="1681"/>
      <c r="AE625" s="1682"/>
      <c r="AF625" s="1403"/>
      <c r="AG625" s="1404"/>
      <c r="AH625" s="1404"/>
      <c r="AI625" s="1404"/>
      <c r="AJ625" s="1405"/>
      <c r="AK625" s="1671"/>
      <c r="AL625" s="1672"/>
      <c r="AM625" s="1672"/>
      <c r="AN625" s="1673"/>
      <c r="AO625" s="1667"/>
      <c r="AP625" s="1667"/>
      <c r="AQ625" s="1667"/>
      <c r="AR625" s="1667"/>
      <c r="AS625" s="1667"/>
      <c r="AU625" s="3"/>
      <c r="AZ625" s="3"/>
      <c r="BA625" s="3"/>
      <c r="BB625" s="3"/>
      <c r="BC625" s="3"/>
      <c r="BD625" s="3"/>
    </row>
    <row r="626" spans="2:157" ht="12.9" customHeight="1">
      <c r="B626" s="1665"/>
      <c r="C626" s="1665"/>
      <c r="D626" s="1665"/>
      <c r="E626" s="1665"/>
      <c r="F626" s="1665"/>
      <c r="G626" s="1665"/>
      <c r="H626" s="1665"/>
      <c r="I626" s="1665"/>
      <c r="J626" s="1665"/>
      <c r="K626" s="1665"/>
      <c r="L626" s="1665"/>
      <c r="M626" s="1667"/>
      <c r="N626" s="1667"/>
      <c r="O626" s="1667"/>
      <c r="P626" s="1667"/>
      <c r="Q626" s="1667"/>
      <c r="R626" s="1667"/>
      <c r="S626" s="1667"/>
      <c r="T626" s="1667"/>
      <c r="U626" s="1667"/>
      <c r="V626" s="1667"/>
      <c r="W626" s="1666"/>
      <c r="X626" s="1666"/>
      <c r="Y626" s="1666"/>
      <c r="Z626" s="1407"/>
      <c r="AA626" s="1407"/>
      <c r="AB626" s="1408"/>
      <c r="AC626" s="1683"/>
      <c r="AD626" s="1684"/>
      <c r="AE626" s="1685"/>
      <c r="AF626" s="1406"/>
      <c r="AG626" s="1407"/>
      <c r="AH626" s="1407"/>
      <c r="AI626" s="1407"/>
      <c r="AJ626" s="1408"/>
      <c r="AK626" s="1674"/>
      <c r="AL626" s="1675"/>
      <c r="AM626" s="1675"/>
      <c r="AN626" s="1676"/>
      <c r="AO626" s="1667"/>
      <c r="AP626" s="1667"/>
      <c r="AQ626" s="1667"/>
      <c r="AR626" s="1667"/>
      <c r="AS626" s="1667"/>
      <c r="AT626" s="3"/>
      <c r="AU626" s="3"/>
      <c r="AZ626" s="3"/>
      <c r="BA626" s="3"/>
      <c r="BB626" s="3"/>
      <c r="BC626" s="3"/>
      <c r="BD626" s="3"/>
    </row>
    <row r="627" spans="2:157" ht="12.9" customHeight="1">
      <c r="B627" s="51" t="s">
        <v>112</v>
      </c>
      <c r="C627" s="1481" t="s">
        <v>2700</v>
      </c>
      <c r="D627" s="1481"/>
      <c r="E627" s="1481"/>
      <c r="F627" s="1481"/>
      <c r="G627" s="1481"/>
      <c r="H627" s="1481"/>
      <c r="I627" s="1481"/>
      <c r="J627" s="1481"/>
      <c r="K627" s="1481"/>
      <c r="L627" s="1481"/>
      <c r="M627" s="1495" t="s">
        <v>2114</v>
      </c>
      <c r="N627" s="1495"/>
      <c r="O627" s="1495"/>
      <c r="P627" s="1495"/>
      <c r="Q627" s="1511">
        <v>480</v>
      </c>
      <c r="R627" s="1511"/>
      <c r="S627" s="1512"/>
      <c r="T627" s="1510">
        <v>480</v>
      </c>
      <c r="U627" s="1511"/>
      <c r="V627" s="1512"/>
      <c r="W627" s="1482">
        <v>5.9499999999999997E-2</v>
      </c>
      <c r="X627" s="1483"/>
      <c r="Y627" s="1484"/>
      <c r="Z627" s="1478" t="s">
        <v>2132</v>
      </c>
      <c r="AA627" s="1479"/>
      <c r="AB627" s="1480"/>
      <c r="AC627" s="1385">
        <v>1</v>
      </c>
      <c r="AD627" s="1386"/>
      <c r="AE627" s="1387"/>
      <c r="AF627" s="1492">
        <v>704816</v>
      </c>
      <c r="AG627" s="1493"/>
      <c r="AH627" s="1493"/>
      <c r="AI627" s="1493"/>
      <c r="AJ627" s="1494"/>
      <c r="AK627" s="1486"/>
      <c r="AL627" s="1487"/>
      <c r="AM627" s="1487"/>
      <c r="AN627" s="1488"/>
      <c r="AO627" s="1631">
        <v>10742859</v>
      </c>
      <c r="AP627" s="1631"/>
      <c r="AQ627" s="1631"/>
      <c r="AR627" s="1631"/>
      <c r="AS627" s="1631"/>
      <c r="AT627" s="3"/>
      <c r="AU627" s="3"/>
      <c r="AZ627" s="3"/>
      <c r="BA627" s="3"/>
      <c r="BB627" s="3"/>
      <c r="BC627" s="3"/>
      <c r="BD627" s="3"/>
    </row>
    <row r="628" spans="2:157" ht="12.9" customHeight="1">
      <c r="B628" s="52" t="s">
        <v>113</v>
      </c>
      <c r="C628" s="1481" t="s">
        <v>2321</v>
      </c>
      <c r="D628" s="1481"/>
      <c r="E628" s="1481"/>
      <c r="F628" s="1481"/>
      <c r="G628" s="1481"/>
      <c r="H628" s="1481"/>
      <c r="I628" s="1481"/>
      <c r="J628" s="1481"/>
      <c r="K628" s="1481"/>
      <c r="L628" s="1481"/>
      <c r="M628" s="1495" t="s">
        <v>2107</v>
      </c>
      <c r="N628" s="1495"/>
      <c r="O628" s="1495"/>
      <c r="P628" s="1495"/>
      <c r="Q628" s="1510">
        <f>15*12</f>
        <v>180</v>
      </c>
      <c r="R628" s="1511"/>
      <c r="S628" s="1512"/>
      <c r="T628" s="1510">
        <v>180</v>
      </c>
      <c r="U628" s="1511"/>
      <c r="V628" s="1512"/>
      <c r="W628" s="1482">
        <v>0</v>
      </c>
      <c r="X628" s="1483"/>
      <c r="Y628" s="1484"/>
      <c r="Z628" s="1478" t="s">
        <v>458</v>
      </c>
      <c r="AA628" s="1479"/>
      <c r="AB628" s="1480"/>
      <c r="AC628" s="1385"/>
      <c r="AD628" s="1386"/>
      <c r="AE628" s="1387"/>
      <c r="AF628" s="1492"/>
      <c r="AG628" s="1493"/>
      <c r="AH628" s="1493"/>
      <c r="AI628" s="1493"/>
      <c r="AJ628" s="1494"/>
      <c r="AK628" s="1486"/>
      <c r="AL628" s="1487"/>
      <c r="AM628" s="1487"/>
      <c r="AN628" s="1488"/>
      <c r="AO628" s="1477">
        <v>3233250</v>
      </c>
      <c r="AP628" s="1345"/>
      <c r="AQ628" s="1345"/>
      <c r="AR628" s="1345"/>
      <c r="AS628" s="1346"/>
      <c r="AT628" s="1148" t="str">
        <f>IF(AND(NOT(C627=""),C628="",NOT(C629="")),"!","")</f>
        <v/>
      </c>
      <c r="AU628" s="3"/>
      <c r="AZ628" s="3"/>
      <c r="BA628" s="3"/>
      <c r="BB628" s="3"/>
      <c r="BC628" s="3"/>
      <c r="BD628" s="3"/>
    </row>
    <row r="629" spans="2:157" ht="12.9" customHeight="1">
      <c r="B629" s="52" t="s">
        <v>119</v>
      </c>
      <c r="C629" s="1481"/>
      <c r="D629" s="1481"/>
      <c r="E629" s="1481"/>
      <c r="F629" s="1481"/>
      <c r="G629" s="1481"/>
      <c r="H629" s="1481"/>
      <c r="I629" s="1481"/>
      <c r="J629" s="1481"/>
      <c r="K629" s="1481"/>
      <c r="L629" s="1481"/>
      <c r="M629" s="1495" t="s">
        <v>1185</v>
      </c>
      <c r="N629" s="1495"/>
      <c r="O629" s="1495"/>
      <c r="P629" s="1495"/>
      <c r="Q629" s="1510"/>
      <c r="R629" s="1511"/>
      <c r="S629" s="1512"/>
      <c r="T629" s="1510"/>
      <c r="U629" s="1511"/>
      <c r="V629" s="1512"/>
      <c r="W629" s="1482"/>
      <c r="X629" s="1483"/>
      <c r="Y629" s="1484"/>
      <c r="Z629" s="1478" t="s">
        <v>1185</v>
      </c>
      <c r="AA629" s="1479"/>
      <c r="AB629" s="1480"/>
      <c r="AC629" s="1385"/>
      <c r="AD629" s="1386"/>
      <c r="AE629" s="1387"/>
      <c r="AF629" s="1492"/>
      <c r="AG629" s="1493"/>
      <c r="AH629" s="1493"/>
      <c r="AI629" s="1493"/>
      <c r="AJ629" s="1494"/>
      <c r="AK629" s="1486"/>
      <c r="AL629" s="1487"/>
      <c r="AM629" s="1487"/>
      <c r="AN629" s="1488"/>
      <c r="AO629" s="1477"/>
      <c r="AP629" s="1345"/>
      <c r="AQ629" s="1345"/>
      <c r="AR629" s="1345"/>
      <c r="AS629" s="1346"/>
      <c r="AT629" s="1148" t="str">
        <f t="shared" ref="AT629:AT638" si="1">IF(AND(NOT(C628=""),C629="",NOT(C630="")),"!","")</f>
        <v/>
      </c>
      <c r="AU629" s="3"/>
      <c r="AZ629" s="3"/>
      <c r="BA629" s="3"/>
      <c r="BB629" s="3"/>
      <c r="BC629" s="3"/>
      <c r="BD629" s="3"/>
    </row>
    <row r="630" spans="2:157" ht="12.9" customHeight="1">
      <c r="B630" s="52" t="s">
        <v>582</v>
      </c>
      <c r="C630" s="1491"/>
      <c r="D630" s="1491"/>
      <c r="E630" s="1491"/>
      <c r="F630" s="1491"/>
      <c r="G630" s="1491"/>
      <c r="H630" s="1491"/>
      <c r="I630" s="1491"/>
      <c r="J630" s="1491"/>
      <c r="K630" s="1491"/>
      <c r="L630" s="1491"/>
      <c r="M630" s="1495" t="s">
        <v>1185</v>
      </c>
      <c r="N630" s="1495"/>
      <c r="O630" s="1495"/>
      <c r="P630" s="1495"/>
      <c r="Q630" s="1510"/>
      <c r="R630" s="1511"/>
      <c r="S630" s="1512"/>
      <c r="T630" s="1510"/>
      <c r="U630" s="1511"/>
      <c r="V630" s="1512"/>
      <c r="W630" s="1482"/>
      <c r="X630" s="1483"/>
      <c r="Y630" s="1484"/>
      <c r="Z630" s="1478" t="s">
        <v>1185</v>
      </c>
      <c r="AA630" s="1479"/>
      <c r="AB630" s="1480"/>
      <c r="AC630" s="1385"/>
      <c r="AD630" s="1386"/>
      <c r="AE630" s="1387"/>
      <c r="AF630" s="1492"/>
      <c r="AG630" s="1493"/>
      <c r="AH630" s="1493"/>
      <c r="AI630" s="1493"/>
      <c r="AJ630" s="1494"/>
      <c r="AK630" s="1486"/>
      <c r="AL630" s="1487"/>
      <c r="AM630" s="1487"/>
      <c r="AN630" s="1488"/>
      <c r="AO630" s="1477"/>
      <c r="AP630" s="1345"/>
      <c r="AQ630" s="1345"/>
      <c r="AR630" s="1345"/>
      <c r="AS630" s="1346"/>
      <c r="AT630" s="1148" t="str">
        <f t="shared" si="1"/>
        <v/>
      </c>
      <c r="AU630" s="3"/>
      <c r="AZ630" s="3"/>
      <c r="BA630" s="3"/>
      <c r="BB630" s="3"/>
      <c r="BC630" s="3"/>
      <c r="BD630" s="3"/>
    </row>
    <row r="631" spans="2:157" ht="12.9" customHeight="1">
      <c r="B631" s="52" t="s">
        <v>764</v>
      </c>
      <c r="C631" s="1491"/>
      <c r="D631" s="1491"/>
      <c r="E631" s="1491"/>
      <c r="F631" s="1491"/>
      <c r="G631" s="1491"/>
      <c r="H631" s="1491"/>
      <c r="I631" s="1491"/>
      <c r="J631" s="1491"/>
      <c r="K631" s="1491"/>
      <c r="L631" s="1491"/>
      <c r="M631" s="1495" t="s">
        <v>1185</v>
      </c>
      <c r="N631" s="1495"/>
      <c r="O631" s="1495"/>
      <c r="P631" s="1495"/>
      <c r="Q631" s="1510"/>
      <c r="R631" s="1511"/>
      <c r="S631" s="1512"/>
      <c r="T631" s="1510"/>
      <c r="U631" s="1511"/>
      <c r="V631" s="1512"/>
      <c r="W631" s="1482"/>
      <c r="X631" s="1483"/>
      <c r="Y631" s="1484"/>
      <c r="Z631" s="1478" t="s">
        <v>1185</v>
      </c>
      <c r="AA631" s="1479"/>
      <c r="AB631" s="1480"/>
      <c r="AC631" s="1385"/>
      <c r="AD631" s="1386"/>
      <c r="AE631" s="1387"/>
      <c r="AF631" s="1492"/>
      <c r="AG631" s="1493"/>
      <c r="AH631" s="1493"/>
      <c r="AI631" s="1493"/>
      <c r="AJ631" s="1494"/>
      <c r="AK631" s="1486"/>
      <c r="AL631" s="1487"/>
      <c r="AM631" s="1487"/>
      <c r="AN631" s="1488"/>
      <c r="AO631" s="1477"/>
      <c r="AP631" s="1345"/>
      <c r="AQ631" s="1345"/>
      <c r="AR631" s="1345"/>
      <c r="AS631" s="1346"/>
      <c r="AT631" s="1148" t="str">
        <f t="shared" si="1"/>
        <v/>
      </c>
      <c r="AU631" s="3"/>
      <c r="AZ631" s="3"/>
      <c r="BA631" s="3"/>
      <c r="BB631" s="3"/>
      <c r="BC631" s="3"/>
      <c r="BD631" s="3"/>
    </row>
    <row r="632" spans="2:157" ht="12.9" customHeight="1">
      <c r="B632" s="52" t="s">
        <v>585</v>
      </c>
      <c r="C632" s="1491"/>
      <c r="D632" s="1491"/>
      <c r="E632" s="1491"/>
      <c r="F632" s="1491"/>
      <c r="G632" s="1491"/>
      <c r="H632" s="1491"/>
      <c r="I632" s="1491"/>
      <c r="J632" s="1491"/>
      <c r="K632" s="1491"/>
      <c r="L632" s="1491"/>
      <c r="M632" s="1495" t="s">
        <v>1185</v>
      </c>
      <c r="N632" s="1495"/>
      <c r="O632" s="1495"/>
      <c r="P632" s="1495"/>
      <c r="Q632" s="1510"/>
      <c r="R632" s="1511"/>
      <c r="S632" s="1512"/>
      <c r="T632" s="1510"/>
      <c r="U632" s="1511"/>
      <c r="V632" s="1512"/>
      <c r="W632" s="1482"/>
      <c r="X632" s="1483"/>
      <c r="Y632" s="1484"/>
      <c r="Z632" s="1478" t="s">
        <v>1185</v>
      </c>
      <c r="AA632" s="1479"/>
      <c r="AB632" s="1480"/>
      <c r="AC632" s="1385"/>
      <c r="AD632" s="1386"/>
      <c r="AE632" s="1387"/>
      <c r="AF632" s="1492"/>
      <c r="AG632" s="1493"/>
      <c r="AH632" s="1493"/>
      <c r="AI632" s="1493"/>
      <c r="AJ632" s="1494"/>
      <c r="AK632" s="1486"/>
      <c r="AL632" s="1487"/>
      <c r="AM632" s="1487"/>
      <c r="AN632" s="1488"/>
      <c r="AO632" s="1477"/>
      <c r="AP632" s="1345"/>
      <c r="AQ632" s="1345"/>
      <c r="AR632" s="1345"/>
      <c r="AS632" s="1346"/>
      <c r="AT632" s="1148" t="str">
        <f t="shared" si="1"/>
        <v/>
      </c>
      <c r="AU632" s="3"/>
      <c r="AZ632" s="3"/>
      <c r="BA632" s="3"/>
      <c r="BB632" s="3"/>
      <c r="BC632" s="3"/>
      <c r="BD632" s="3"/>
    </row>
    <row r="633" spans="2:157" ht="12.9" customHeight="1">
      <c r="B633" s="52" t="s">
        <v>456</v>
      </c>
      <c r="C633" s="1491"/>
      <c r="D633" s="1491"/>
      <c r="E633" s="1491"/>
      <c r="F633" s="1491"/>
      <c r="G633" s="1491"/>
      <c r="H633" s="1491"/>
      <c r="I633" s="1491"/>
      <c r="J633" s="1491"/>
      <c r="K633" s="1491"/>
      <c r="L633" s="1491"/>
      <c r="M633" s="1495" t="s">
        <v>1185</v>
      </c>
      <c r="N633" s="1495"/>
      <c r="O633" s="1495"/>
      <c r="P633" s="1495"/>
      <c r="Q633" s="1510"/>
      <c r="R633" s="1511"/>
      <c r="S633" s="1512"/>
      <c r="T633" s="1510"/>
      <c r="U633" s="1511"/>
      <c r="V633" s="1512"/>
      <c r="W633" s="1482"/>
      <c r="X633" s="1483"/>
      <c r="Y633" s="1484"/>
      <c r="Z633" s="1478" t="s">
        <v>1185</v>
      </c>
      <c r="AA633" s="1479"/>
      <c r="AB633" s="1480"/>
      <c r="AC633" s="1385"/>
      <c r="AD633" s="1386"/>
      <c r="AE633" s="1387"/>
      <c r="AF633" s="1492"/>
      <c r="AG633" s="1493"/>
      <c r="AH633" s="1493"/>
      <c r="AI633" s="1493"/>
      <c r="AJ633" s="1494"/>
      <c r="AK633" s="1486"/>
      <c r="AL633" s="1487"/>
      <c r="AM633" s="1487"/>
      <c r="AN633" s="1488"/>
      <c r="AO633" s="1477"/>
      <c r="AP633" s="1345"/>
      <c r="AQ633" s="1345"/>
      <c r="AR633" s="1345"/>
      <c r="AS633" s="1346"/>
      <c r="AT633" s="1148" t="str">
        <f t="shared" si="1"/>
        <v/>
      </c>
      <c r="AU633" s="3"/>
      <c r="AV633" s="3"/>
      <c r="AW633" s="3"/>
      <c r="AX633" s="3"/>
      <c r="AY633" s="3"/>
      <c r="AZ633" s="3"/>
      <c r="BA633" s="3"/>
      <c r="BB633" s="3"/>
      <c r="BC633" s="3"/>
      <c r="BD633" s="3"/>
    </row>
    <row r="634" spans="2:157" ht="12.9" customHeight="1">
      <c r="B634" s="52" t="s">
        <v>457</v>
      </c>
      <c r="C634" s="1491"/>
      <c r="D634" s="1491"/>
      <c r="E634" s="1491"/>
      <c r="F634" s="1491"/>
      <c r="G634" s="1491"/>
      <c r="H634" s="1491"/>
      <c r="I634" s="1491"/>
      <c r="J634" s="1491"/>
      <c r="K634" s="1491"/>
      <c r="L634" s="1491"/>
      <c r="M634" s="1495" t="s">
        <v>1185</v>
      </c>
      <c r="N634" s="1495"/>
      <c r="O634" s="1495"/>
      <c r="P634" s="1495"/>
      <c r="Q634" s="1510"/>
      <c r="R634" s="1511"/>
      <c r="S634" s="1512"/>
      <c r="T634" s="1510"/>
      <c r="U634" s="1511"/>
      <c r="V634" s="1512"/>
      <c r="W634" s="1482"/>
      <c r="X634" s="1483"/>
      <c r="Y634" s="1484"/>
      <c r="Z634" s="1478" t="s">
        <v>1185</v>
      </c>
      <c r="AA634" s="1479"/>
      <c r="AB634" s="1480"/>
      <c r="AC634" s="1385"/>
      <c r="AD634" s="1386"/>
      <c r="AE634" s="1387"/>
      <c r="AF634" s="1492"/>
      <c r="AG634" s="1493"/>
      <c r="AH634" s="1493"/>
      <c r="AI634" s="1493"/>
      <c r="AJ634" s="1494"/>
      <c r="AK634" s="1486"/>
      <c r="AL634" s="1487"/>
      <c r="AM634" s="1487"/>
      <c r="AN634" s="1488"/>
      <c r="AO634" s="1477"/>
      <c r="AP634" s="1345"/>
      <c r="AQ634" s="1345"/>
      <c r="AR634" s="1345"/>
      <c r="AS634" s="1346"/>
      <c r="AT634" s="1148" t="str">
        <f t="shared" si="1"/>
        <v/>
      </c>
      <c r="AU634" s="3"/>
      <c r="AV634" s="3"/>
      <c r="AW634" s="3"/>
      <c r="AX634" s="3"/>
      <c r="AY634" s="3"/>
      <c r="AZ634" s="3"/>
      <c r="BA634" s="3" t="s">
        <v>1185</v>
      </c>
      <c r="BB634" s="3"/>
      <c r="BC634" s="3"/>
      <c r="BD634" s="3"/>
    </row>
    <row r="635" spans="2:157" ht="12.9" customHeight="1">
      <c r="B635" s="52" t="s">
        <v>462</v>
      </c>
      <c r="C635" s="1491"/>
      <c r="D635" s="1491"/>
      <c r="E635" s="1491"/>
      <c r="F635" s="1491"/>
      <c r="G635" s="1491"/>
      <c r="H635" s="1491"/>
      <c r="I635" s="1491"/>
      <c r="J635" s="1491"/>
      <c r="K635" s="1491"/>
      <c r="L635" s="1491"/>
      <c r="M635" s="1495" t="s">
        <v>1185</v>
      </c>
      <c r="N635" s="1495"/>
      <c r="O635" s="1495"/>
      <c r="P635" s="1495"/>
      <c r="Q635" s="1510"/>
      <c r="R635" s="1511"/>
      <c r="S635" s="1512"/>
      <c r="T635" s="1510"/>
      <c r="U635" s="1511"/>
      <c r="V635" s="1512"/>
      <c r="W635" s="1482"/>
      <c r="X635" s="1483"/>
      <c r="Y635" s="1484"/>
      <c r="Z635" s="1478" t="s">
        <v>1185</v>
      </c>
      <c r="AA635" s="1479"/>
      <c r="AB635" s="1480"/>
      <c r="AC635" s="1385"/>
      <c r="AD635" s="1386"/>
      <c r="AE635" s="1387"/>
      <c r="AF635" s="1492"/>
      <c r="AG635" s="1493"/>
      <c r="AH635" s="1493"/>
      <c r="AI635" s="1493"/>
      <c r="AJ635" s="1494"/>
      <c r="AK635" s="1486"/>
      <c r="AL635" s="1487"/>
      <c r="AM635" s="1487"/>
      <c r="AN635" s="1488"/>
      <c r="AO635" s="1477"/>
      <c r="AP635" s="1345"/>
      <c r="AQ635" s="1345"/>
      <c r="AR635" s="1345"/>
      <c r="AS635" s="1346"/>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3" t="e">
        <f t="shared" ref="DX635:DX669" si="2">EZ718*(CP718/$CP$753)</f>
        <v>#VALUE!</v>
      </c>
      <c r="DY635" s="1373"/>
      <c r="DZ635" s="1373"/>
      <c r="EA635" s="1373"/>
      <c r="EB635" s="1373"/>
      <c r="EC635" s="1373">
        <f t="shared" ref="EC635:EC669" si="3">FE718*(CU718/$CU$753)</f>
        <v>66.875</v>
      </c>
      <c r="ED635" s="1373"/>
      <c r="EE635" s="1373"/>
      <c r="EF635" s="1373"/>
      <c r="EG635" s="1373"/>
      <c r="EH635" s="1373" t="e">
        <f t="shared" ref="EH635:EH669" si="4">FJ718*(CZ718/$CZ$753)</f>
        <v>#VALUE!</v>
      </c>
      <c r="EI635" s="1373"/>
      <c r="EJ635" s="1373"/>
      <c r="EK635" s="1373"/>
      <c r="EL635" s="1373"/>
      <c r="EM635" s="1373" t="e">
        <f t="shared" ref="EM635:EM669" si="5">FO718*(DE718/$DE$753)</f>
        <v>#VALUE!</v>
      </c>
      <c r="EN635" s="1373"/>
      <c r="EO635" s="1373"/>
      <c r="EP635" s="1373"/>
      <c r="EQ635" s="1373"/>
      <c r="ER635" s="1373" t="e">
        <f t="shared" ref="ER635:ER669" si="6">FT718*(DJ718/$DJ$753)</f>
        <v>#VALUE!</v>
      </c>
      <c r="ES635" s="1373"/>
      <c r="ET635" s="1373"/>
      <c r="EU635" s="1373"/>
      <c r="EV635" s="1373"/>
      <c r="EW635" s="1373" t="e">
        <f t="shared" ref="EW635:EW669" si="7">FY718*(DO718/$DO$753)</f>
        <v>#VALUE!</v>
      </c>
      <c r="EX635" s="1373"/>
      <c r="EY635" s="1373"/>
      <c r="EZ635" s="1373"/>
      <c r="FA635" s="1373"/>
    </row>
    <row r="636" spans="2:157" ht="12.9" customHeight="1">
      <c r="B636" s="52" t="s">
        <v>647</v>
      </c>
      <c r="C636" s="1491"/>
      <c r="D636" s="1491"/>
      <c r="E636" s="1491"/>
      <c r="F636" s="1491"/>
      <c r="G636" s="1491"/>
      <c r="H636" s="1491"/>
      <c r="I636" s="1491"/>
      <c r="J636" s="1491"/>
      <c r="K636" s="1491"/>
      <c r="L636" s="1491"/>
      <c r="M636" s="1495" t="s">
        <v>1185</v>
      </c>
      <c r="N636" s="1495"/>
      <c r="O636" s="1495"/>
      <c r="P636" s="1495"/>
      <c r="Q636" s="1510"/>
      <c r="R636" s="1511"/>
      <c r="S636" s="1512"/>
      <c r="T636" s="1510"/>
      <c r="U636" s="1511"/>
      <c r="V636" s="1512"/>
      <c r="W636" s="1482"/>
      <c r="X636" s="1483"/>
      <c r="Y636" s="1484"/>
      <c r="Z636" s="1478" t="s">
        <v>1185</v>
      </c>
      <c r="AA636" s="1479"/>
      <c r="AB636" s="1480"/>
      <c r="AC636" s="1385"/>
      <c r="AD636" s="1386"/>
      <c r="AE636" s="1387"/>
      <c r="AF636" s="1492"/>
      <c r="AG636" s="1493"/>
      <c r="AH636" s="1493"/>
      <c r="AI636" s="1493"/>
      <c r="AJ636" s="1494"/>
      <c r="AK636" s="1486"/>
      <c r="AL636" s="1487"/>
      <c r="AM636" s="1487"/>
      <c r="AN636" s="1488"/>
      <c r="AO636" s="1477"/>
      <c r="AP636" s="1345"/>
      <c r="AQ636" s="1345"/>
      <c r="AR636" s="1345"/>
      <c r="AS636" s="1346"/>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3" t="e">
        <f t="shared" si="2"/>
        <v>#VALUE!</v>
      </c>
      <c r="DY636" s="1373"/>
      <c r="DZ636" s="1373"/>
      <c r="EA636" s="1373"/>
      <c r="EB636" s="1373"/>
      <c r="EC636" s="1373">
        <f t="shared" si="3"/>
        <v>140.46875</v>
      </c>
      <c r="ED636" s="1373"/>
      <c r="EE636" s="1373"/>
      <c r="EF636" s="1373"/>
      <c r="EG636" s="1373"/>
      <c r="EH636" s="1373" t="e">
        <f t="shared" si="4"/>
        <v>#VALUE!</v>
      </c>
      <c r="EI636" s="1373"/>
      <c r="EJ636" s="1373"/>
      <c r="EK636" s="1373"/>
      <c r="EL636" s="1373"/>
      <c r="EM636" s="1373" t="e">
        <f t="shared" si="5"/>
        <v>#VALUE!</v>
      </c>
      <c r="EN636" s="1373"/>
      <c r="EO636" s="1373"/>
      <c r="EP636" s="1373"/>
      <c r="EQ636" s="1373"/>
      <c r="ER636" s="1373" t="e">
        <f t="shared" si="6"/>
        <v>#VALUE!</v>
      </c>
      <c r="ES636" s="1373"/>
      <c r="ET636" s="1373"/>
      <c r="EU636" s="1373"/>
      <c r="EV636" s="1373"/>
      <c r="EW636" s="1373" t="e">
        <f t="shared" si="7"/>
        <v>#VALUE!</v>
      </c>
      <c r="EX636" s="1373"/>
      <c r="EY636" s="1373"/>
      <c r="EZ636" s="1373"/>
      <c r="FA636" s="1373"/>
    </row>
    <row r="637" spans="2:157" ht="12.9" customHeight="1">
      <c r="B637" s="52" t="s">
        <v>362</v>
      </c>
      <c r="C637" s="1491"/>
      <c r="D637" s="1491"/>
      <c r="E637" s="1491"/>
      <c r="F637" s="1491"/>
      <c r="G637" s="1491"/>
      <c r="H637" s="1491"/>
      <c r="I637" s="1491"/>
      <c r="J637" s="1491"/>
      <c r="K637" s="1491"/>
      <c r="L637" s="1491"/>
      <c r="M637" s="1495" t="s">
        <v>1185</v>
      </c>
      <c r="N637" s="1495"/>
      <c r="O637" s="1495"/>
      <c r="P637" s="1495"/>
      <c r="Q637" s="1510"/>
      <c r="R637" s="1511"/>
      <c r="S637" s="1512"/>
      <c r="T637" s="1510"/>
      <c r="U637" s="1511"/>
      <c r="V637" s="1512"/>
      <c r="W637" s="1482"/>
      <c r="X637" s="1483"/>
      <c r="Y637" s="1484"/>
      <c r="Z637" s="1478" t="s">
        <v>1185</v>
      </c>
      <c r="AA637" s="1479"/>
      <c r="AB637" s="1480"/>
      <c r="AC637" s="1385"/>
      <c r="AD637" s="1386"/>
      <c r="AE637" s="1387"/>
      <c r="AF637" s="1492"/>
      <c r="AG637" s="1493"/>
      <c r="AH637" s="1493"/>
      <c r="AI637" s="1493"/>
      <c r="AJ637" s="1494"/>
      <c r="AK637" s="1486"/>
      <c r="AL637" s="1487"/>
      <c r="AM637" s="1487"/>
      <c r="AN637" s="1488"/>
      <c r="AO637" s="1477"/>
      <c r="AP637" s="1345"/>
      <c r="AQ637" s="1345"/>
      <c r="AR637" s="1345"/>
      <c r="AS637" s="1346"/>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3" t="e">
        <f t="shared" si="2"/>
        <v>#VALUE!</v>
      </c>
      <c r="DY637" s="1373"/>
      <c r="DZ637" s="1373"/>
      <c r="EA637" s="1373"/>
      <c r="EB637" s="1373"/>
      <c r="EC637" s="1373">
        <f t="shared" si="3"/>
        <v>291.9375</v>
      </c>
      <c r="ED637" s="1373"/>
      <c r="EE637" s="1373"/>
      <c r="EF637" s="1373"/>
      <c r="EG637" s="1373"/>
      <c r="EH637" s="1373" t="e">
        <f t="shared" si="4"/>
        <v>#VALUE!</v>
      </c>
      <c r="EI637" s="1373"/>
      <c r="EJ637" s="1373"/>
      <c r="EK637" s="1373"/>
      <c r="EL637" s="1373"/>
      <c r="EM637" s="1373" t="e">
        <f t="shared" si="5"/>
        <v>#VALUE!</v>
      </c>
      <c r="EN637" s="1373"/>
      <c r="EO637" s="1373"/>
      <c r="EP637" s="1373"/>
      <c r="EQ637" s="1373"/>
      <c r="ER637" s="1373" t="e">
        <f t="shared" si="6"/>
        <v>#VALUE!</v>
      </c>
      <c r="ES637" s="1373"/>
      <c r="ET637" s="1373"/>
      <c r="EU637" s="1373"/>
      <c r="EV637" s="1373"/>
      <c r="EW637" s="1373" t="e">
        <f t="shared" si="7"/>
        <v>#VALUE!</v>
      </c>
      <c r="EX637" s="1373"/>
      <c r="EY637" s="1373"/>
      <c r="EZ637" s="1373"/>
      <c r="FA637" s="1373"/>
    </row>
    <row r="638" spans="2:157" ht="12.9" customHeight="1">
      <c r="B638" s="52" t="s">
        <v>363</v>
      </c>
      <c r="C638" s="1491"/>
      <c r="D638" s="1491"/>
      <c r="E638" s="1491"/>
      <c r="F638" s="1491"/>
      <c r="G638" s="1491"/>
      <c r="H638" s="1491"/>
      <c r="I638" s="1491"/>
      <c r="J638" s="1491"/>
      <c r="K638" s="1491"/>
      <c r="L638" s="1491"/>
      <c r="M638" s="1495" t="s">
        <v>1185</v>
      </c>
      <c r="N638" s="1495"/>
      <c r="O638" s="1495"/>
      <c r="P638" s="1495"/>
      <c r="Q638" s="1510"/>
      <c r="R638" s="1511"/>
      <c r="S638" s="1512"/>
      <c r="T638" s="1510"/>
      <c r="U638" s="1511"/>
      <c r="V638" s="1512"/>
      <c r="W638" s="1482"/>
      <c r="X638" s="1483"/>
      <c r="Y638" s="1484"/>
      <c r="Z638" s="1478" t="s">
        <v>1185</v>
      </c>
      <c r="AA638" s="1479"/>
      <c r="AB638" s="1480"/>
      <c r="AC638" s="1385"/>
      <c r="AD638" s="1386"/>
      <c r="AE638" s="1387"/>
      <c r="AF638" s="1492"/>
      <c r="AG638" s="1493"/>
      <c r="AH638" s="1493"/>
      <c r="AI638" s="1493"/>
      <c r="AJ638" s="1494"/>
      <c r="AK638" s="1486"/>
      <c r="AL638" s="1487"/>
      <c r="AM638" s="1487"/>
      <c r="AN638" s="1488"/>
      <c r="AO638" s="1477"/>
      <c r="AP638" s="1345"/>
      <c r="AQ638" s="1345"/>
      <c r="AR638" s="1345"/>
      <c r="AS638" s="1346"/>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3" t="e">
        <f t="shared" si="2"/>
        <v>#VALUE!</v>
      </c>
      <c r="DY638" s="1373"/>
      <c r="DZ638" s="1373"/>
      <c r="EA638" s="1373"/>
      <c r="EB638" s="1373"/>
      <c r="EC638" s="1373">
        <f t="shared" si="3"/>
        <v>454.125</v>
      </c>
      <c r="ED638" s="1373"/>
      <c r="EE638" s="1373"/>
      <c r="EF638" s="1373"/>
      <c r="EG638" s="1373"/>
      <c r="EH638" s="1373" t="e">
        <f t="shared" si="4"/>
        <v>#VALUE!</v>
      </c>
      <c r="EI638" s="1373"/>
      <c r="EJ638" s="1373"/>
      <c r="EK638" s="1373"/>
      <c r="EL638" s="1373"/>
      <c r="EM638" s="1373" t="e">
        <f t="shared" si="5"/>
        <v>#VALUE!</v>
      </c>
      <c r="EN638" s="1373"/>
      <c r="EO638" s="1373"/>
      <c r="EP638" s="1373"/>
      <c r="EQ638" s="1373"/>
      <c r="ER638" s="1373" t="e">
        <f t="shared" si="6"/>
        <v>#VALUE!</v>
      </c>
      <c r="ES638" s="1373"/>
      <c r="ET638" s="1373"/>
      <c r="EU638" s="1373"/>
      <c r="EV638" s="1373"/>
      <c r="EW638" s="1373" t="e">
        <f t="shared" si="7"/>
        <v>#VALUE!</v>
      </c>
      <c r="EX638" s="1373"/>
      <c r="EY638" s="1373"/>
      <c r="EZ638" s="1373"/>
      <c r="FA638" s="1373"/>
    </row>
    <row r="639" spans="2:157" ht="12.9" customHeight="1">
      <c r="B639" s="1439" t="s">
        <v>128</v>
      </c>
      <c r="C639" s="1440"/>
      <c r="D639" s="1440"/>
      <c r="E639" s="1440"/>
      <c r="F639" s="1440"/>
      <c r="G639" s="1440"/>
      <c r="H639" s="1440"/>
      <c r="I639" s="1440"/>
      <c r="J639" s="1440"/>
      <c r="K639" s="1440"/>
      <c r="L639" s="1440"/>
      <c r="M639" s="1440"/>
      <c r="N639" s="1440"/>
      <c r="O639" s="1440"/>
      <c r="P639" s="1440"/>
      <c r="Q639" s="1440"/>
      <c r="R639" s="1440"/>
      <c r="S639" s="1440"/>
      <c r="T639" s="1440"/>
      <c r="U639" s="1440"/>
      <c r="V639" s="1440"/>
      <c r="W639" s="1440"/>
      <c r="X639" s="1440"/>
      <c r="Y639" s="1440"/>
      <c r="Z639" s="1440"/>
      <c r="AA639" s="1440"/>
      <c r="AB639" s="1440"/>
      <c r="AC639" s="1440"/>
      <c r="AD639" s="1440"/>
      <c r="AE639" s="1440"/>
      <c r="AF639" s="1440"/>
      <c r="AG639" s="1440"/>
      <c r="AH639" s="1440"/>
      <c r="AI639" s="1440"/>
      <c r="AJ639" s="1440"/>
      <c r="AK639" s="1440"/>
      <c r="AL639" s="1440"/>
      <c r="AM639" s="1440"/>
      <c r="AN639" s="1442"/>
      <c r="AO639" s="1474">
        <f>SUM(AO627:AR638)</f>
        <v>13976109</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3" t="e">
        <f t="shared" si="2"/>
        <v>#VALUE!</v>
      </c>
      <c r="DY639" s="1373"/>
      <c r="DZ639" s="1373"/>
      <c r="EA639" s="1373"/>
      <c r="EB639" s="1373"/>
      <c r="EC639" s="1373" t="e">
        <f t="shared" si="3"/>
        <v>#VALUE!</v>
      </c>
      <c r="ED639" s="1373"/>
      <c r="EE639" s="1373"/>
      <c r="EF639" s="1373"/>
      <c r="EG639" s="1373"/>
      <c r="EH639" s="1373">
        <f t="shared" si="4"/>
        <v>69.107142857142847</v>
      </c>
      <c r="EI639" s="1373"/>
      <c r="EJ639" s="1373"/>
      <c r="EK639" s="1373"/>
      <c r="EL639" s="1373"/>
      <c r="EM639" s="1373" t="e">
        <f t="shared" si="5"/>
        <v>#VALUE!</v>
      </c>
      <c r="EN639" s="1373"/>
      <c r="EO639" s="1373"/>
      <c r="EP639" s="1373"/>
      <c r="EQ639" s="1373"/>
      <c r="ER639" s="1373" t="e">
        <f t="shared" si="6"/>
        <v>#VALUE!</v>
      </c>
      <c r="ES639" s="1373"/>
      <c r="ET639" s="1373"/>
      <c r="EU639" s="1373"/>
      <c r="EV639" s="1373"/>
      <c r="EW639" s="1373" t="e">
        <f t="shared" si="7"/>
        <v>#VALUE!</v>
      </c>
      <c r="EX639" s="1373"/>
      <c r="EY639" s="1373"/>
      <c r="EZ639" s="1373"/>
      <c r="FA639" s="1373"/>
    </row>
    <row r="640" spans="2:157" ht="12.9" customHeight="1">
      <c r="B640" s="1439" t="s">
        <v>267</v>
      </c>
      <c r="C640" s="1440"/>
      <c r="D640" s="1440"/>
      <c r="E640" s="1440"/>
      <c r="F640" s="1440"/>
      <c r="G640" s="1440"/>
      <c r="H640" s="1440"/>
      <c r="I640" s="1440"/>
      <c r="J640" s="1440"/>
      <c r="K640" s="1440"/>
      <c r="L640" s="1440"/>
      <c r="M640" s="1440"/>
      <c r="N640" s="1440"/>
      <c r="O640" s="1440"/>
      <c r="P640" s="1440"/>
      <c r="Q640" s="1440"/>
      <c r="R640" s="1440"/>
      <c r="S640" s="1440"/>
      <c r="T640" s="1440"/>
      <c r="U640" s="1440"/>
      <c r="V640" s="1440"/>
      <c r="W640" s="1440"/>
      <c r="X640" s="1440"/>
      <c r="Y640" s="1440"/>
      <c r="Z640" s="1440"/>
      <c r="AA640" s="1440"/>
      <c r="AB640" s="1440"/>
      <c r="AC640" s="1440"/>
      <c r="AD640" s="1440"/>
      <c r="AE640" s="1440"/>
      <c r="AF640" s="1440"/>
      <c r="AG640" s="1440"/>
      <c r="AH640" s="1440"/>
      <c r="AI640" s="1440"/>
      <c r="AJ640" s="1440"/>
      <c r="AK640" s="1440"/>
      <c r="AL640" s="1440"/>
      <c r="AM640" s="1440"/>
      <c r="AN640" s="1442"/>
      <c r="AO640" s="1477">
        <f>16763064+9670998</f>
        <v>26434062</v>
      </c>
      <c r="AP640" s="1345"/>
      <c r="AQ640" s="1345"/>
      <c r="AR640" s="1345"/>
      <c r="AS640" s="134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3" t="e">
        <f t="shared" si="2"/>
        <v>#VALUE!</v>
      </c>
      <c r="DY640" s="1373"/>
      <c r="DZ640" s="1373"/>
      <c r="EA640" s="1373"/>
      <c r="EB640" s="1373"/>
      <c r="EC640" s="1373" t="e">
        <f t="shared" si="3"/>
        <v>#VALUE!</v>
      </c>
      <c r="ED640" s="1373"/>
      <c r="EE640" s="1373"/>
      <c r="EF640" s="1373"/>
      <c r="EG640" s="1373"/>
      <c r="EH640" s="1373">
        <f t="shared" si="4"/>
        <v>80.178571428571431</v>
      </c>
      <c r="EI640" s="1373"/>
      <c r="EJ640" s="1373"/>
      <c r="EK640" s="1373"/>
      <c r="EL640" s="1373"/>
      <c r="EM640" s="1373" t="e">
        <f t="shared" si="5"/>
        <v>#VALUE!</v>
      </c>
      <c r="EN640" s="1373"/>
      <c r="EO640" s="1373"/>
      <c r="EP640" s="1373"/>
      <c r="EQ640" s="1373"/>
      <c r="ER640" s="1373" t="e">
        <f t="shared" si="6"/>
        <v>#VALUE!</v>
      </c>
      <c r="ES640" s="1373"/>
      <c r="ET640" s="1373"/>
      <c r="EU640" s="1373"/>
      <c r="EV640" s="1373"/>
      <c r="EW640" s="1373" t="e">
        <f t="shared" si="7"/>
        <v>#VALUE!</v>
      </c>
      <c r="EX640" s="1373"/>
      <c r="EY640" s="1373"/>
      <c r="EZ640" s="1373"/>
      <c r="FA640" s="1373"/>
    </row>
    <row r="641" spans="1:157" ht="12.9" customHeight="1">
      <c r="B641" s="1833" t="s">
        <v>268</v>
      </c>
      <c r="C641" s="1441"/>
      <c r="D641" s="1441"/>
      <c r="E641" s="1441"/>
      <c r="F641" s="1441"/>
      <c r="G641" s="1441"/>
      <c r="H641" s="1441"/>
      <c r="I641" s="1441"/>
      <c r="J641" s="1441"/>
      <c r="K641" s="1441"/>
      <c r="L641" s="1441"/>
      <c r="M641" s="1441"/>
      <c r="N641" s="1441"/>
      <c r="O641" s="1441"/>
      <c r="P641" s="1441"/>
      <c r="Q641" s="1441"/>
      <c r="R641" s="1441"/>
      <c r="S641" s="1441"/>
      <c r="T641" s="1441"/>
      <c r="U641" s="1441"/>
      <c r="V641" s="1441"/>
      <c r="W641" s="1441"/>
      <c r="X641" s="1441"/>
      <c r="Y641" s="1441"/>
      <c r="Z641" s="1441"/>
      <c r="AA641" s="1441"/>
      <c r="AB641" s="1441"/>
      <c r="AC641" s="1441"/>
      <c r="AD641" s="1441"/>
      <c r="AE641" s="1441"/>
      <c r="AF641" s="1441"/>
      <c r="AG641" s="1441"/>
      <c r="AH641" s="1441"/>
      <c r="AI641" s="1441"/>
      <c r="AJ641" s="1441"/>
      <c r="AK641" s="1441"/>
      <c r="AL641" s="1441"/>
      <c r="AM641" s="1441"/>
      <c r="AN641" s="1834"/>
      <c r="AO641" s="1474">
        <f>AO639+AO640</f>
        <v>40410171</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3" t="e">
        <f t="shared" si="2"/>
        <v>#VALUE!</v>
      </c>
      <c r="DY641" s="1373"/>
      <c r="DZ641" s="1373"/>
      <c r="EA641" s="1373"/>
      <c r="EB641" s="1373"/>
      <c r="EC641" s="1373" t="e">
        <f t="shared" si="3"/>
        <v>#VALUE!</v>
      </c>
      <c r="ED641" s="1373"/>
      <c r="EE641" s="1373"/>
      <c r="EF641" s="1373"/>
      <c r="EG641" s="1373"/>
      <c r="EH641" s="1373">
        <f t="shared" si="4"/>
        <v>240.53571428571428</v>
      </c>
      <c r="EI641" s="1373"/>
      <c r="EJ641" s="1373"/>
      <c r="EK641" s="1373"/>
      <c r="EL641" s="1373"/>
      <c r="EM641" s="1373" t="e">
        <f t="shared" si="5"/>
        <v>#VALUE!</v>
      </c>
      <c r="EN641" s="1373"/>
      <c r="EO641" s="1373"/>
      <c r="EP641" s="1373"/>
      <c r="EQ641" s="1373"/>
      <c r="ER641" s="1373" t="e">
        <f t="shared" si="6"/>
        <v>#VALUE!</v>
      </c>
      <c r="ES641" s="1373"/>
      <c r="ET641" s="1373"/>
      <c r="EU641" s="1373"/>
      <c r="EV641" s="1373"/>
      <c r="EW641" s="1373" t="e">
        <f t="shared" si="7"/>
        <v>#VALUE!</v>
      </c>
      <c r="EX641" s="1373"/>
      <c r="EY641" s="1373"/>
      <c r="EZ641" s="1373"/>
      <c r="FA641" s="1373"/>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3" t="e">
        <f t="shared" si="2"/>
        <v>#VALUE!</v>
      </c>
      <c r="DY642" s="1373"/>
      <c r="DZ642" s="1373"/>
      <c r="EA642" s="1373"/>
      <c r="EB642" s="1373"/>
      <c r="EC642" s="1373" t="e">
        <f t="shared" si="3"/>
        <v>#VALUE!</v>
      </c>
      <c r="ED642" s="1373"/>
      <c r="EE642" s="1373"/>
      <c r="EF642" s="1373"/>
      <c r="EG642" s="1373"/>
      <c r="EH642" s="1373">
        <f t="shared" si="4"/>
        <v>481.07142857142856</v>
      </c>
      <c r="EI642" s="1373"/>
      <c r="EJ642" s="1373"/>
      <c r="EK642" s="1373"/>
      <c r="EL642" s="1373"/>
      <c r="EM642" s="1373" t="e">
        <f t="shared" si="5"/>
        <v>#VALUE!</v>
      </c>
      <c r="EN642" s="1373"/>
      <c r="EO642" s="1373"/>
      <c r="EP642" s="1373"/>
      <c r="EQ642" s="1373"/>
      <c r="ER642" s="1373" t="e">
        <f t="shared" si="6"/>
        <v>#VALUE!</v>
      </c>
      <c r="ES642" s="1373"/>
      <c r="ET642" s="1373"/>
      <c r="EU642" s="1373"/>
      <c r="EV642" s="1373"/>
      <c r="EW642" s="1373" t="e">
        <f t="shared" si="7"/>
        <v>#VALUE!</v>
      </c>
      <c r="EX642" s="1373"/>
      <c r="EY642" s="1373"/>
      <c r="EZ642" s="1373"/>
      <c r="FA642" s="1373"/>
    </row>
    <row r="643" spans="1:157" ht="12.9" customHeight="1">
      <c r="A643" s="55" t="s">
        <v>112</v>
      </c>
      <c r="B643" t="s">
        <v>464</v>
      </c>
      <c r="G643" s="1485" t="str">
        <f>C627</f>
        <v>Citi Bank Permanent Loan</v>
      </c>
      <c r="H643" s="1485"/>
      <c r="I643" s="1485"/>
      <c r="J643" s="1485"/>
      <c r="K643" s="1485"/>
      <c r="L643" s="1485"/>
      <c r="M643" s="1485"/>
      <c r="N643" s="1485"/>
      <c r="O643" s="1485"/>
      <c r="P643" s="1485"/>
      <c r="Q643" s="1485"/>
      <c r="R643" s="1485"/>
      <c r="S643" s="8"/>
      <c r="T643" s="55" t="s">
        <v>113</v>
      </c>
      <c r="U643" t="s">
        <v>464</v>
      </c>
      <c r="Z643" s="1485" t="str">
        <f>C628</f>
        <v>Deferred Developer Fee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3" t="e">
        <f t="shared" si="2"/>
        <v>#VALUE!</v>
      </c>
      <c r="DY643" s="1373"/>
      <c r="DZ643" s="1373"/>
      <c r="EA643" s="1373"/>
      <c r="EB643" s="1373"/>
      <c r="EC643" s="1373" t="e">
        <f t="shared" si="3"/>
        <v>#VALUE!</v>
      </c>
      <c r="ED643" s="1373"/>
      <c r="EE643" s="1373"/>
      <c r="EF643" s="1373"/>
      <c r="EG643" s="1373"/>
      <c r="EH643" s="1373" t="e">
        <f t="shared" si="4"/>
        <v>#VALUE!</v>
      </c>
      <c r="EI643" s="1373"/>
      <c r="EJ643" s="1373"/>
      <c r="EK643" s="1373"/>
      <c r="EL643" s="1373"/>
      <c r="EM643" s="1373">
        <f t="shared" si="5"/>
        <v>83</v>
      </c>
      <c r="EN643" s="1373"/>
      <c r="EO643" s="1373"/>
      <c r="EP643" s="1373"/>
      <c r="EQ643" s="1373"/>
      <c r="ER643" s="1373" t="e">
        <f t="shared" si="6"/>
        <v>#VALUE!</v>
      </c>
      <c r="ES643" s="1373"/>
      <c r="ET643" s="1373"/>
      <c r="EU643" s="1373"/>
      <c r="EV643" s="1373"/>
      <c r="EW643" s="1373" t="e">
        <f t="shared" si="7"/>
        <v>#VALUE!</v>
      </c>
      <c r="EX643" s="1373"/>
      <c r="EY643" s="1373"/>
      <c r="EZ643" s="1373"/>
      <c r="FA643" s="1373"/>
    </row>
    <row r="644" spans="1:157" ht="12.9" customHeight="1">
      <c r="A644" s="22"/>
      <c r="B644" t="s">
        <v>85</v>
      </c>
      <c r="G644" s="1438" t="s">
        <v>2714</v>
      </c>
      <c r="H644" s="1438"/>
      <c r="I644" s="1438"/>
      <c r="J644" s="1438"/>
      <c r="K644" s="1438"/>
      <c r="L644" s="1438"/>
      <c r="M644" s="1438"/>
      <c r="N644" s="1438"/>
      <c r="O644" s="1438"/>
      <c r="P644" s="1438"/>
      <c r="Q644" s="1438"/>
      <c r="R644" s="1438"/>
      <c r="S644" s="8"/>
      <c r="T644" s="22"/>
      <c r="U644" t="s">
        <v>85</v>
      </c>
      <c r="Z644" s="1438" t="s">
        <v>2721</v>
      </c>
      <c r="AA644" s="1438"/>
      <c r="AB644" s="1438"/>
      <c r="AC644" s="1438"/>
      <c r="AD644" s="1438"/>
      <c r="AE644" s="1438"/>
      <c r="AF644" s="1438"/>
      <c r="AG644" s="1438"/>
      <c r="AH644" s="1438"/>
      <c r="AI644" s="1438"/>
      <c r="AJ644" s="1438"/>
      <c r="AK644" s="1438"/>
      <c r="AV644" s="3"/>
      <c r="AW644" s="3"/>
      <c r="AX644" s="3"/>
      <c r="AY644" s="3"/>
      <c r="AZ644" s="3"/>
      <c r="BA644" s="3"/>
      <c r="BB644" s="3"/>
      <c r="BC644" s="3"/>
      <c r="BD644" s="3"/>
      <c r="BE644" s="3"/>
      <c r="BF644" s="3"/>
      <c r="BG644" s="3"/>
      <c r="BH644" s="3"/>
      <c r="BI644" s="3"/>
      <c r="BJ644" s="3"/>
      <c r="BK644" s="3"/>
      <c r="BL644" s="3"/>
      <c r="BM644" s="3"/>
      <c r="DX644" s="1373" t="e">
        <f t="shared" si="2"/>
        <v>#VALUE!</v>
      </c>
      <c r="DY644" s="1373"/>
      <c r="DZ644" s="1373"/>
      <c r="EA644" s="1373"/>
      <c r="EB644" s="1373"/>
      <c r="EC644" s="1373" t="e">
        <f t="shared" si="3"/>
        <v>#VALUE!</v>
      </c>
      <c r="ED644" s="1373"/>
      <c r="EE644" s="1373"/>
      <c r="EF644" s="1373"/>
      <c r="EG644" s="1373"/>
      <c r="EH644" s="1373" t="e">
        <f t="shared" si="4"/>
        <v>#VALUE!</v>
      </c>
      <c r="EI644" s="1373"/>
      <c r="EJ644" s="1373"/>
      <c r="EK644" s="1373"/>
      <c r="EL644" s="1373"/>
      <c r="EM644" s="1373">
        <f t="shared" si="5"/>
        <v>232.03703703703704</v>
      </c>
      <c r="EN644" s="1373"/>
      <c r="EO644" s="1373"/>
      <c r="EP644" s="1373"/>
      <c r="EQ644" s="1373"/>
      <c r="ER644" s="1373" t="e">
        <f t="shared" si="6"/>
        <v>#VALUE!</v>
      </c>
      <c r="ES644" s="1373"/>
      <c r="ET644" s="1373"/>
      <c r="EU644" s="1373"/>
      <c r="EV644" s="1373"/>
      <c r="EW644" s="1373" t="e">
        <f t="shared" si="7"/>
        <v>#VALUE!</v>
      </c>
      <c r="EX644" s="1373"/>
      <c r="EY644" s="1373"/>
      <c r="EZ644" s="1373"/>
      <c r="FA644" s="1373"/>
    </row>
    <row r="645" spans="1:157" ht="12.9" customHeight="1">
      <c r="A645" s="22"/>
      <c r="B645" t="s">
        <v>581</v>
      </c>
      <c r="G645" s="1438" t="s">
        <v>2715</v>
      </c>
      <c r="H645" s="1438"/>
      <c r="I645" s="1438"/>
      <c r="J645" s="1438"/>
      <c r="K645" s="1438"/>
      <c r="L645" s="1438"/>
      <c r="M645" s="1438"/>
      <c r="N645" s="1438"/>
      <c r="O645" s="1438"/>
      <c r="P645" s="1438"/>
      <c r="Q645" s="1438"/>
      <c r="R645" s="1438"/>
      <c r="T645" s="22"/>
      <c r="U645" t="s">
        <v>581</v>
      </c>
      <c r="Z645" s="1375" t="s">
        <v>2648</v>
      </c>
      <c r="AA645" s="1375"/>
      <c r="AB645" s="1375"/>
      <c r="AC645" s="1375"/>
      <c r="AD645" s="1375"/>
      <c r="AE645" s="1375"/>
      <c r="AF645" s="1375"/>
      <c r="AG645" s="1375"/>
      <c r="AH645" s="1375"/>
      <c r="AI645" s="1375"/>
      <c r="AJ645" s="1375"/>
      <c r="AK645" s="1375"/>
      <c r="AV645" s="3"/>
      <c r="AW645" s="3"/>
      <c r="AX645" s="3"/>
      <c r="AY645" s="3"/>
      <c r="AZ645" s="3"/>
      <c r="BA645" s="3"/>
      <c r="BB645" s="3"/>
      <c r="BC645" s="3"/>
      <c r="BD645" s="3"/>
      <c r="BE645" s="3"/>
      <c r="BF645" s="3"/>
      <c r="BG645" s="3"/>
      <c r="BH645" s="3"/>
      <c r="BI645" s="3"/>
      <c r="BJ645" s="3"/>
      <c r="BK645" s="3"/>
      <c r="BL645" s="3"/>
      <c r="BM645" s="3"/>
      <c r="DX645" s="1373" t="e">
        <f t="shared" si="2"/>
        <v>#VALUE!</v>
      </c>
      <c r="DY645" s="1373"/>
      <c r="DZ645" s="1373"/>
      <c r="EA645" s="1373"/>
      <c r="EB645" s="1373"/>
      <c r="EC645" s="1373" t="e">
        <f t="shared" si="3"/>
        <v>#VALUE!</v>
      </c>
      <c r="ED645" s="1373"/>
      <c r="EE645" s="1373"/>
      <c r="EF645" s="1373"/>
      <c r="EG645" s="1373"/>
      <c r="EH645" s="1373" t="e">
        <f t="shared" si="4"/>
        <v>#VALUE!</v>
      </c>
      <c r="EI645" s="1373"/>
      <c r="EJ645" s="1373"/>
      <c r="EK645" s="1373"/>
      <c r="EL645" s="1373"/>
      <c r="EM645" s="1373">
        <f t="shared" si="5"/>
        <v>167.33333333333331</v>
      </c>
      <c r="EN645" s="1373"/>
      <c r="EO645" s="1373"/>
      <c r="EP645" s="1373"/>
      <c r="EQ645" s="1373"/>
      <c r="ER645" s="1373" t="e">
        <f t="shared" si="6"/>
        <v>#VALUE!</v>
      </c>
      <c r="ES645" s="1373"/>
      <c r="ET645" s="1373"/>
      <c r="EU645" s="1373"/>
      <c r="EV645" s="1373"/>
      <c r="EW645" s="1373" t="e">
        <f t="shared" si="7"/>
        <v>#VALUE!</v>
      </c>
      <c r="EX645" s="1373"/>
      <c r="EY645" s="1373"/>
      <c r="EZ645" s="1373"/>
      <c r="FA645" s="1373"/>
    </row>
    <row r="646" spans="1:157" ht="12.9" customHeight="1">
      <c r="A646" s="22"/>
      <c r="B646" t="s">
        <v>17</v>
      </c>
      <c r="G646" s="1438" t="s">
        <v>2716</v>
      </c>
      <c r="H646" s="1438"/>
      <c r="I646" s="1438"/>
      <c r="J646" s="1438"/>
      <c r="K646" s="1438"/>
      <c r="L646" s="1438"/>
      <c r="M646" s="1438"/>
      <c r="N646" s="1438"/>
      <c r="O646" s="1438"/>
      <c r="P646" s="1438"/>
      <c r="Q646" s="1438"/>
      <c r="R646" s="1438"/>
      <c r="S646" s="8"/>
      <c r="T646" s="22"/>
      <c r="U646" t="s">
        <v>17</v>
      </c>
      <c r="Z646" s="1375" t="s">
        <v>2638</v>
      </c>
      <c r="AA646" s="1375"/>
      <c r="AB646" s="1375"/>
      <c r="AC646" s="1375"/>
      <c r="AD646" s="1375"/>
      <c r="AE646" s="1375"/>
      <c r="AF646" s="1375"/>
      <c r="AG646" s="1375"/>
      <c r="AH646" s="1375"/>
      <c r="AI646" s="1375"/>
      <c r="AJ646" s="1375"/>
      <c r="AK646" s="1375"/>
      <c r="AZ646" s="3"/>
      <c r="BA646" s="3"/>
      <c r="BB646" s="3"/>
      <c r="BC646" s="3"/>
      <c r="BD646" s="3"/>
      <c r="BE646" s="3"/>
      <c r="BF646" s="3"/>
      <c r="BG646" s="3"/>
      <c r="BH646" s="3"/>
      <c r="BI646" s="3"/>
      <c r="BJ646" s="3"/>
      <c r="BK646" s="3"/>
      <c r="BL646" s="3"/>
      <c r="BM646" s="3"/>
      <c r="DX646" s="1373" t="e">
        <f t="shared" si="2"/>
        <v>#VALUE!</v>
      </c>
      <c r="DY646" s="1373"/>
      <c r="DZ646" s="1373"/>
      <c r="EA646" s="1373"/>
      <c r="EB646" s="1373"/>
      <c r="EC646" s="1373" t="e">
        <f t="shared" si="3"/>
        <v>#VALUE!</v>
      </c>
      <c r="ED646" s="1373"/>
      <c r="EE646" s="1373"/>
      <c r="EF646" s="1373"/>
      <c r="EG646" s="1373"/>
      <c r="EH646" s="1373" t="e">
        <f t="shared" si="4"/>
        <v>#VALUE!</v>
      </c>
      <c r="EI646" s="1373"/>
      <c r="EJ646" s="1373"/>
      <c r="EK646" s="1373"/>
      <c r="EL646" s="1373"/>
      <c r="EM646" s="1373">
        <f t="shared" si="5"/>
        <v>994.96296296296293</v>
      </c>
      <c r="EN646" s="1373"/>
      <c r="EO646" s="1373"/>
      <c r="EP646" s="1373"/>
      <c r="EQ646" s="1373"/>
      <c r="ER646" s="1373" t="e">
        <f t="shared" si="6"/>
        <v>#VALUE!</v>
      </c>
      <c r="ES646" s="1373"/>
      <c r="ET646" s="1373"/>
      <c r="EU646" s="1373"/>
      <c r="EV646" s="1373"/>
      <c r="EW646" s="1373" t="e">
        <f t="shared" si="7"/>
        <v>#VALUE!</v>
      </c>
      <c r="EX646" s="1373"/>
      <c r="EY646" s="1373"/>
      <c r="EZ646" s="1373"/>
      <c r="FA646" s="1373"/>
    </row>
    <row r="647" spans="1:157" ht="12.9" customHeight="1">
      <c r="A647" s="22"/>
      <c r="B647" t="s">
        <v>316</v>
      </c>
      <c r="G647" s="1489">
        <v>4156583118</v>
      </c>
      <c r="H647" s="1489"/>
      <c r="I647" s="1489"/>
      <c r="J647" s="1489"/>
      <c r="K647" s="1489"/>
      <c r="L647" s="1489"/>
      <c r="O647" s="33" t="s">
        <v>206</v>
      </c>
      <c r="P647" s="1473"/>
      <c r="Q647" s="1473"/>
      <c r="R647" s="1473"/>
      <c r="S647" s="10"/>
      <c r="T647" s="22"/>
      <c r="U647" t="s">
        <v>316</v>
      </c>
      <c r="Z647" s="1489"/>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73" t="e">
        <f t="shared" si="2"/>
        <v>#VALUE!</v>
      </c>
      <c r="DY647" s="1373"/>
      <c r="DZ647" s="1373"/>
      <c r="EA647" s="1373"/>
      <c r="EB647" s="1373"/>
      <c r="EC647" s="1373" t="e">
        <f t="shared" si="3"/>
        <v>#VALUE!</v>
      </c>
      <c r="ED647" s="1373"/>
      <c r="EE647" s="1373"/>
      <c r="EF647" s="1373"/>
      <c r="EG647" s="1373"/>
      <c r="EH647" s="1373" t="e">
        <f t="shared" si="4"/>
        <v>#VALUE!</v>
      </c>
      <c r="EI647" s="1373"/>
      <c r="EJ647" s="1373"/>
      <c r="EK647" s="1373"/>
      <c r="EL647" s="1373"/>
      <c r="EM647" s="1373" t="e">
        <f t="shared" si="5"/>
        <v>#VALUE!</v>
      </c>
      <c r="EN647" s="1373"/>
      <c r="EO647" s="1373"/>
      <c r="EP647" s="1373"/>
      <c r="EQ647" s="1373"/>
      <c r="ER647" s="1373">
        <f t="shared" si="6"/>
        <v>208.5</v>
      </c>
      <c r="ES647" s="1373"/>
      <c r="ET647" s="1373"/>
      <c r="EU647" s="1373"/>
      <c r="EV647" s="1373"/>
      <c r="EW647" s="1373" t="e">
        <f t="shared" si="7"/>
        <v>#VALUE!</v>
      </c>
      <c r="EX647" s="1373"/>
      <c r="EY647" s="1373"/>
      <c r="EZ647" s="1373"/>
      <c r="FA647" s="1373"/>
    </row>
    <row r="648" spans="1:157" ht="12.9" customHeight="1">
      <c r="A648" s="22"/>
      <c r="B648" t="s">
        <v>18</v>
      </c>
      <c r="H648" s="1438" t="s">
        <v>2720</v>
      </c>
      <c r="I648" s="1438"/>
      <c r="J648" s="1438"/>
      <c r="K648" s="1438"/>
      <c r="L648" s="1438"/>
      <c r="M648" s="1438"/>
      <c r="N648" s="1438"/>
      <c r="O648" s="1438"/>
      <c r="P648" s="1438"/>
      <c r="Q648" s="1438"/>
      <c r="R648" s="1438"/>
      <c r="S648" s="8"/>
      <c r="T648" s="22"/>
      <c r="U648" t="s">
        <v>18</v>
      </c>
      <c r="AA648" s="1438" t="s">
        <v>2722</v>
      </c>
      <c r="AB648" s="1438"/>
      <c r="AC648" s="1438"/>
      <c r="AD648" s="1438"/>
      <c r="AE648" s="1438"/>
      <c r="AF648" s="1438"/>
      <c r="AG648" s="1438"/>
      <c r="AH648" s="1438"/>
      <c r="AI648" s="1438"/>
      <c r="AJ648" s="1438"/>
      <c r="AK648" s="1438"/>
      <c r="AZ648" s="34"/>
      <c r="BA648" s="34"/>
      <c r="BB648" s="34"/>
      <c r="BC648" s="34"/>
      <c r="BD648" s="34"/>
      <c r="BE648" s="34"/>
      <c r="BF648" s="34"/>
      <c r="BG648" s="34"/>
      <c r="BH648" s="34"/>
      <c r="BI648" s="34"/>
      <c r="BJ648" s="34"/>
      <c r="BK648" s="34"/>
      <c r="BL648" s="34"/>
      <c r="BM648" s="34"/>
      <c r="DX648" s="1373" t="e">
        <f t="shared" si="2"/>
        <v>#VALUE!</v>
      </c>
      <c r="DY648" s="1373"/>
      <c r="DZ648" s="1373"/>
      <c r="EA648" s="1373"/>
      <c r="EB648" s="1373"/>
      <c r="EC648" s="1373" t="e">
        <f t="shared" si="3"/>
        <v>#VALUE!</v>
      </c>
      <c r="ED648" s="1373"/>
      <c r="EE648" s="1373"/>
      <c r="EF648" s="1373"/>
      <c r="EG648" s="1373"/>
      <c r="EH648" s="1373" t="e">
        <f t="shared" si="4"/>
        <v>#VALUE!</v>
      </c>
      <c r="EI648" s="1373"/>
      <c r="EJ648" s="1373"/>
      <c r="EK648" s="1373"/>
      <c r="EL648" s="1373"/>
      <c r="EM648" s="1373" t="e">
        <f t="shared" si="5"/>
        <v>#VALUE!</v>
      </c>
      <c r="EN648" s="1373"/>
      <c r="EO648" s="1373"/>
      <c r="EP648" s="1373"/>
      <c r="EQ648" s="1373"/>
      <c r="ER648" s="1373">
        <f t="shared" si="6"/>
        <v>1049.25</v>
      </c>
      <c r="ES648" s="1373"/>
      <c r="ET648" s="1373"/>
      <c r="EU648" s="1373"/>
      <c r="EV648" s="1373"/>
      <c r="EW648" s="1373" t="e">
        <f t="shared" si="7"/>
        <v>#VALUE!</v>
      </c>
      <c r="EX648" s="1373"/>
      <c r="EY648" s="1373"/>
      <c r="EZ648" s="1373"/>
      <c r="FA648" s="1373"/>
    </row>
    <row r="649" spans="1:157" ht="12.9" customHeight="1">
      <c r="A649" s="22"/>
      <c r="B649" t="s">
        <v>20</v>
      </c>
      <c r="N649" s="1432" t="s">
        <v>546</v>
      </c>
      <c r="O649" s="1432"/>
      <c r="T649" s="22"/>
      <c r="U649" t="s">
        <v>20</v>
      </c>
      <c r="AG649" s="1432" t="s">
        <v>546</v>
      </c>
      <c r="AH649" s="1432"/>
      <c r="AZ649" s="34"/>
      <c r="BA649" s="34"/>
      <c r="BB649" s="34"/>
      <c r="BC649" s="34"/>
      <c r="BD649" s="34"/>
      <c r="BE649" s="34"/>
      <c r="BF649" s="34"/>
      <c r="BG649" s="34"/>
      <c r="BH649" s="34"/>
      <c r="BI649" s="34"/>
      <c r="BJ649" s="34"/>
      <c r="BK649" s="34"/>
      <c r="BL649" s="34"/>
      <c r="BM649" s="34"/>
      <c r="DX649" s="1373" t="e">
        <f t="shared" si="2"/>
        <v>#VALUE!</v>
      </c>
      <c r="DY649" s="1373"/>
      <c r="DZ649" s="1373"/>
      <c r="EA649" s="1373"/>
      <c r="EB649" s="1373"/>
      <c r="EC649" s="1373" t="e">
        <f t="shared" si="3"/>
        <v>#VALUE!</v>
      </c>
      <c r="ED649" s="1373"/>
      <c r="EE649" s="1373"/>
      <c r="EF649" s="1373"/>
      <c r="EG649" s="1373"/>
      <c r="EH649" s="1373" t="e">
        <f t="shared" si="4"/>
        <v>#VALUE!</v>
      </c>
      <c r="EI649" s="1373"/>
      <c r="EJ649" s="1373"/>
      <c r="EK649" s="1373"/>
      <c r="EL649" s="1373"/>
      <c r="EM649" s="1373" t="e">
        <f t="shared" si="5"/>
        <v>#VALUE!</v>
      </c>
      <c r="EN649" s="1373"/>
      <c r="EO649" s="1373"/>
      <c r="EP649" s="1373"/>
      <c r="EQ649" s="1373"/>
      <c r="ER649" s="1373" t="e">
        <f t="shared" si="6"/>
        <v>#VALUE!</v>
      </c>
      <c r="ES649" s="1373"/>
      <c r="ET649" s="1373"/>
      <c r="EU649" s="1373"/>
      <c r="EV649" s="1373"/>
      <c r="EW649" s="1373" t="e">
        <f t="shared" si="7"/>
        <v>#VALUE!</v>
      </c>
      <c r="EX649" s="1373"/>
      <c r="EY649" s="1373"/>
      <c r="EZ649" s="1373"/>
      <c r="FA649" s="1373"/>
    </row>
    <row r="650" spans="1:157" ht="12.9" customHeight="1">
      <c r="A650" s="22"/>
      <c r="T650" s="22"/>
      <c r="AZ650" s="34"/>
      <c r="BA650" s="34"/>
      <c r="BB650" s="34"/>
      <c r="BC650" s="34"/>
      <c r="BD650" s="34"/>
      <c r="BE650" s="34"/>
      <c r="BF650" s="34"/>
      <c r="BG650" s="34"/>
      <c r="BH650" s="34"/>
      <c r="BI650" s="34"/>
      <c r="BJ650" s="34"/>
      <c r="BK650" s="34"/>
      <c r="BL650" s="34"/>
      <c r="BM650" s="34"/>
      <c r="DX650" s="1373" t="e">
        <f t="shared" si="2"/>
        <v>#VALUE!</v>
      </c>
      <c r="DY650" s="1373"/>
      <c r="DZ650" s="1373"/>
      <c r="EA650" s="1373"/>
      <c r="EB650" s="1373"/>
      <c r="EC650" s="1373" t="e">
        <f t="shared" si="3"/>
        <v>#VALUE!</v>
      </c>
      <c r="ED650" s="1373"/>
      <c r="EE650" s="1373"/>
      <c r="EF650" s="1373"/>
      <c r="EG650" s="1373"/>
      <c r="EH650" s="1373" t="e">
        <f t="shared" si="4"/>
        <v>#VALUE!</v>
      </c>
      <c r="EI650" s="1373"/>
      <c r="EJ650" s="1373"/>
      <c r="EK650" s="1373"/>
      <c r="EL650" s="1373"/>
      <c r="EM650" s="1373" t="e">
        <f t="shared" si="5"/>
        <v>#VALUE!</v>
      </c>
      <c r="EN650" s="1373"/>
      <c r="EO650" s="1373"/>
      <c r="EP650" s="1373"/>
      <c r="EQ650" s="1373"/>
      <c r="ER650" s="1373" t="e">
        <f t="shared" si="6"/>
        <v>#VALUE!</v>
      </c>
      <c r="ES650" s="1373"/>
      <c r="ET650" s="1373"/>
      <c r="EU650" s="1373"/>
      <c r="EV650" s="1373"/>
      <c r="EW650" s="1373" t="e">
        <f t="shared" si="7"/>
        <v>#VALUE!</v>
      </c>
      <c r="EX650" s="1373"/>
      <c r="EY650" s="1373"/>
      <c r="EZ650" s="1373"/>
      <c r="FA650" s="1373"/>
    </row>
    <row r="651" spans="1:157" ht="12.9" customHeight="1">
      <c r="A651" s="55" t="s">
        <v>119</v>
      </c>
      <c r="B651" t="s">
        <v>464</v>
      </c>
      <c r="G651" s="1485">
        <f>C629</f>
        <v>0</v>
      </c>
      <c r="H651" s="1485"/>
      <c r="I651" s="1485"/>
      <c r="J651" s="1485"/>
      <c r="K651" s="1485"/>
      <c r="L651" s="1485"/>
      <c r="M651" s="1485"/>
      <c r="N651" s="1485"/>
      <c r="O651" s="1485"/>
      <c r="P651" s="1485"/>
      <c r="Q651" s="1485"/>
      <c r="R651" s="1485"/>
      <c r="T651" s="55" t="s">
        <v>582</v>
      </c>
      <c r="U651" t="s">
        <v>464</v>
      </c>
      <c r="Z651" s="1485">
        <f>C630</f>
        <v>0</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3" t="e">
        <f t="shared" si="2"/>
        <v>#VALUE!</v>
      </c>
      <c r="DY651" s="1373"/>
      <c r="DZ651" s="1373"/>
      <c r="EA651" s="1373"/>
      <c r="EB651" s="1373"/>
      <c r="EC651" s="1373" t="e">
        <f t="shared" si="3"/>
        <v>#VALUE!</v>
      </c>
      <c r="ED651" s="1373"/>
      <c r="EE651" s="1373"/>
      <c r="EF651" s="1373"/>
      <c r="EG651" s="1373"/>
      <c r="EH651" s="1373" t="e">
        <f t="shared" si="4"/>
        <v>#VALUE!</v>
      </c>
      <c r="EI651" s="1373"/>
      <c r="EJ651" s="1373"/>
      <c r="EK651" s="1373"/>
      <c r="EL651" s="1373"/>
      <c r="EM651" s="1373" t="e">
        <f t="shared" si="5"/>
        <v>#VALUE!</v>
      </c>
      <c r="EN651" s="1373"/>
      <c r="EO651" s="1373"/>
      <c r="EP651" s="1373"/>
      <c r="EQ651" s="1373"/>
      <c r="ER651" s="1373" t="e">
        <f t="shared" si="6"/>
        <v>#VALUE!</v>
      </c>
      <c r="ES651" s="1373"/>
      <c r="ET651" s="1373"/>
      <c r="EU651" s="1373"/>
      <c r="EV651" s="1373"/>
      <c r="EW651" s="1373" t="e">
        <f t="shared" si="7"/>
        <v>#VALUE!</v>
      </c>
      <c r="EX651" s="1373"/>
      <c r="EY651" s="1373"/>
      <c r="EZ651" s="1373"/>
      <c r="FA651" s="1373"/>
    </row>
    <row r="652" spans="1:157" ht="12.9" customHeight="1">
      <c r="A652" s="22"/>
      <c r="B652" t="s">
        <v>85</v>
      </c>
      <c r="G652" s="1438"/>
      <c r="H652" s="1438"/>
      <c r="I652" s="1438"/>
      <c r="J652" s="1438"/>
      <c r="K652" s="1438"/>
      <c r="L652" s="1438"/>
      <c r="M652" s="1438"/>
      <c r="N652" s="1438"/>
      <c r="O652" s="1438"/>
      <c r="P652" s="1438"/>
      <c r="Q652" s="1438"/>
      <c r="R652" s="1438"/>
      <c r="T652" s="22"/>
      <c r="U652" t="s">
        <v>85</v>
      </c>
      <c r="Z652" s="1438"/>
      <c r="AA652" s="1438"/>
      <c r="AB652" s="1438"/>
      <c r="AC652" s="1438"/>
      <c r="AD652" s="1438"/>
      <c r="AE652" s="1438"/>
      <c r="AF652" s="1438"/>
      <c r="AG652" s="1438"/>
      <c r="AH652" s="1438"/>
      <c r="AI652" s="1438"/>
      <c r="AJ652" s="1438"/>
      <c r="AK652" s="1438"/>
      <c r="AZ652" s="34"/>
      <c r="BA652" s="34"/>
      <c r="BB652" s="34"/>
      <c r="BC652" s="34"/>
      <c r="BD652" s="34"/>
      <c r="BE652" s="34"/>
      <c r="BF652" s="34"/>
      <c r="BG652" s="34"/>
      <c r="BH652" s="34"/>
      <c r="BI652" s="34"/>
      <c r="BJ652" s="34"/>
      <c r="BK652" s="34"/>
      <c r="BL652" s="34"/>
      <c r="BM652" s="34"/>
      <c r="DX652" s="1373" t="e">
        <f t="shared" si="2"/>
        <v>#VALUE!</v>
      </c>
      <c r="DY652" s="1373"/>
      <c r="DZ652" s="1373"/>
      <c r="EA652" s="1373"/>
      <c r="EB652" s="1373"/>
      <c r="EC652" s="1373" t="e">
        <f t="shared" si="3"/>
        <v>#VALUE!</v>
      </c>
      <c r="ED652" s="1373"/>
      <c r="EE652" s="1373"/>
      <c r="EF652" s="1373"/>
      <c r="EG652" s="1373"/>
      <c r="EH652" s="1373" t="e">
        <f t="shared" si="4"/>
        <v>#VALUE!</v>
      </c>
      <c r="EI652" s="1373"/>
      <c r="EJ652" s="1373"/>
      <c r="EK652" s="1373"/>
      <c r="EL652" s="1373"/>
      <c r="EM652" s="1373" t="e">
        <f t="shared" si="5"/>
        <v>#VALUE!</v>
      </c>
      <c r="EN652" s="1373"/>
      <c r="EO652" s="1373"/>
      <c r="EP652" s="1373"/>
      <c r="EQ652" s="1373"/>
      <c r="ER652" s="1373" t="e">
        <f t="shared" si="6"/>
        <v>#VALUE!</v>
      </c>
      <c r="ES652" s="1373"/>
      <c r="ET652" s="1373"/>
      <c r="EU652" s="1373"/>
      <c r="EV652" s="1373"/>
      <c r="EW652" s="1373" t="e">
        <f t="shared" si="7"/>
        <v>#VALUE!</v>
      </c>
      <c r="EX652" s="1373"/>
      <c r="EY652" s="1373"/>
      <c r="EZ652" s="1373"/>
      <c r="FA652" s="1373"/>
    </row>
    <row r="653" spans="1:157" ht="12.9" customHeight="1">
      <c r="A653" s="22"/>
      <c r="B653" t="s">
        <v>581</v>
      </c>
      <c r="G653" s="1375"/>
      <c r="H653" s="1375"/>
      <c r="I653" s="1375"/>
      <c r="J653" s="1375"/>
      <c r="K653" s="1375"/>
      <c r="L653" s="1375"/>
      <c r="M653" s="1375"/>
      <c r="N653" s="1375"/>
      <c r="O653" s="1375"/>
      <c r="P653" s="1375"/>
      <c r="Q653" s="1375"/>
      <c r="R653" s="1375"/>
      <c r="T653" s="22"/>
      <c r="U653" t="s">
        <v>581</v>
      </c>
      <c r="Z653" s="1375"/>
      <c r="AA653" s="1375"/>
      <c r="AB653" s="1375"/>
      <c r="AC653" s="1375"/>
      <c r="AD653" s="1375"/>
      <c r="AE653" s="1375"/>
      <c r="AF653" s="1375"/>
      <c r="AG653" s="1375"/>
      <c r="AH653" s="1375"/>
      <c r="AI653" s="1375"/>
      <c r="AJ653" s="1375"/>
      <c r="AK653" s="1375"/>
      <c r="AZ653" s="34"/>
      <c r="BA653" s="34"/>
      <c r="BB653" s="34"/>
      <c r="BC653" s="34"/>
      <c r="BD653" s="34"/>
      <c r="BE653" s="34"/>
      <c r="BF653" s="34"/>
      <c r="BG653" s="34"/>
      <c r="BH653" s="34"/>
      <c r="BI653" s="34"/>
      <c r="BJ653" s="34"/>
      <c r="BK653" s="34"/>
      <c r="BL653" s="34"/>
      <c r="BM653" s="34"/>
      <c r="DX653" s="1373" t="e">
        <f t="shared" si="2"/>
        <v>#VALUE!</v>
      </c>
      <c r="DY653" s="1373"/>
      <c r="DZ653" s="1373"/>
      <c r="EA653" s="1373"/>
      <c r="EB653" s="1373"/>
      <c r="EC653" s="1373" t="e">
        <f t="shared" si="3"/>
        <v>#VALUE!</v>
      </c>
      <c r="ED653" s="1373"/>
      <c r="EE653" s="1373"/>
      <c r="EF653" s="1373"/>
      <c r="EG653" s="1373"/>
      <c r="EH653" s="1373" t="e">
        <f t="shared" si="4"/>
        <v>#VALUE!</v>
      </c>
      <c r="EI653" s="1373"/>
      <c r="EJ653" s="1373"/>
      <c r="EK653" s="1373"/>
      <c r="EL653" s="1373"/>
      <c r="EM653" s="1373" t="e">
        <f t="shared" si="5"/>
        <v>#VALUE!</v>
      </c>
      <c r="EN653" s="1373"/>
      <c r="EO653" s="1373"/>
      <c r="EP653" s="1373"/>
      <c r="EQ653" s="1373"/>
      <c r="ER653" s="1373" t="e">
        <f t="shared" si="6"/>
        <v>#VALUE!</v>
      </c>
      <c r="ES653" s="1373"/>
      <c r="ET653" s="1373"/>
      <c r="EU653" s="1373"/>
      <c r="EV653" s="1373"/>
      <c r="EW653" s="1373" t="e">
        <f t="shared" si="7"/>
        <v>#VALUE!</v>
      </c>
      <c r="EX653" s="1373"/>
      <c r="EY653" s="1373"/>
      <c r="EZ653" s="1373"/>
      <c r="FA653" s="1373"/>
    </row>
    <row r="654" spans="1:157" ht="12.9" customHeight="1">
      <c r="A654" s="22"/>
      <c r="B654" t="s">
        <v>17</v>
      </c>
      <c r="G654" s="1375"/>
      <c r="H654" s="1375"/>
      <c r="I654" s="1375"/>
      <c r="J654" s="1375"/>
      <c r="K654" s="1375"/>
      <c r="L654" s="1375"/>
      <c r="M654" s="1375"/>
      <c r="N654" s="1375"/>
      <c r="O654" s="1375"/>
      <c r="P654" s="1375"/>
      <c r="Q654" s="1375"/>
      <c r="R654" s="1375"/>
      <c r="T654" s="22"/>
      <c r="U654" t="s">
        <v>17</v>
      </c>
      <c r="Z654" s="1375"/>
      <c r="AA654" s="1375"/>
      <c r="AB654" s="1375"/>
      <c r="AC654" s="1375"/>
      <c r="AD654" s="1375"/>
      <c r="AE654" s="1375"/>
      <c r="AF654" s="1375"/>
      <c r="AG654" s="1375"/>
      <c r="AH654" s="1375"/>
      <c r="AI654" s="1375"/>
      <c r="AJ654" s="1375"/>
      <c r="AK654" s="1375"/>
      <c r="AZ654" s="34"/>
      <c r="BA654" s="34"/>
      <c r="BB654" s="34"/>
      <c r="BC654" s="34"/>
      <c r="BD654" s="34"/>
      <c r="BE654" s="34"/>
      <c r="BF654" s="34"/>
      <c r="BG654" s="34"/>
      <c r="BH654" s="34"/>
      <c r="BI654" s="34"/>
      <c r="BJ654" s="34"/>
      <c r="BK654" s="34"/>
      <c r="BL654" s="34"/>
      <c r="BM654" s="34"/>
      <c r="DX654" s="1373" t="e">
        <f t="shared" si="2"/>
        <v>#VALUE!</v>
      </c>
      <c r="DY654" s="1373"/>
      <c r="DZ654" s="1373"/>
      <c r="EA654" s="1373"/>
      <c r="EB654" s="1373"/>
      <c r="EC654" s="1373" t="e">
        <f t="shared" si="3"/>
        <v>#VALUE!</v>
      </c>
      <c r="ED654" s="1373"/>
      <c r="EE654" s="1373"/>
      <c r="EF654" s="1373"/>
      <c r="EG654" s="1373"/>
      <c r="EH654" s="1373" t="e">
        <f t="shared" si="4"/>
        <v>#VALUE!</v>
      </c>
      <c r="EI654" s="1373"/>
      <c r="EJ654" s="1373"/>
      <c r="EK654" s="1373"/>
      <c r="EL654" s="1373"/>
      <c r="EM654" s="1373" t="e">
        <f t="shared" si="5"/>
        <v>#VALUE!</v>
      </c>
      <c r="EN654" s="1373"/>
      <c r="EO654" s="1373"/>
      <c r="EP654" s="1373"/>
      <c r="EQ654" s="1373"/>
      <c r="ER654" s="1373" t="e">
        <f t="shared" si="6"/>
        <v>#VALUE!</v>
      </c>
      <c r="ES654" s="1373"/>
      <c r="ET654" s="1373"/>
      <c r="EU654" s="1373"/>
      <c r="EV654" s="1373"/>
      <c r="EW654" s="1373" t="e">
        <f t="shared" si="7"/>
        <v>#VALUE!</v>
      </c>
      <c r="EX654" s="1373"/>
      <c r="EY654" s="1373"/>
      <c r="EZ654" s="1373"/>
      <c r="FA654" s="1373"/>
    </row>
    <row r="655" spans="1:157" ht="12.9" customHeight="1">
      <c r="A655" s="22"/>
      <c r="B655" t="s">
        <v>316</v>
      </c>
      <c r="G655" s="1489"/>
      <c r="H655" s="1489"/>
      <c r="I655" s="1489"/>
      <c r="J655" s="1489"/>
      <c r="K655" s="1489"/>
      <c r="L655" s="1489"/>
      <c r="O655" s="33" t="s">
        <v>206</v>
      </c>
      <c r="P655" s="1473"/>
      <c r="Q655" s="1473"/>
      <c r="R655" s="1473"/>
      <c r="T655" s="22"/>
      <c r="U655" t="s">
        <v>316</v>
      </c>
      <c r="Z655" s="1489"/>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73" t="e">
        <f t="shared" si="2"/>
        <v>#VALUE!</v>
      </c>
      <c r="DY655" s="1373"/>
      <c r="DZ655" s="1373"/>
      <c r="EA655" s="1373"/>
      <c r="EB655" s="1373"/>
      <c r="EC655" s="1373" t="e">
        <f t="shared" si="3"/>
        <v>#VALUE!</v>
      </c>
      <c r="ED655" s="1373"/>
      <c r="EE655" s="1373"/>
      <c r="EF655" s="1373"/>
      <c r="EG655" s="1373"/>
      <c r="EH655" s="1373" t="e">
        <f t="shared" si="4"/>
        <v>#VALUE!</v>
      </c>
      <c r="EI655" s="1373"/>
      <c r="EJ655" s="1373"/>
      <c r="EK655" s="1373"/>
      <c r="EL655" s="1373"/>
      <c r="EM655" s="1373" t="e">
        <f t="shared" si="5"/>
        <v>#VALUE!</v>
      </c>
      <c r="EN655" s="1373"/>
      <c r="EO655" s="1373"/>
      <c r="EP655" s="1373"/>
      <c r="EQ655" s="1373"/>
      <c r="ER655" s="1373" t="e">
        <f t="shared" si="6"/>
        <v>#VALUE!</v>
      </c>
      <c r="ES655" s="1373"/>
      <c r="ET655" s="1373"/>
      <c r="EU655" s="1373"/>
      <c r="EV655" s="1373"/>
      <c r="EW655" s="1373" t="e">
        <f t="shared" si="7"/>
        <v>#VALUE!</v>
      </c>
      <c r="EX655" s="1373"/>
      <c r="EY655" s="1373"/>
      <c r="EZ655" s="1373"/>
      <c r="FA655" s="1373"/>
    </row>
    <row r="656" spans="1:157" ht="12.9" customHeight="1">
      <c r="A656" s="22"/>
      <c r="B656" t="s">
        <v>18</v>
      </c>
      <c r="H656" s="1438"/>
      <c r="I656" s="1438"/>
      <c r="J656" s="1438"/>
      <c r="K656" s="1438"/>
      <c r="L656" s="1438"/>
      <c r="M656" s="1438"/>
      <c r="N656" s="1438"/>
      <c r="O656" s="1438"/>
      <c r="P656" s="1438"/>
      <c r="Q656" s="1438"/>
      <c r="R656" s="1438"/>
      <c r="T656" s="22"/>
      <c r="U656" t="s">
        <v>18</v>
      </c>
      <c r="AA656" s="1438"/>
      <c r="AB656" s="1438"/>
      <c r="AC656" s="1438"/>
      <c r="AD656" s="1438"/>
      <c r="AE656" s="1438"/>
      <c r="AF656" s="1438"/>
      <c r="AG656" s="1438"/>
      <c r="AH656" s="1438"/>
      <c r="AI656" s="1438"/>
      <c r="AJ656" s="1438"/>
      <c r="AK656" s="1438"/>
      <c r="AZ656" s="34"/>
      <c r="BA656" s="34"/>
      <c r="BB656" s="34"/>
      <c r="BC656" s="34"/>
      <c r="BD656" s="34"/>
      <c r="BE656" s="34"/>
      <c r="BF656" s="34"/>
      <c r="BG656" s="34"/>
      <c r="BH656" s="34"/>
      <c r="BI656" s="34"/>
      <c r="BJ656" s="34"/>
      <c r="BK656" s="34"/>
      <c r="BL656" s="34"/>
      <c r="BM656" s="34"/>
      <c r="DX656" s="1373" t="e">
        <f t="shared" si="2"/>
        <v>#VALUE!</v>
      </c>
      <c r="DY656" s="1373"/>
      <c r="DZ656" s="1373"/>
      <c r="EA656" s="1373"/>
      <c r="EB656" s="1373"/>
      <c r="EC656" s="1373" t="e">
        <f t="shared" si="3"/>
        <v>#VALUE!</v>
      </c>
      <c r="ED656" s="1373"/>
      <c r="EE656" s="1373"/>
      <c r="EF656" s="1373"/>
      <c r="EG656" s="1373"/>
      <c r="EH656" s="1373" t="e">
        <f t="shared" si="4"/>
        <v>#VALUE!</v>
      </c>
      <c r="EI656" s="1373"/>
      <c r="EJ656" s="1373"/>
      <c r="EK656" s="1373"/>
      <c r="EL656" s="1373"/>
      <c r="EM656" s="1373" t="e">
        <f t="shared" si="5"/>
        <v>#VALUE!</v>
      </c>
      <c r="EN656" s="1373"/>
      <c r="EO656" s="1373"/>
      <c r="EP656" s="1373"/>
      <c r="EQ656" s="1373"/>
      <c r="ER656" s="1373" t="e">
        <f t="shared" si="6"/>
        <v>#VALUE!</v>
      </c>
      <c r="ES656" s="1373"/>
      <c r="ET656" s="1373"/>
      <c r="EU656" s="1373"/>
      <c r="EV656" s="1373"/>
      <c r="EW656" s="1373" t="e">
        <f t="shared" si="7"/>
        <v>#VALUE!</v>
      </c>
      <c r="EX656" s="1373"/>
      <c r="EY656" s="1373"/>
      <c r="EZ656" s="1373"/>
      <c r="FA656" s="1373"/>
    </row>
    <row r="657" spans="1:157" ht="12.9" customHeight="1">
      <c r="A657" s="22"/>
      <c r="B657" t="s">
        <v>20</v>
      </c>
      <c r="N657" s="1432" t="s">
        <v>670</v>
      </c>
      <c r="O657" s="1432"/>
      <c r="T657" s="22"/>
      <c r="U657" t="s">
        <v>20</v>
      </c>
      <c r="AG657" s="1432" t="s">
        <v>670</v>
      </c>
      <c r="AH657" s="1432"/>
      <c r="AZ657" s="34"/>
      <c r="BA657" s="34"/>
      <c r="BB657" s="34"/>
      <c r="BC657" s="34"/>
      <c r="BD657" s="34"/>
      <c r="BE657" s="34"/>
      <c r="BF657" s="34"/>
      <c r="BG657" s="34"/>
      <c r="BH657" s="34"/>
      <c r="BI657" s="34"/>
      <c r="BJ657" s="34"/>
      <c r="BK657" s="34"/>
      <c r="BL657" s="34"/>
      <c r="BM657" s="34"/>
      <c r="DX657" s="1373" t="e">
        <f t="shared" si="2"/>
        <v>#VALUE!</v>
      </c>
      <c r="DY657" s="1373"/>
      <c r="DZ657" s="1373"/>
      <c r="EA657" s="1373"/>
      <c r="EB657" s="1373"/>
      <c r="EC657" s="1373" t="e">
        <f t="shared" si="3"/>
        <v>#VALUE!</v>
      </c>
      <c r="ED657" s="1373"/>
      <c r="EE657" s="1373"/>
      <c r="EF657" s="1373"/>
      <c r="EG657" s="1373"/>
      <c r="EH657" s="1373" t="e">
        <f t="shared" si="4"/>
        <v>#VALUE!</v>
      </c>
      <c r="EI657" s="1373"/>
      <c r="EJ657" s="1373"/>
      <c r="EK657" s="1373"/>
      <c r="EL657" s="1373"/>
      <c r="EM657" s="1373" t="e">
        <f t="shared" si="5"/>
        <v>#VALUE!</v>
      </c>
      <c r="EN657" s="1373"/>
      <c r="EO657" s="1373"/>
      <c r="EP657" s="1373"/>
      <c r="EQ657" s="1373"/>
      <c r="ER657" s="1373" t="e">
        <f t="shared" si="6"/>
        <v>#VALUE!</v>
      </c>
      <c r="ES657" s="1373"/>
      <c r="ET657" s="1373"/>
      <c r="EU657" s="1373"/>
      <c r="EV657" s="1373"/>
      <c r="EW657" s="1373" t="e">
        <f t="shared" si="7"/>
        <v>#VALUE!</v>
      </c>
      <c r="EX657" s="1373"/>
      <c r="EY657" s="1373"/>
      <c r="EZ657" s="1373"/>
      <c r="FA657" s="1373"/>
    </row>
    <row r="658" spans="1:157" ht="12.9" customHeight="1">
      <c r="A658" s="22"/>
      <c r="T658" s="22"/>
      <c r="AZ658" s="34"/>
      <c r="BA658" s="34"/>
      <c r="BB658" s="34"/>
      <c r="BC658" s="34"/>
      <c r="BD658" s="34"/>
      <c r="BE658" s="34"/>
      <c r="BF658" s="34"/>
      <c r="BG658" s="34"/>
      <c r="BH658" s="34"/>
      <c r="BI658" s="34"/>
      <c r="BJ658" s="34"/>
      <c r="BK658" s="34"/>
      <c r="BL658" s="34"/>
      <c r="BM658" s="34"/>
      <c r="DX658" s="1373" t="e">
        <f t="shared" si="2"/>
        <v>#VALUE!</v>
      </c>
      <c r="DY658" s="1373"/>
      <c r="DZ658" s="1373"/>
      <c r="EA658" s="1373"/>
      <c r="EB658" s="1373"/>
      <c r="EC658" s="1373" t="e">
        <f t="shared" si="3"/>
        <v>#VALUE!</v>
      </c>
      <c r="ED658" s="1373"/>
      <c r="EE658" s="1373"/>
      <c r="EF658" s="1373"/>
      <c r="EG658" s="1373"/>
      <c r="EH658" s="1373" t="e">
        <f t="shared" si="4"/>
        <v>#VALUE!</v>
      </c>
      <c r="EI658" s="1373"/>
      <c r="EJ658" s="1373"/>
      <c r="EK658" s="1373"/>
      <c r="EL658" s="1373"/>
      <c r="EM658" s="1373" t="e">
        <f t="shared" si="5"/>
        <v>#VALUE!</v>
      </c>
      <c r="EN658" s="1373"/>
      <c r="EO658" s="1373"/>
      <c r="EP658" s="1373"/>
      <c r="EQ658" s="1373"/>
      <c r="ER658" s="1373" t="e">
        <f t="shared" si="6"/>
        <v>#VALUE!</v>
      </c>
      <c r="ES658" s="1373"/>
      <c r="ET658" s="1373"/>
      <c r="EU658" s="1373"/>
      <c r="EV658" s="1373"/>
      <c r="EW658" s="1373" t="e">
        <f t="shared" si="7"/>
        <v>#VALUE!</v>
      </c>
      <c r="EX658" s="1373"/>
      <c r="EY658" s="1373"/>
      <c r="EZ658" s="1373"/>
      <c r="FA658" s="1373"/>
    </row>
    <row r="659" spans="1:157" ht="12.9" customHeight="1">
      <c r="A659" s="55" t="s">
        <v>764</v>
      </c>
      <c r="B659" t="s">
        <v>464</v>
      </c>
      <c r="G659" s="1485">
        <f>C631</f>
        <v>0</v>
      </c>
      <c r="H659" s="1485"/>
      <c r="I659" s="1485"/>
      <c r="J659" s="1485"/>
      <c r="K659" s="1485"/>
      <c r="L659" s="1485"/>
      <c r="M659" s="1485"/>
      <c r="N659" s="1485"/>
      <c r="O659" s="1485"/>
      <c r="P659" s="1485"/>
      <c r="Q659" s="1485"/>
      <c r="R659" s="1485"/>
      <c r="T659" s="55" t="s">
        <v>585</v>
      </c>
      <c r="U659" t="s">
        <v>464</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3" t="e">
        <f t="shared" si="2"/>
        <v>#VALUE!</v>
      </c>
      <c r="DY659" s="1373"/>
      <c r="DZ659" s="1373"/>
      <c r="EA659" s="1373"/>
      <c r="EB659" s="1373"/>
      <c r="EC659" s="1373" t="e">
        <f t="shared" si="3"/>
        <v>#VALUE!</v>
      </c>
      <c r="ED659" s="1373"/>
      <c r="EE659" s="1373"/>
      <c r="EF659" s="1373"/>
      <c r="EG659" s="1373"/>
      <c r="EH659" s="1373" t="e">
        <f t="shared" si="4"/>
        <v>#VALUE!</v>
      </c>
      <c r="EI659" s="1373"/>
      <c r="EJ659" s="1373"/>
      <c r="EK659" s="1373"/>
      <c r="EL659" s="1373"/>
      <c r="EM659" s="1373" t="e">
        <f t="shared" si="5"/>
        <v>#VALUE!</v>
      </c>
      <c r="EN659" s="1373"/>
      <c r="EO659" s="1373"/>
      <c r="EP659" s="1373"/>
      <c r="EQ659" s="1373"/>
      <c r="ER659" s="1373" t="e">
        <f t="shared" si="6"/>
        <v>#VALUE!</v>
      </c>
      <c r="ES659" s="1373"/>
      <c r="ET659" s="1373"/>
      <c r="EU659" s="1373"/>
      <c r="EV659" s="1373"/>
      <c r="EW659" s="1373" t="e">
        <f t="shared" si="7"/>
        <v>#VALUE!</v>
      </c>
      <c r="EX659" s="1373"/>
      <c r="EY659" s="1373"/>
      <c r="EZ659" s="1373"/>
      <c r="FA659" s="1373"/>
    </row>
    <row r="660" spans="1:157" ht="12.9" customHeight="1">
      <c r="A660" s="22"/>
      <c r="B660" t="s">
        <v>85</v>
      </c>
      <c r="G660" s="1438"/>
      <c r="H660" s="1438"/>
      <c r="I660" s="1438"/>
      <c r="J660" s="1438"/>
      <c r="K660" s="1438"/>
      <c r="L660" s="1438"/>
      <c r="M660" s="1438"/>
      <c r="N660" s="1438"/>
      <c r="O660" s="1438"/>
      <c r="P660" s="1438"/>
      <c r="Q660" s="1438"/>
      <c r="R660" s="1438"/>
      <c r="T660" s="22"/>
      <c r="U660" t="s">
        <v>85</v>
      </c>
      <c r="Z660" s="1438"/>
      <c r="AA660" s="1438"/>
      <c r="AB660" s="1438"/>
      <c r="AC660" s="1438"/>
      <c r="AD660" s="1438"/>
      <c r="AE660" s="1438"/>
      <c r="AF660" s="1438"/>
      <c r="AG660" s="1438"/>
      <c r="AH660" s="1438"/>
      <c r="AI660" s="1438"/>
      <c r="AJ660" s="1438"/>
      <c r="AK660" s="1438"/>
      <c r="AZ660" s="34"/>
      <c r="BA660" s="34"/>
      <c r="BB660" s="34"/>
      <c r="BC660" s="34"/>
      <c r="BD660" s="34"/>
      <c r="BE660" s="34"/>
      <c r="BF660" s="34"/>
      <c r="BG660" s="34"/>
      <c r="BH660" s="34"/>
      <c r="BI660" s="34"/>
      <c r="BJ660" s="34"/>
      <c r="BK660" s="34"/>
      <c r="BL660" s="34"/>
      <c r="BM660" s="34"/>
      <c r="DX660" s="1373" t="e">
        <f t="shared" si="2"/>
        <v>#VALUE!</v>
      </c>
      <c r="DY660" s="1373"/>
      <c r="DZ660" s="1373"/>
      <c r="EA660" s="1373"/>
      <c r="EB660" s="1373"/>
      <c r="EC660" s="1373" t="e">
        <f t="shared" si="3"/>
        <v>#VALUE!</v>
      </c>
      <c r="ED660" s="1373"/>
      <c r="EE660" s="1373"/>
      <c r="EF660" s="1373"/>
      <c r="EG660" s="1373"/>
      <c r="EH660" s="1373" t="e">
        <f t="shared" si="4"/>
        <v>#VALUE!</v>
      </c>
      <c r="EI660" s="1373"/>
      <c r="EJ660" s="1373"/>
      <c r="EK660" s="1373"/>
      <c r="EL660" s="1373"/>
      <c r="EM660" s="1373" t="e">
        <f t="shared" si="5"/>
        <v>#VALUE!</v>
      </c>
      <c r="EN660" s="1373"/>
      <c r="EO660" s="1373"/>
      <c r="EP660" s="1373"/>
      <c r="EQ660" s="1373"/>
      <c r="ER660" s="1373" t="e">
        <f t="shared" si="6"/>
        <v>#VALUE!</v>
      </c>
      <c r="ES660" s="1373"/>
      <c r="ET660" s="1373"/>
      <c r="EU660" s="1373"/>
      <c r="EV660" s="1373"/>
      <c r="EW660" s="1373" t="e">
        <f t="shared" si="7"/>
        <v>#VALUE!</v>
      </c>
      <c r="EX660" s="1373"/>
      <c r="EY660" s="1373"/>
      <c r="EZ660" s="1373"/>
      <c r="FA660" s="1373"/>
    </row>
    <row r="661" spans="1:157" ht="12.9" customHeight="1">
      <c r="A661" s="22"/>
      <c r="B661" t="s">
        <v>581</v>
      </c>
      <c r="G661" s="1438"/>
      <c r="H661" s="1438"/>
      <c r="I661" s="1438"/>
      <c r="J661" s="1438"/>
      <c r="K661" s="1438"/>
      <c r="L661" s="1438"/>
      <c r="M661" s="1438"/>
      <c r="N661" s="1438"/>
      <c r="O661" s="1438"/>
      <c r="P661" s="1438"/>
      <c r="Q661" s="1438"/>
      <c r="R661" s="1438"/>
      <c r="T661" s="22"/>
      <c r="U661" t="s">
        <v>581</v>
      </c>
      <c r="Z661" s="1375"/>
      <c r="AA661" s="1375"/>
      <c r="AB661" s="1375"/>
      <c r="AC661" s="1375"/>
      <c r="AD661" s="1375"/>
      <c r="AE661" s="1375"/>
      <c r="AF661" s="1375"/>
      <c r="AG661" s="1375"/>
      <c r="AH661" s="1375"/>
      <c r="AI661" s="1375"/>
      <c r="AJ661" s="1375"/>
      <c r="AK661" s="1375"/>
      <c r="AZ661" s="34"/>
      <c r="BA661" s="34"/>
      <c r="BB661" s="34"/>
      <c r="BC661" s="34"/>
      <c r="BD661" s="34"/>
      <c r="BE661" s="34"/>
      <c r="BF661" s="34"/>
      <c r="BG661" s="34"/>
      <c r="BH661" s="34"/>
      <c r="BI661" s="34"/>
      <c r="BJ661" s="34"/>
      <c r="BK661" s="34"/>
      <c r="BL661" s="34"/>
      <c r="BM661" s="34"/>
      <c r="DX661" s="1373" t="e">
        <f t="shared" si="2"/>
        <v>#VALUE!</v>
      </c>
      <c r="DY661" s="1373"/>
      <c r="DZ661" s="1373"/>
      <c r="EA661" s="1373"/>
      <c r="EB661" s="1373"/>
      <c r="EC661" s="1373" t="e">
        <f t="shared" si="3"/>
        <v>#VALUE!</v>
      </c>
      <c r="ED661" s="1373"/>
      <c r="EE661" s="1373"/>
      <c r="EF661" s="1373"/>
      <c r="EG661" s="1373"/>
      <c r="EH661" s="1373" t="e">
        <f t="shared" si="4"/>
        <v>#VALUE!</v>
      </c>
      <c r="EI661" s="1373"/>
      <c r="EJ661" s="1373"/>
      <c r="EK661" s="1373"/>
      <c r="EL661" s="1373"/>
      <c r="EM661" s="1373" t="e">
        <f t="shared" si="5"/>
        <v>#VALUE!</v>
      </c>
      <c r="EN661" s="1373"/>
      <c r="EO661" s="1373"/>
      <c r="EP661" s="1373"/>
      <c r="EQ661" s="1373"/>
      <c r="ER661" s="1373" t="e">
        <f t="shared" si="6"/>
        <v>#VALUE!</v>
      </c>
      <c r="ES661" s="1373"/>
      <c r="ET661" s="1373"/>
      <c r="EU661" s="1373"/>
      <c r="EV661" s="1373"/>
      <c r="EW661" s="1373" t="e">
        <f t="shared" si="7"/>
        <v>#VALUE!</v>
      </c>
      <c r="EX661" s="1373"/>
      <c r="EY661" s="1373"/>
      <c r="EZ661" s="1373"/>
      <c r="FA661" s="1373"/>
    </row>
    <row r="662" spans="1:157" ht="12.9" customHeight="1">
      <c r="A662" s="22"/>
      <c r="B662" t="s">
        <v>17</v>
      </c>
      <c r="G662" s="1438"/>
      <c r="H662" s="1438"/>
      <c r="I662" s="1438"/>
      <c r="J662" s="1438"/>
      <c r="K662" s="1438"/>
      <c r="L662" s="1438"/>
      <c r="M662" s="1438"/>
      <c r="N662" s="1438"/>
      <c r="O662" s="1438"/>
      <c r="P662" s="1438"/>
      <c r="Q662" s="1438"/>
      <c r="R662" s="1438"/>
      <c r="T662" s="22"/>
      <c r="U662" t="s">
        <v>17</v>
      </c>
      <c r="Z662" s="1375"/>
      <c r="AA662" s="1375"/>
      <c r="AB662" s="1375"/>
      <c r="AC662" s="1375"/>
      <c r="AD662" s="1375"/>
      <c r="AE662" s="1375"/>
      <c r="AF662" s="1375"/>
      <c r="AG662" s="1375"/>
      <c r="AH662" s="1375"/>
      <c r="AI662" s="1375"/>
      <c r="AJ662" s="1375"/>
      <c r="AK662" s="137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3" t="e">
        <f t="shared" si="2"/>
        <v>#VALUE!</v>
      </c>
      <c r="DY662" s="1373"/>
      <c r="DZ662" s="1373"/>
      <c r="EA662" s="1373"/>
      <c r="EB662" s="1373"/>
      <c r="EC662" s="1373" t="e">
        <f t="shared" si="3"/>
        <v>#VALUE!</v>
      </c>
      <c r="ED662" s="1373"/>
      <c r="EE662" s="1373"/>
      <c r="EF662" s="1373"/>
      <c r="EG662" s="1373"/>
      <c r="EH662" s="1373" t="e">
        <f t="shared" si="4"/>
        <v>#VALUE!</v>
      </c>
      <c r="EI662" s="1373"/>
      <c r="EJ662" s="1373"/>
      <c r="EK662" s="1373"/>
      <c r="EL662" s="1373"/>
      <c r="EM662" s="1373" t="e">
        <f t="shared" si="5"/>
        <v>#VALUE!</v>
      </c>
      <c r="EN662" s="1373"/>
      <c r="EO662" s="1373"/>
      <c r="EP662" s="1373"/>
      <c r="EQ662" s="1373"/>
      <c r="ER662" s="1373" t="e">
        <f t="shared" si="6"/>
        <v>#VALUE!</v>
      </c>
      <c r="ES662" s="1373"/>
      <c r="ET662" s="1373"/>
      <c r="EU662" s="1373"/>
      <c r="EV662" s="1373"/>
      <c r="EW662" s="1373" t="e">
        <f t="shared" si="7"/>
        <v>#VALUE!</v>
      </c>
      <c r="EX662" s="1373"/>
      <c r="EY662" s="1373"/>
      <c r="EZ662" s="1373"/>
      <c r="FA662" s="1373"/>
    </row>
    <row r="663" spans="1:157" ht="12.9" customHeight="1">
      <c r="A663" s="22"/>
      <c r="B663" t="s">
        <v>316</v>
      </c>
      <c r="G663" s="1489"/>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3" t="e">
        <f t="shared" si="2"/>
        <v>#VALUE!</v>
      </c>
      <c r="DY663" s="1373"/>
      <c r="DZ663" s="1373"/>
      <c r="EA663" s="1373"/>
      <c r="EB663" s="1373"/>
      <c r="EC663" s="1373" t="e">
        <f t="shared" si="3"/>
        <v>#VALUE!</v>
      </c>
      <c r="ED663" s="1373"/>
      <c r="EE663" s="1373"/>
      <c r="EF663" s="1373"/>
      <c r="EG663" s="1373"/>
      <c r="EH663" s="1373" t="e">
        <f t="shared" si="4"/>
        <v>#VALUE!</v>
      </c>
      <c r="EI663" s="1373"/>
      <c r="EJ663" s="1373"/>
      <c r="EK663" s="1373"/>
      <c r="EL663" s="1373"/>
      <c r="EM663" s="1373" t="e">
        <f t="shared" si="5"/>
        <v>#VALUE!</v>
      </c>
      <c r="EN663" s="1373"/>
      <c r="EO663" s="1373"/>
      <c r="EP663" s="1373"/>
      <c r="EQ663" s="1373"/>
      <c r="ER663" s="1373" t="e">
        <f t="shared" si="6"/>
        <v>#VALUE!</v>
      </c>
      <c r="ES663" s="1373"/>
      <c r="ET663" s="1373"/>
      <c r="EU663" s="1373"/>
      <c r="EV663" s="1373"/>
      <c r="EW663" s="1373" t="e">
        <f t="shared" si="7"/>
        <v>#VALUE!</v>
      </c>
      <c r="EX663" s="1373"/>
      <c r="EY663" s="1373"/>
      <c r="EZ663" s="1373"/>
      <c r="FA663" s="1373"/>
    </row>
    <row r="664" spans="1:157" ht="12.9" customHeight="1">
      <c r="A664" s="22"/>
      <c r="B664" t="s">
        <v>18</v>
      </c>
      <c r="H664" s="1438"/>
      <c r="I664" s="1438"/>
      <c r="J664" s="1438"/>
      <c r="K664" s="1438"/>
      <c r="L664" s="1438"/>
      <c r="M664" s="1438"/>
      <c r="N664" s="1438"/>
      <c r="O664" s="1438"/>
      <c r="P664" s="1438"/>
      <c r="Q664" s="1438"/>
      <c r="R664" s="1438"/>
      <c r="T664" s="22"/>
      <c r="U664" t="s">
        <v>18</v>
      </c>
      <c r="AA664" s="1438"/>
      <c r="AB664" s="1438"/>
      <c r="AC664" s="1438"/>
      <c r="AD664" s="1438"/>
      <c r="AE664" s="1438"/>
      <c r="AF664" s="1438"/>
      <c r="AG664" s="1438"/>
      <c r="AH664" s="1438"/>
      <c r="AI664" s="1438"/>
      <c r="AJ664" s="1438"/>
      <c r="AK664" s="143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3" t="e">
        <f t="shared" si="2"/>
        <v>#VALUE!</v>
      </c>
      <c r="DY664" s="1373"/>
      <c r="DZ664" s="1373"/>
      <c r="EA664" s="1373"/>
      <c r="EB664" s="1373"/>
      <c r="EC664" s="1373" t="e">
        <f t="shared" si="3"/>
        <v>#VALUE!</v>
      </c>
      <c r="ED664" s="1373"/>
      <c r="EE664" s="1373"/>
      <c r="EF664" s="1373"/>
      <c r="EG664" s="1373"/>
      <c r="EH664" s="1373" t="e">
        <f t="shared" si="4"/>
        <v>#VALUE!</v>
      </c>
      <c r="EI664" s="1373"/>
      <c r="EJ664" s="1373"/>
      <c r="EK664" s="1373"/>
      <c r="EL664" s="1373"/>
      <c r="EM664" s="1373" t="e">
        <f t="shared" si="5"/>
        <v>#VALUE!</v>
      </c>
      <c r="EN664" s="1373"/>
      <c r="EO664" s="1373"/>
      <c r="EP664" s="1373"/>
      <c r="EQ664" s="1373"/>
      <c r="ER664" s="1373" t="e">
        <f t="shared" si="6"/>
        <v>#VALUE!</v>
      </c>
      <c r="ES664" s="1373"/>
      <c r="ET664" s="1373"/>
      <c r="EU664" s="1373"/>
      <c r="EV664" s="1373"/>
      <c r="EW664" s="1373" t="e">
        <f t="shared" si="7"/>
        <v>#VALUE!</v>
      </c>
      <c r="EX664" s="1373"/>
      <c r="EY664" s="1373"/>
      <c r="EZ664" s="1373"/>
      <c r="FA664" s="1373"/>
    </row>
    <row r="665" spans="1:157" ht="12.9" customHeight="1">
      <c r="A665" s="22"/>
      <c r="B665" t="s">
        <v>20</v>
      </c>
      <c r="N665" s="1432" t="s">
        <v>670</v>
      </c>
      <c r="O665" s="1432"/>
      <c r="T665" s="22"/>
      <c r="U665" t="s">
        <v>20</v>
      </c>
      <c r="AG665" s="1432" t="s">
        <v>670</v>
      </c>
      <c r="AH665" s="14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3" t="e">
        <f t="shared" si="2"/>
        <v>#VALUE!</v>
      </c>
      <c r="DY665" s="1373"/>
      <c r="DZ665" s="1373"/>
      <c r="EA665" s="1373"/>
      <c r="EB665" s="1373"/>
      <c r="EC665" s="1373" t="e">
        <f t="shared" si="3"/>
        <v>#VALUE!</v>
      </c>
      <c r="ED665" s="1373"/>
      <c r="EE665" s="1373"/>
      <c r="EF665" s="1373"/>
      <c r="EG665" s="1373"/>
      <c r="EH665" s="1373" t="e">
        <f t="shared" si="4"/>
        <v>#VALUE!</v>
      </c>
      <c r="EI665" s="1373"/>
      <c r="EJ665" s="1373"/>
      <c r="EK665" s="1373"/>
      <c r="EL665" s="1373"/>
      <c r="EM665" s="1373" t="e">
        <f t="shared" si="5"/>
        <v>#VALUE!</v>
      </c>
      <c r="EN665" s="1373"/>
      <c r="EO665" s="1373"/>
      <c r="EP665" s="1373"/>
      <c r="EQ665" s="1373"/>
      <c r="ER665" s="1373" t="e">
        <f t="shared" si="6"/>
        <v>#VALUE!</v>
      </c>
      <c r="ES665" s="1373"/>
      <c r="ET665" s="1373"/>
      <c r="EU665" s="1373"/>
      <c r="EV665" s="1373"/>
      <c r="EW665" s="1373" t="e">
        <f t="shared" si="7"/>
        <v>#VALUE!</v>
      </c>
      <c r="EX665" s="1373"/>
      <c r="EY665" s="1373"/>
      <c r="EZ665" s="1373"/>
      <c r="FA665" s="1373"/>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3" t="e">
        <f t="shared" si="2"/>
        <v>#VALUE!</v>
      </c>
      <c r="DY666" s="1373"/>
      <c r="DZ666" s="1373"/>
      <c r="EA666" s="1373"/>
      <c r="EB666" s="1373"/>
      <c r="EC666" s="1373" t="e">
        <f t="shared" si="3"/>
        <v>#VALUE!</v>
      </c>
      <c r="ED666" s="1373"/>
      <c r="EE666" s="1373"/>
      <c r="EF666" s="1373"/>
      <c r="EG666" s="1373"/>
      <c r="EH666" s="1373" t="e">
        <f t="shared" si="4"/>
        <v>#VALUE!</v>
      </c>
      <c r="EI666" s="1373"/>
      <c r="EJ666" s="1373"/>
      <c r="EK666" s="1373"/>
      <c r="EL666" s="1373"/>
      <c r="EM666" s="1373" t="e">
        <f t="shared" si="5"/>
        <v>#VALUE!</v>
      </c>
      <c r="EN666" s="1373"/>
      <c r="EO666" s="1373"/>
      <c r="EP666" s="1373"/>
      <c r="EQ666" s="1373"/>
      <c r="ER666" s="1373" t="e">
        <f t="shared" si="6"/>
        <v>#VALUE!</v>
      </c>
      <c r="ES666" s="1373"/>
      <c r="ET666" s="1373"/>
      <c r="EU666" s="1373"/>
      <c r="EV666" s="1373"/>
      <c r="EW666" s="1373" t="e">
        <f t="shared" si="7"/>
        <v>#VALUE!</v>
      </c>
      <c r="EX666" s="1373"/>
      <c r="EY666" s="1373"/>
      <c r="EZ666" s="1373"/>
      <c r="FA666" s="1373"/>
    </row>
    <row r="667" spans="1:157" ht="12.9" customHeight="1">
      <c r="A667" s="55" t="s">
        <v>456</v>
      </c>
      <c r="B667" t="s">
        <v>464</v>
      </c>
      <c r="G667" s="1485">
        <f>C633</f>
        <v>0</v>
      </c>
      <c r="H667" s="1485"/>
      <c r="I667" s="1485"/>
      <c r="J667" s="1485"/>
      <c r="K667" s="1485"/>
      <c r="L667" s="1485"/>
      <c r="M667" s="1485"/>
      <c r="N667" s="1485"/>
      <c r="O667" s="1485"/>
      <c r="P667" s="1485"/>
      <c r="Q667" s="1485"/>
      <c r="R667" s="1485"/>
      <c r="T667" s="55" t="s">
        <v>457</v>
      </c>
      <c r="U667" t="s">
        <v>464</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3" t="e">
        <f t="shared" si="2"/>
        <v>#VALUE!</v>
      </c>
      <c r="DY667" s="1373"/>
      <c r="DZ667" s="1373"/>
      <c r="EA667" s="1373"/>
      <c r="EB667" s="1373"/>
      <c r="EC667" s="1373" t="e">
        <f t="shared" si="3"/>
        <v>#VALUE!</v>
      </c>
      <c r="ED667" s="1373"/>
      <c r="EE667" s="1373"/>
      <c r="EF667" s="1373"/>
      <c r="EG667" s="1373"/>
      <c r="EH667" s="1373" t="e">
        <f t="shared" si="4"/>
        <v>#VALUE!</v>
      </c>
      <c r="EI667" s="1373"/>
      <c r="EJ667" s="1373"/>
      <c r="EK667" s="1373"/>
      <c r="EL667" s="1373"/>
      <c r="EM667" s="1373" t="e">
        <f t="shared" si="5"/>
        <v>#VALUE!</v>
      </c>
      <c r="EN667" s="1373"/>
      <c r="EO667" s="1373"/>
      <c r="EP667" s="1373"/>
      <c r="EQ667" s="1373"/>
      <c r="ER667" s="1373" t="e">
        <f t="shared" si="6"/>
        <v>#VALUE!</v>
      </c>
      <c r="ES667" s="1373"/>
      <c r="ET667" s="1373"/>
      <c r="EU667" s="1373"/>
      <c r="EV667" s="1373"/>
      <c r="EW667" s="1373" t="e">
        <f t="shared" si="7"/>
        <v>#VALUE!</v>
      </c>
      <c r="EX667" s="1373"/>
      <c r="EY667" s="1373"/>
      <c r="EZ667" s="1373"/>
      <c r="FA667" s="1373"/>
    </row>
    <row r="668" spans="1:157" ht="12.9" customHeight="1">
      <c r="A668" s="22"/>
      <c r="B668" t="s">
        <v>85</v>
      </c>
      <c r="G668" s="1438"/>
      <c r="H668" s="1438"/>
      <c r="I668" s="1438"/>
      <c r="J668" s="1438"/>
      <c r="K668" s="1438"/>
      <c r="L668" s="1438"/>
      <c r="M668" s="1438"/>
      <c r="N668" s="1438"/>
      <c r="O668" s="1438"/>
      <c r="P668" s="1438"/>
      <c r="Q668" s="1438"/>
      <c r="R668" s="1438"/>
      <c r="T668" s="22"/>
      <c r="U668" t="s">
        <v>85</v>
      </c>
      <c r="Z668" s="1438"/>
      <c r="AA668" s="1438"/>
      <c r="AB668" s="1438"/>
      <c r="AC668" s="1438"/>
      <c r="AD668" s="1438"/>
      <c r="AE668" s="1438"/>
      <c r="AF668" s="1438"/>
      <c r="AG668" s="1438"/>
      <c r="AH668" s="1438"/>
      <c r="AI668" s="1438"/>
      <c r="AJ668" s="1438"/>
      <c r="AK668" s="143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3" t="e">
        <f t="shared" si="2"/>
        <v>#VALUE!</v>
      </c>
      <c r="DY668" s="1373"/>
      <c r="DZ668" s="1373"/>
      <c r="EA668" s="1373"/>
      <c r="EB668" s="1373"/>
      <c r="EC668" s="1373" t="e">
        <f t="shared" si="3"/>
        <v>#VALUE!</v>
      </c>
      <c r="ED668" s="1373"/>
      <c r="EE668" s="1373"/>
      <c r="EF668" s="1373"/>
      <c r="EG668" s="1373"/>
      <c r="EH668" s="1373" t="e">
        <f t="shared" si="4"/>
        <v>#VALUE!</v>
      </c>
      <c r="EI668" s="1373"/>
      <c r="EJ668" s="1373"/>
      <c r="EK668" s="1373"/>
      <c r="EL668" s="1373"/>
      <c r="EM668" s="1373" t="e">
        <f t="shared" si="5"/>
        <v>#VALUE!</v>
      </c>
      <c r="EN668" s="1373"/>
      <c r="EO668" s="1373"/>
      <c r="EP668" s="1373"/>
      <c r="EQ668" s="1373"/>
      <c r="ER668" s="1373" t="e">
        <f t="shared" si="6"/>
        <v>#VALUE!</v>
      </c>
      <c r="ES668" s="1373"/>
      <c r="ET668" s="1373"/>
      <c r="EU668" s="1373"/>
      <c r="EV668" s="1373"/>
      <c r="EW668" s="1373" t="e">
        <f t="shared" si="7"/>
        <v>#VALUE!</v>
      </c>
      <c r="EX668" s="1373"/>
      <c r="EY668" s="1373"/>
      <c r="EZ668" s="1373"/>
      <c r="FA668" s="1373"/>
    </row>
    <row r="669" spans="1:157" ht="12.9" customHeight="1">
      <c r="A669" s="22"/>
      <c r="B669" t="s">
        <v>581</v>
      </c>
      <c r="G669" s="1438"/>
      <c r="H669" s="1438"/>
      <c r="I669" s="1438"/>
      <c r="J669" s="1438"/>
      <c r="K669" s="1438"/>
      <c r="L669" s="1438"/>
      <c r="M669" s="1438"/>
      <c r="N669" s="1438"/>
      <c r="O669" s="1438"/>
      <c r="P669" s="1438"/>
      <c r="Q669" s="1438"/>
      <c r="R669" s="1438"/>
      <c r="T669" s="22"/>
      <c r="U669" t="s">
        <v>581</v>
      </c>
      <c r="Z669" s="1375"/>
      <c r="AA669" s="1375"/>
      <c r="AB669" s="1375"/>
      <c r="AC669" s="1375"/>
      <c r="AD669" s="1375"/>
      <c r="AE669" s="1375"/>
      <c r="AF669" s="1375"/>
      <c r="AG669" s="1375"/>
      <c r="AH669" s="1375"/>
      <c r="AI669" s="1375"/>
      <c r="AJ669" s="1375"/>
      <c r="AK669" s="137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3" t="e">
        <f t="shared" si="2"/>
        <v>#VALUE!</v>
      </c>
      <c r="DY669" s="1373"/>
      <c r="DZ669" s="1373"/>
      <c r="EA669" s="1373"/>
      <c r="EB669" s="1373"/>
      <c r="EC669" s="1373" t="e">
        <f t="shared" si="3"/>
        <v>#VALUE!</v>
      </c>
      <c r="ED669" s="1373"/>
      <c r="EE669" s="1373"/>
      <c r="EF669" s="1373"/>
      <c r="EG669" s="1373"/>
      <c r="EH669" s="1373" t="e">
        <f t="shared" si="4"/>
        <v>#VALUE!</v>
      </c>
      <c r="EI669" s="1373"/>
      <c r="EJ669" s="1373"/>
      <c r="EK669" s="1373"/>
      <c r="EL669" s="1373"/>
      <c r="EM669" s="1373" t="e">
        <f t="shared" si="5"/>
        <v>#VALUE!</v>
      </c>
      <c r="EN669" s="1373"/>
      <c r="EO669" s="1373"/>
      <c r="EP669" s="1373"/>
      <c r="EQ669" s="1373"/>
      <c r="ER669" s="1373" t="e">
        <f t="shared" si="6"/>
        <v>#VALUE!</v>
      </c>
      <c r="ES669" s="1373"/>
      <c r="ET669" s="1373"/>
      <c r="EU669" s="1373"/>
      <c r="EV669" s="1373"/>
      <c r="EW669" s="1373" t="e">
        <f t="shared" si="7"/>
        <v>#VALUE!</v>
      </c>
      <c r="EX669" s="1373"/>
      <c r="EY669" s="1373"/>
      <c r="EZ669" s="1373"/>
      <c r="FA669" s="1373"/>
    </row>
    <row r="670" spans="1:157" ht="12.9" customHeight="1">
      <c r="A670" s="22"/>
      <c r="B670" t="s">
        <v>17</v>
      </c>
      <c r="G670" s="1438"/>
      <c r="H670" s="1438"/>
      <c r="I670" s="1438"/>
      <c r="J670" s="1438"/>
      <c r="K670" s="1438"/>
      <c r="L670" s="1438"/>
      <c r="M670" s="1438"/>
      <c r="N670" s="1438"/>
      <c r="O670" s="1438"/>
      <c r="P670" s="1438"/>
      <c r="Q670" s="1438"/>
      <c r="R670" s="1438"/>
      <c r="T670" s="22"/>
      <c r="U670" t="s">
        <v>17</v>
      </c>
      <c r="Z670" s="1375"/>
      <c r="AA670" s="1375"/>
      <c r="AB670" s="1375"/>
      <c r="AC670" s="1375"/>
      <c r="AD670" s="1375"/>
      <c r="AE670" s="1375"/>
      <c r="AF670" s="1375"/>
      <c r="AG670" s="1375"/>
      <c r="AH670" s="1375"/>
      <c r="AI670" s="1375"/>
      <c r="AJ670" s="1375"/>
      <c r="AK670" s="137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3">
        <f>SUMIF(DX635:EB669,"&gt;0")</f>
        <v>0</v>
      </c>
      <c r="DY670" s="1373"/>
      <c r="DZ670" s="1373"/>
      <c r="EA670" s="1373"/>
      <c r="EB670" s="1373"/>
      <c r="EC670" s="1373">
        <f>SUMIF(EC635:EG669,"&gt;0")</f>
        <v>953.40625</v>
      </c>
      <c r="ED670" s="1373"/>
      <c r="EE670" s="1373"/>
      <c r="EF670" s="1373"/>
      <c r="EG670" s="1373"/>
      <c r="EH670" s="1373">
        <f>SUMIF(EH635:EL669,"&gt;0")</f>
        <v>870.89285714285711</v>
      </c>
      <c r="EI670" s="1373"/>
      <c r="EJ670" s="1373"/>
      <c r="EK670" s="1373"/>
      <c r="EL670" s="1373"/>
      <c r="EM670" s="1373">
        <f>SUMIF(EM635:EQ669,"&gt;0")</f>
        <v>1477.3333333333333</v>
      </c>
      <c r="EN670" s="1373"/>
      <c r="EO670" s="1373"/>
      <c r="EP670" s="1373"/>
      <c r="EQ670" s="1373"/>
      <c r="ER670" s="1373">
        <f>SUMIF(ER635:EV669,"&gt;0")</f>
        <v>1257.75</v>
      </c>
      <c r="ES670" s="1373"/>
      <c r="ET670" s="1373"/>
      <c r="EU670" s="1373"/>
      <c r="EV670" s="1373"/>
      <c r="EW670" s="1373">
        <f>SUMIF(EW635:FA669,"&gt;0")</f>
        <v>0</v>
      </c>
      <c r="EX670" s="1373"/>
      <c r="EY670" s="1373"/>
      <c r="EZ670" s="1373"/>
      <c r="FA670" s="1373"/>
    </row>
    <row r="671" spans="1:157" ht="12.9"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38"/>
      <c r="I672" s="1438"/>
      <c r="J672" s="1438"/>
      <c r="K672" s="1438"/>
      <c r="L672" s="1438"/>
      <c r="M672" s="1438"/>
      <c r="N672" s="1438"/>
      <c r="O672" s="1438"/>
      <c r="P672" s="1438"/>
      <c r="Q672" s="1438"/>
      <c r="R672" s="1438"/>
      <c r="T672" s="22"/>
      <c r="U672" t="s">
        <v>18</v>
      </c>
      <c r="AA672" s="1438"/>
      <c r="AB672" s="1438"/>
      <c r="AC672" s="1438"/>
      <c r="AD672" s="1438"/>
      <c r="AE672" s="1438"/>
      <c r="AF672" s="1438"/>
      <c r="AG672" s="1438"/>
      <c r="AH672" s="1438"/>
      <c r="AI672" s="1438"/>
      <c r="AJ672" s="1438"/>
      <c r="AK672" s="143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32" t="s">
        <v>670</v>
      </c>
      <c r="O673" s="1432"/>
      <c r="T673" s="22"/>
      <c r="U673" t="s">
        <v>20</v>
      </c>
      <c r="AG673" s="1432" t="s">
        <v>670</v>
      </c>
      <c r="AH673" s="1432"/>
      <c r="AZ673" s="3"/>
    </row>
    <row r="674" spans="1:52" ht="12.9" customHeight="1">
      <c r="A674" s="22"/>
      <c r="T674" s="22"/>
      <c r="AZ674" s="3"/>
    </row>
    <row r="675" spans="1:52" ht="12.9" customHeight="1">
      <c r="A675" s="55" t="s">
        <v>462</v>
      </c>
      <c r="B675" t="s">
        <v>464</v>
      </c>
      <c r="G675" s="1485">
        <f>C635</f>
        <v>0</v>
      </c>
      <c r="H675" s="1485"/>
      <c r="I675" s="1485"/>
      <c r="J675" s="1485"/>
      <c r="K675" s="1485"/>
      <c r="L675" s="1485"/>
      <c r="M675" s="1485"/>
      <c r="N675" s="1485"/>
      <c r="O675" s="1485"/>
      <c r="P675" s="1485"/>
      <c r="Q675" s="1485"/>
      <c r="R675" s="1485"/>
      <c r="T675" s="55" t="s">
        <v>647</v>
      </c>
      <c r="U675" t="s">
        <v>464</v>
      </c>
      <c r="Z675" s="1485">
        <f>C636</f>
        <v>0</v>
      </c>
      <c r="AA675" s="1485"/>
      <c r="AB675" s="1485"/>
      <c r="AC675" s="1485"/>
      <c r="AD675" s="1485"/>
      <c r="AE675" s="1485"/>
      <c r="AF675" s="1485"/>
      <c r="AG675" s="1485"/>
      <c r="AH675" s="1485"/>
      <c r="AI675" s="1485"/>
      <c r="AJ675" s="1485"/>
      <c r="AK675" s="1485"/>
      <c r="AZ675" s="3"/>
    </row>
    <row r="676" spans="1:52" ht="12.9" customHeight="1">
      <c r="A676" s="22"/>
      <c r="B676" t="s">
        <v>85</v>
      </c>
      <c r="G676" s="1438"/>
      <c r="H676" s="1438"/>
      <c r="I676" s="1438"/>
      <c r="J676" s="1438"/>
      <c r="K676" s="1438"/>
      <c r="L676" s="1438"/>
      <c r="M676" s="1438"/>
      <c r="N676" s="1438"/>
      <c r="O676" s="1438"/>
      <c r="P676" s="1438"/>
      <c r="Q676" s="1438"/>
      <c r="R676" s="1438"/>
      <c r="T676" s="22"/>
      <c r="U676" t="s">
        <v>85</v>
      </c>
      <c r="Z676" s="1438"/>
      <c r="AA676" s="1438"/>
      <c r="AB676" s="1438"/>
      <c r="AC676" s="1438"/>
      <c r="AD676" s="1438"/>
      <c r="AE676" s="1438"/>
      <c r="AF676" s="1438"/>
      <c r="AG676" s="1438"/>
      <c r="AH676" s="1438"/>
      <c r="AI676" s="1438"/>
      <c r="AJ676" s="1438"/>
      <c r="AK676" s="1438"/>
      <c r="AZ676" s="3"/>
    </row>
    <row r="677" spans="1:52" ht="12.9" customHeight="1">
      <c r="A677" s="22"/>
      <c r="B677" t="s">
        <v>581</v>
      </c>
      <c r="G677" s="1438"/>
      <c r="H677" s="1438"/>
      <c r="I677" s="1438"/>
      <c r="J677" s="1438"/>
      <c r="K677" s="1438"/>
      <c r="L677" s="1438"/>
      <c r="M677" s="1438"/>
      <c r="N677" s="1438"/>
      <c r="O677" s="1438"/>
      <c r="P677" s="1438"/>
      <c r="Q677" s="1438"/>
      <c r="R677" s="1438"/>
      <c r="T677" s="22"/>
      <c r="U677" t="s">
        <v>581</v>
      </c>
      <c r="Z677" s="1375"/>
      <c r="AA677" s="1375"/>
      <c r="AB677" s="1375"/>
      <c r="AC677" s="1375"/>
      <c r="AD677" s="1375"/>
      <c r="AE677" s="1375"/>
      <c r="AF677" s="1375"/>
      <c r="AG677" s="1375"/>
      <c r="AH677" s="1375"/>
      <c r="AI677" s="1375"/>
      <c r="AJ677" s="1375"/>
      <c r="AK677" s="1375"/>
      <c r="AZ677" s="3"/>
    </row>
    <row r="678" spans="1:52" ht="12.9" customHeight="1">
      <c r="A678" s="22"/>
      <c r="B678" t="s">
        <v>17</v>
      </c>
      <c r="G678" s="1438"/>
      <c r="H678" s="1438"/>
      <c r="I678" s="1438"/>
      <c r="J678" s="1438"/>
      <c r="K678" s="1438"/>
      <c r="L678" s="1438"/>
      <c r="M678" s="1438"/>
      <c r="N678" s="1438"/>
      <c r="O678" s="1438"/>
      <c r="P678" s="1438"/>
      <c r="Q678" s="1438"/>
      <c r="R678" s="1438"/>
      <c r="T678" s="22"/>
      <c r="U678" t="s">
        <v>17</v>
      </c>
      <c r="Z678" s="1375"/>
      <c r="AA678" s="1375"/>
      <c r="AB678" s="1375"/>
      <c r="AC678" s="1375"/>
      <c r="AD678" s="1375"/>
      <c r="AE678" s="1375"/>
      <c r="AF678" s="1375"/>
      <c r="AG678" s="1375"/>
      <c r="AH678" s="1375"/>
      <c r="AI678" s="1375"/>
      <c r="AJ678" s="1375"/>
      <c r="AK678" s="1375"/>
      <c r="AZ678" s="3"/>
    </row>
    <row r="679" spans="1:52" ht="12.9"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2.9" customHeight="1">
      <c r="A680" s="22"/>
      <c r="B680" t="s">
        <v>18</v>
      </c>
      <c r="H680" s="1438"/>
      <c r="I680" s="1438"/>
      <c r="J680" s="1438"/>
      <c r="K680" s="1438"/>
      <c r="L680" s="1438"/>
      <c r="M680" s="1438"/>
      <c r="N680" s="1438"/>
      <c r="O680" s="1438"/>
      <c r="P680" s="1438"/>
      <c r="Q680" s="1438"/>
      <c r="R680" s="1438"/>
      <c r="T680" s="22"/>
      <c r="U680" t="s">
        <v>18</v>
      </c>
      <c r="AA680" s="1438"/>
      <c r="AB680" s="1438"/>
      <c r="AC680" s="1438"/>
      <c r="AD680" s="1438"/>
      <c r="AE680" s="1438"/>
      <c r="AF680" s="1438"/>
      <c r="AG680" s="1438"/>
      <c r="AH680" s="1438"/>
      <c r="AI680" s="1438"/>
      <c r="AJ680" s="1438"/>
      <c r="AK680" s="1438"/>
      <c r="AZ680" s="3"/>
    </row>
    <row r="681" spans="1:52" ht="12.9" customHeight="1">
      <c r="A681" s="22"/>
      <c r="B681" t="s">
        <v>20</v>
      </c>
      <c r="N681" s="1432" t="s">
        <v>670</v>
      </c>
      <c r="O681" s="1432"/>
      <c r="T681" s="22"/>
      <c r="U681" t="s">
        <v>20</v>
      </c>
      <c r="AG681" s="1432" t="s">
        <v>670</v>
      </c>
      <c r="AH681" s="1432"/>
      <c r="AZ681" s="3"/>
    </row>
    <row r="682" spans="1:52" ht="12.9" customHeight="1">
      <c r="A682" s="22"/>
      <c r="T682" s="22"/>
      <c r="AZ682" s="3"/>
    </row>
    <row r="683" spans="1:52" ht="12.9" customHeight="1">
      <c r="A683" s="55" t="s">
        <v>362</v>
      </c>
      <c r="B683" t="s">
        <v>464</v>
      </c>
      <c r="G683" s="1485">
        <f>C637</f>
        <v>0</v>
      </c>
      <c r="H683" s="1485"/>
      <c r="I683" s="1485"/>
      <c r="J683" s="1485"/>
      <c r="K683" s="1485"/>
      <c r="L683" s="1485"/>
      <c r="M683" s="1485"/>
      <c r="N683" s="1485"/>
      <c r="O683" s="1485"/>
      <c r="P683" s="1485"/>
      <c r="Q683" s="1485"/>
      <c r="R683" s="1485"/>
      <c r="T683" s="55" t="s">
        <v>363</v>
      </c>
      <c r="U683" t="s">
        <v>464</v>
      </c>
      <c r="Z683" s="1485">
        <f>C638</f>
        <v>0</v>
      </c>
      <c r="AA683" s="1485"/>
      <c r="AB683" s="1485"/>
      <c r="AC683" s="1485"/>
      <c r="AD683" s="1485"/>
      <c r="AE683" s="1485"/>
      <c r="AF683" s="1485"/>
      <c r="AG683" s="1485"/>
      <c r="AH683" s="1485"/>
      <c r="AI683" s="1485"/>
      <c r="AJ683" s="1485"/>
      <c r="AK683" s="1485"/>
      <c r="AZ683" s="3"/>
    </row>
    <row r="684" spans="1:52" ht="12.9" customHeight="1">
      <c r="B684" t="s">
        <v>85</v>
      </c>
      <c r="G684" s="1438"/>
      <c r="H684" s="1438"/>
      <c r="I684" s="1438"/>
      <c r="J684" s="1438"/>
      <c r="K684" s="1438"/>
      <c r="L684" s="1438"/>
      <c r="M684" s="1438"/>
      <c r="N684" s="1438"/>
      <c r="O684" s="1438"/>
      <c r="P684" s="1438"/>
      <c r="Q684" s="1438"/>
      <c r="R684" s="1438"/>
      <c r="T684" s="22"/>
      <c r="U684" t="s">
        <v>85</v>
      </c>
      <c r="Z684" s="1438"/>
      <c r="AA684" s="1438"/>
      <c r="AB684" s="1438"/>
      <c r="AC684" s="1438"/>
      <c r="AD684" s="1438"/>
      <c r="AE684" s="1438"/>
      <c r="AF684" s="1438"/>
      <c r="AG684" s="1438"/>
      <c r="AH684" s="1438"/>
      <c r="AI684" s="1438"/>
      <c r="AJ684" s="1438"/>
      <c r="AK684" s="1438"/>
      <c r="AZ684" s="3"/>
    </row>
    <row r="685" spans="1:52" ht="12.9" customHeight="1">
      <c r="B685" t="s">
        <v>581</v>
      </c>
      <c r="G685" s="1438"/>
      <c r="H685" s="1438"/>
      <c r="I685" s="1438"/>
      <c r="J685" s="1438"/>
      <c r="K685" s="1438"/>
      <c r="L685" s="1438"/>
      <c r="M685" s="1438"/>
      <c r="N685" s="1438"/>
      <c r="O685" s="1438"/>
      <c r="P685" s="1438"/>
      <c r="Q685" s="1438"/>
      <c r="R685" s="1438"/>
      <c r="U685" t="s">
        <v>581</v>
      </c>
      <c r="Z685" s="1375"/>
      <c r="AA685" s="1375"/>
      <c r="AB685" s="1375"/>
      <c r="AC685" s="1375"/>
      <c r="AD685" s="1375"/>
      <c r="AE685" s="1375"/>
      <c r="AF685" s="1375"/>
      <c r="AG685" s="1375"/>
      <c r="AH685" s="1375"/>
      <c r="AI685" s="1375"/>
      <c r="AJ685" s="1375"/>
      <c r="AK685" s="1375"/>
      <c r="AZ685" s="3"/>
    </row>
    <row r="686" spans="1:52" ht="12.9" customHeight="1">
      <c r="B686" t="s">
        <v>17</v>
      </c>
      <c r="G686" s="1438"/>
      <c r="H686" s="1438"/>
      <c r="I686" s="1438"/>
      <c r="J686" s="1438"/>
      <c r="K686" s="1438"/>
      <c r="L686" s="1438"/>
      <c r="M686" s="1438"/>
      <c r="N686" s="1438"/>
      <c r="O686" s="1438"/>
      <c r="P686" s="1438"/>
      <c r="Q686" s="1438"/>
      <c r="R686" s="1438"/>
      <c r="U686" t="s">
        <v>17</v>
      </c>
      <c r="Z686" s="1375"/>
      <c r="AA686" s="1375"/>
      <c r="AB686" s="1375"/>
      <c r="AC686" s="1375"/>
      <c r="AD686" s="1375"/>
      <c r="AE686" s="1375"/>
      <c r="AF686" s="1375"/>
      <c r="AG686" s="1375"/>
      <c r="AH686" s="1375"/>
      <c r="AI686" s="1375"/>
      <c r="AJ686" s="1375"/>
      <c r="AK686" s="1375"/>
      <c r="AZ686" s="3"/>
    </row>
    <row r="687" spans="1:52" ht="12.9"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2.9" customHeight="1">
      <c r="B688" t="s">
        <v>18</v>
      </c>
      <c r="H688" s="1438"/>
      <c r="I688" s="1438"/>
      <c r="J688" s="1438"/>
      <c r="K688" s="1438"/>
      <c r="L688" s="1438"/>
      <c r="M688" s="1438"/>
      <c r="N688" s="1438"/>
      <c r="O688" s="1438"/>
      <c r="P688" s="1438"/>
      <c r="Q688" s="1438"/>
      <c r="R688" s="1438"/>
      <c r="U688" t="s">
        <v>18</v>
      </c>
      <c r="AA688" s="1438"/>
      <c r="AB688" s="1438"/>
      <c r="AC688" s="1438"/>
      <c r="AD688" s="1438"/>
      <c r="AE688" s="1438"/>
      <c r="AF688" s="1438"/>
      <c r="AG688" s="1438"/>
      <c r="AH688" s="1438"/>
      <c r="AI688" s="1438"/>
      <c r="AJ688" s="1438"/>
      <c r="AK688" s="1438"/>
      <c r="AZ688" s="3"/>
    </row>
    <row r="689" spans="1:67" ht="12.9" customHeight="1">
      <c r="B689" t="s">
        <v>20</v>
      </c>
      <c r="N689" s="1432" t="s">
        <v>670</v>
      </c>
      <c r="O689" s="1432"/>
      <c r="U689" t="s">
        <v>20</v>
      </c>
      <c r="AG689" s="1432" t="s">
        <v>670</v>
      </c>
      <c r="AH689" s="1432"/>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32" t="s">
        <v>670</v>
      </c>
      <c r="AF693" s="1432"/>
      <c r="AZ693" s="3"/>
    </row>
    <row r="694" spans="1:67" ht="12.9" customHeight="1">
      <c r="B694" s="135"/>
      <c r="C694" s="135"/>
      <c r="D694" s="136" t="s">
        <v>438</v>
      </c>
      <c r="E694" s="135"/>
      <c r="F694" s="135"/>
      <c r="G694" s="135"/>
      <c r="H694" s="135"/>
      <c r="AE694" s="1432" t="s">
        <v>670</v>
      </c>
      <c r="AF694" s="1432"/>
      <c r="AZ694" s="3"/>
    </row>
    <row r="695" spans="1:67" ht="12.9" customHeight="1">
      <c r="B695" s="135"/>
      <c r="C695" s="135"/>
      <c r="D695" s="136" t="s">
        <v>921</v>
      </c>
      <c r="E695" s="135"/>
      <c r="F695" s="135"/>
      <c r="G695" s="135"/>
      <c r="H695" s="135"/>
      <c r="AE695" s="1508">
        <v>45909</v>
      </c>
      <c r="AF695" s="1508"/>
      <c r="AG695" s="1508"/>
      <c r="AH695" s="1508"/>
      <c r="AI695" s="1508"/>
    </row>
    <row r="696" spans="1:67" ht="12.9" customHeight="1">
      <c r="B696" s="135"/>
      <c r="C696" s="135"/>
      <c r="D696" s="317" t="s">
        <v>984</v>
      </c>
      <c r="E696" s="135"/>
      <c r="F696" s="135"/>
      <c r="G696" s="135"/>
      <c r="H696" s="135"/>
      <c r="AE696" s="1658">
        <v>46161</v>
      </c>
      <c r="AF696" s="1658"/>
      <c r="AG696" s="1658"/>
      <c r="AH696" s="1658"/>
      <c r="AI696" s="1658"/>
    </row>
    <row r="697" spans="1:67" ht="12.9" customHeight="1">
      <c r="B697" s="135"/>
      <c r="C697" s="135"/>
    </row>
    <row r="698" spans="1:67" ht="12.9" customHeight="1">
      <c r="B698" s="135"/>
      <c r="C698" s="135"/>
      <c r="D698" s="136" t="s">
        <v>817</v>
      </c>
      <c r="E698" s="135"/>
      <c r="F698" s="135"/>
      <c r="G698" s="135"/>
      <c r="H698" s="135"/>
      <c r="AE698" s="1508">
        <v>45980</v>
      </c>
      <c r="AF698" s="1508"/>
      <c r="AG698" s="1508"/>
      <c r="AH698" s="1508"/>
      <c r="AI698" s="1508"/>
    </row>
    <row r="699" spans="1:67" ht="12.9" customHeight="1">
      <c r="B699" s="135"/>
      <c r="C699" s="135"/>
      <c r="D699" s="136" t="s">
        <v>436</v>
      </c>
      <c r="E699" s="135"/>
      <c r="F699" s="135"/>
      <c r="G699" s="135"/>
      <c r="H699" s="135"/>
      <c r="AE699" s="1686">
        <v>0.28999999999999998</v>
      </c>
      <c r="AF699" s="1686"/>
      <c r="AG699" s="1686"/>
      <c r="AH699" s="1686"/>
      <c r="AI699" s="1686"/>
    </row>
    <row r="700" spans="1:67" ht="12.9" customHeight="1">
      <c r="B700" s="135"/>
      <c r="C700" s="135"/>
      <c r="D700" s="136" t="s">
        <v>437</v>
      </c>
      <c r="E700" s="135"/>
      <c r="F700" s="135"/>
      <c r="G700" s="135"/>
      <c r="H700" s="135"/>
      <c r="W700" s="1485" t="str">
        <f>H335</f>
        <v>CMFA</v>
      </c>
      <c r="X700" s="1485"/>
      <c r="Y700" s="1485"/>
      <c r="Z700" s="1485"/>
      <c r="AA700" s="1485"/>
      <c r="AB700" s="1485"/>
      <c r="AC700" s="1485"/>
      <c r="AD700" s="1485"/>
      <c r="AE700" s="1485"/>
      <c r="AF700" s="1485"/>
      <c r="AG700" s="1485"/>
      <c r="AH700" s="1485"/>
      <c r="AI700" s="1485"/>
      <c r="AJ700" s="1485"/>
      <c r="AK700" s="1485"/>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32" t="s">
        <v>670</v>
      </c>
      <c r="AF702" s="1432"/>
      <c r="AZ702" s="4" t="s">
        <v>324</v>
      </c>
    </row>
    <row r="703" spans="1:67" ht="12.9" customHeight="1">
      <c r="B703" s="135"/>
      <c r="C703" s="135"/>
      <c r="D703" s="136" t="s">
        <v>443</v>
      </c>
      <c r="E703" s="135"/>
      <c r="F703" s="135"/>
      <c r="G703" s="135"/>
      <c r="H703" s="135"/>
      <c r="W703" s="1438"/>
      <c r="X703" s="1438"/>
      <c r="Y703" s="1438"/>
      <c r="Z703" s="1438"/>
      <c r="AA703" s="1438"/>
      <c r="AB703" s="1438"/>
      <c r="AC703" s="1438"/>
      <c r="AD703" s="1438"/>
      <c r="AE703" s="1438"/>
      <c r="AF703" s="1438"/>
      <c r="AG703" s="1438"/>
      <c r="AH703" s="1438"/>
      <c r="AI703" s="1438"/>
      <c r="AJ703" s="1438"/>
      <c r="AK703" s="1438"/>
      <c r="AZ703" s="4" t="s">
        <v>325</v>
      </c>
    </row>
    <row r="704" spans="1:67" ht="12.9" customHeight="1">
      <c r="B704" s="135"/>
      <c r="C704" s="135"/>
      <c r="D704" s="136" t="s">
        <v>87</v>
      </c>
      <c r="E704" s="135"/>
      <c r="F704" s="135"/>
      <c r="G704" s="135"/>
      <c r="H704" s="135"/>
      <c r="J704" s="1438"/>
      <c r="K704" s="1438"/>
      <c r="L704" s="1438"/>
      <c r="M704" s="1438"/>
      <c r="N704" s="1438"/>
      <c r="O704" s="1438"/>
      <c r="P704" s="1438"/>
      <c r="Q704" s="1438"/>
      <c r="R704" s="1438"/>
      <c r="S704" s="1438"/>
      <c r="T704" s="1438"/>
      <c r="U704" s="1438"/>
      <c r="V704" s="1438"/>
      <c r="W704" s="1438"/>
      <c r="X704" s="1438"/>
      <c r="AZ704" s="4" t="s">
        <v>163</v>
      </c>
      <c r="BB704" s="34"/>
      <c r="BC704" s="34"/>
      <c r="BD704" s="34"/>
      <c r="BE704" s="3"/>
      <c r="BF704" s="3"/>
      <c r="BJ704" s="3"/>
      <c r="BK704" s="3"/>
      <c r="BL704" s="3"/>
      <c r="BM704" s="3"/>
      <c r="BN704" s="34"/>
      <c r="BO704" s="34"/>
    </row>
    <row r="705" spans="1:185" ht="12.9" customHeight="1">
      <c r="B705" s="135"/>
      <c r="C705" s="135"/>
      <c r="D705" s="136" t="s">
        <v>88</v>
      </c>
      <c r="J705" s="1489"/>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438" t="s">
        <v>307</v>
      </c>
      <c r="X706" s="1438"/>
      <c r="Y706" s="1438"/>
      <c r="Z706" s="1438"/>
      <c r="AA706" s="1438"/>
      <c r="AB706" s="1438"/>
      <c r="AC706" s="1438"/>
      <c r="AD706" s="1438"/>
      <c r="AE706" s="1438"/>
      <c r="AF706" s="1438"/>
      <c r="AG706" s="1438"/>
      <c r="AH706" s="1438"/>
      <c r="AI706" s="1438"/>
      <c r="AJ706" s="1438"/>
      <c r="AK706" s="143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38" t="s">
        <v>334</v>
      </c>
      <c r="F707" s="1438"/>
      <c r="G707" s="1438"/>
      <c r="H707" s="1438"/>
      <c r="I707" s="1438"/>
      <c r="J707" s="1438"/>
      <c r="K707" s="1438"/>
      <c r="L707" s="1438"/>
      <c r="M707" s="1438"/>
      <c r="N707" s="1438"/>
      <c r="O707" s="1438"/>
      <c r="P707" s="1438"/>
      <c r="Q707" s="1438"/>
      <c r="R707" s="1438"/>
      <c r="S707" s="1438"/>
      <c r="T707" s="1438"/>
      <c r="U707" s="1438"/>
      <c r="V707" s="1438"/>
      <c r="W707" s="1438"/>
      <c r="X707" s="1438"/>
      <c r="Y707" s="1438"/>
      <c r="Z707" s="1438"/>
      <c r="AA707" s="1438"/>
      <c r="AB707" s="1438"/>
      <c r="AC707" s="1438"/>
      <c r="AD707" s="1438"/>
      <c r="AE707" s="1438"/>
      <c r="AF707" s="1438"/>
      <c r="AG707" s="1438"/>
      <c r="AH707" s="1438"/>
      <c r="AI707" s="1438"/>
      <c r="AJ707" s="1438"/>
      <c r="AK707" s="143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6" t="s">
        <v>389</v>
      </c>
      <c r="C714" s="1497"/>
      <c r="D714" s="1497"/>
      <c r="E714" s="1497"/>
      <c r="F714" s="1498"/>
      <c r="G714" s="1496" t="s">
        <v>285</v>
      </c>
      <c r="H714" s="1497"/>
      <c r="I714" s="1497"/>
      <c r="J714" s="1498"/>
      <c r="K714" s="1513" t="s">
        <v>1680</v>
      </c>
      <c r="L714" s="1514"/>
      <c r="M714" s="1514"/>
      <c r="N714" s="1515"/>
      <c r="O714" s="1496" t="s">
        <v>448</v>
      </c>
      <c r="P714" s="1497"/>
      <c r="Q714" s="1497"/>
      <c r="R714" s="1497"/>
      <c r="S714" s="1498"/>
      <c r="T714" s="1509" t="s">
        <v>1950</v>
      </c>
      <c r="U714" s="1497"/>
      <c r="V714" s="1497"/>
      <c r="W714" s="1498"/>
      <c r="X714" s="1509" t="s">
        <v>1952</v>
      </c>
      <c r="Y714" s="1497"/>
      <c r="Z714" s="1497"/>
      <c r="AA714" s="1497"/>
      <c r="AB714" s="1498"/>
      <c r="AC714" s="1509" t="s">
        <v>1951</v>
      </c>
      <c r="AD714" s="1497"/>
      <c r="AE714" s="1497"/>
      <c r="AF714" s="1497"/>
      <c r="AG714" s="1498"/>
      <c r="AH714" s="1509" t="s">
        <v>1953</v>
      </c>
      <c r="AI714" s="1497"/>
      <c r="AJ714" s="1498"/>
      <c r="AK714" s="1509"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9"/>
      <c r="CJ717" s="1341"/>
      <c r="CK717" s="121" t="s">
        <v>476</v>
      </c>
      <c r="CL717" s="122"/>
      <c r="CM717" s="1339"/>
      <c r="CN717" s="1341"/>
      <c r="CO717" s="3"/>
      <c r="CP717" s="1796" t="s">
        <v>634</v>
      </c>
      <c r="CQ717" s="1797"/>
      <c r="CR717" s="1797"/>
      <c r="CS717" s="1797"/>
      <c r="CT717" s="1798"/>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2.9" customHeight="1">
      <c r="A718" s="4"/>
      <c r="B718" s="1359" t="s">
        <v>325</v>
      </c>
      <c r="C718" s="1360"/>
      <c r="D718" s="1360"/>
      <c r="E718" s="1360"/>
      <c r="F718" s="1361"/>
      <c r="G718" s="1368">
        <v>4</v>
      </c>
      <c r="H718" s="1369"/>
      <c r="I718" s="1369"/>
      <c r="J718" s="1370"/>
      <c r="K718" s="1596">
        <v>551</v>
      </c>
      <c r="L718" s="1597"/>
      <c r="M718" s="1597"/>
      <c r="N718" s="1598"/>
      <c r="O718" s="1470">
        <f>547-12</f>
        <v>535</v>
      </c>
      <c r="P718" s="1471"/>
      <c r="Q718" s="1471"/>
      <c r="R718" s="1471"/>
      <c r="S718" s="1472"/>
      <c r="T718" s="1470">
        <v>12</v>
      </c>
      <c r="U718" s="1471"/>
      <c r="V718" s="1471"/>
      <c r="W718" s="1472"/>
      <c r="X718" s="1362">
        <f t="shared" ref="X718:X741" si="8">O718+T718</f>
        <v>547</v>
      </c>
      <c r="Y718" s="1363"/>
      <c r="Z718" s="1363"/>
      <c r="AA718" s="1363"/>
      <c r="AB718" s="1364"/>
      <c r="AC718" s="1605">
        <v>0.3</v>
      </c>
      <c r="AD718" s="1606"/>
      <c r="AE718" s="1606"/>
      <c r="AF718" s="1606"/>
      <c r="AG718" s="1607"/>
      <c r="AH718" s="1365">
        <f>IF($AC718&gt;0,($X718/$AZ718), "")</f>
        <v>0.30021953896816683</v>
      </c>
      <c r="AI718" s="1366"/>
      <c r="AJ718" s="1367"/>
      <c r="AK718" s="1359" t="s">
        <v>592</v>
      </c>
      <c r="AL718" s="1360"/>
      <c r="AM718" s="1360"/>
      <c r="AN718" s="1360"/>
      <c r="AO718" s="1361"/>
      <c r="AP718" s="3"/>
      <c r="AQ718" s="3"/>
      <c r="AR718" s="3"/>
      <c r="AS718" s="3"/>
      <c r="AZ718" s="118">
        <f t="shared" ref="AZ718:AZ752" si="9">IF($G718=0,"N/A",VLOOKUP($T$189,TC_Rent,(MATCH($B718,bedrooms,FALSE)),FALSE))</f>
        <v>1822</v>
      </c>
      <c r="BA718" s="3"/>
      <c r="BB718" s="3"/>
      <c r="BC718" s="3"/>
      <c r="BD718" s="3"/>
      <c r="BE718" s="204"/>
      <c r="BF718" s="293">
        <f t="shared" ref="BF718:BF752" si="10">G718</f>
        <v>4</v>
      </c>
      <c r="BG718" s="297">
        <f t="shared" ref="BG718:BG752" si="11">IF($BF$753=0,0,BF718/$BF$753)</f>
        <v>3.3613445378151259E-2</v>
      </c>
      <c r="BH718" s="298">
        <f t="shared" ref="BH718:BH752" si="12">IF(BG718=0,"",BG718*AC718)</f>
        <v>1.0084033613445377E-2</v>
      </c>
      <c r="BI718" s="3"/>
      <c r="BJ718" s="3"/>
      <c r="BK718" s="3"/>
      <c r="BL718" s="3"/>
      <c r="BM718" s="3"/>
      <c r="BN718" s="3"/>
      <c r="BS718" s="293">
        <f t="shared" ref="BS718:BS752" si="13">G718</f>
        <v>4</v>
      </c>
      <c r="BT718" s="297">
        <f t="shared" ref="BT718:BT752" si="14">IF($BS$753=0,0,BS718/$BS$753)</f>
        <v>3.3613445378151259E-2</v>
      </c>
      <c r="BU718" s="298">
        <f t="shared" ref="BU718:BU752" si="15">IF(BT718=0,"",BT718*AH718)</f>
        <v>1.009141307456023E-2</v>
      </c>
      <c r="CC718" s="3"/>
      <c r="CD718" s="3"/>
      <c r="CE718" s="3"/>
      <c r="CF718" s="3"/>
      <c r="CG718" s="1355">
        <f>IF(AND(AC718&lt;=0.5,AC718&gt;=0.36),1,0)</f>
        <v>0</v>
      </c>
      <c r="CH718" s="1357"/>
      <c r="CI718" s="1339">
        <f>IF(CG718=1,G718,0)</f>
        <v>0</v>
      </c>
      <c r="CJ718" s="1341"/>
      <c r="CK718" s="1355">
        <f t="shared" ref="CK718:CK752" si="16">IF(AND(AC718&lt;=0.35,AC718&gt;0),1,0)</f>
        <v>1</v>
      </c>
      <c r="CL718" s="1357"/>
      <c r="CM718" s="1339">
        <f t="shared" ref="CM718:CM752" si="17">IF(CK718=1,G718,0)</f>
        <v>4</v>
      </c>
      <c r="CN718" s="1341"/>
      <c r="CO718" s="3"/>
      <c r="CP718" s="1332">
        <f t="shared" ref="CP718:CP752" si="18">IF(B718="SRO/Studio",G718,0)</f>
        <v>0</v>
      </c>
      <c r="CQ718" s="1333"/>
      <c r="CR718" s="1333"/>
      <c r="CS718" s="1333"/>
      <c r="CT718" s="1334"/>
      <c r="CU718" s="1358">
        <f t="shared" ref="CU718:CU752" si="19">IF(B718="1 Bedroom",G718,0)</f>
        <v>4</v>
      </c>
      <c r="CV718" s="1358"/>
      <c r="CW718" s="1358"/>
      <c r="CX718" s="1358"/>
      <c r="CY718" s="1358"/>
      <c r="CZ718" s="1358">
        <f t="shared" ref="CZ718:CZ752" si="20">IF(B718="2 Bedrooms",G718,0)</f>
        <v>0</v>
      </c>
      <c r="DA718" s="1358"/>
      <c r="DB718" s="1358"/>
      <c r="DC718" s="1358"/>
      <c r="DD718" s="1358"/>
      <c r="DE718" s="1358">
        <f t="shared" ref="DE718:DE752" si="21">IF(B718="3 Bedrooms",G718,0)</f>
        <v>0</v>
      </c>
      <c r="DF718" s="1358"/>
      <c r="DG718" s="1358"/>
      <c r="DH718" s="1358"/>
      <c r="DI718" s="1358"/>
      <c r="DJ718" s="1358">
        <f t="shared" ref="DJ718:DJ752" si="22">IF(B718="4 Bedrooms",G718,0)</f>
        <v>0</v>
      </c>
      <c r="DK718" s="1358"/>
      <c r="DL718" s="1358"/>
      <c r="DM718" s="1358"/>
      <c r="DN718" s="1358"/>
      <c r="DO718" s="1358">
        <f t="shared" ref="DO718:DO752" si="23">IF(B718="5 Bedrooms",G718,0)</f>
        <v>0</v>
      </c>
      <c r="DP718" s="1358"/>
      <c r="DQ718" s="1358"/>
      <c r="DR718" s="1358"/>
      <c r="DS718" s="1358"/>
      <c r="DT718" s="6"/>
      <c r="DU718" s="1372">
        <f t="shared" ref="DU718:DU752" si="24">IF(AND(B718="SRO/Studio",AC718&lt;=0.3),G718,0)</f>
        <v>0</v>
      </c>
      <c r="DV718" s="1372"/>
      <c r="DW718" s="1372"/>
      <c r="DX718" s="1372"/>
      <c r="DY718" s="1372"/>
      <c r="DZ718" s="1372">
        <f t="shared" ref="DZ718:DZ752" si="25">IF(AND(B718="1 Bedroom",AC718&lt;=0.3),G718,0)</f>
        <v>4</v>
      </c>
      <c r="EA718" s="1372"/>
      <c r="EB718" s="1372"/>
      <c r="EC718" s="1372"/>
      <c r="ED718" s="1372"/>
      <c r="EE718" s="1372">
        <f t="shared" ref="EE718:EE752" si="26">IF(AND(B718="2 Bedrooms",AC718&lt;=0.3),G718,0)</f>
        <v>0</v>
      </c>
      <c r="EF718" s="1372"/>
      <c r="EG718" s="1372"/>
      <c r="EH718" s="1372"/>
      <c r="EI718" s="1372"/>
      <c r="EJ718" s="1372">
        <f t="shared" ref="EJ718:EJ752" si="27">IF(AND(B718="3 Bedrooms",AC718&lt;=0.3),G718,0)</f>
        <v>0</v>
      </c>
      <c r="EK718" s="1372"/>
      <c r="EL718" s="1372"/>
      <c r="EM718" s="1372"/>
      <c r="EN718" s="1372"/>
      <c r="EO718" s="1372">
        <f t="shared" ref="EO718:EO752" si="28">IF(AND(B718="4 Bedrooms",AC718&lt;=0.3),G718,0)</f>
        <v>0</v>
      </c>
      <c r="EP718" s="1372"/>
      <c r="EQ718" s="1372"/>
      <c r="ER718" s="1372"/>
      <c r="ES718" s="1372"/>
      <c r="ET718" s="1372">
        <f t="shared" ref="ET718:ET752" si="29">IF(AND(B718="5 Bedrooms",AC718&lt;=0.3),G718,0)</f>
        <v>0</v>
      </c>
      <c r="EU718" s="1372"/>
      <c r="EV718" s="1372"/>
      <c r="EW718" s="1372"/>
      <c r="EX718" s="1372"/>
      <c r="EY718" s="4"/>
      <c r="EZ718" s="1355" t="str">
        <f t="shared" ref="EZ718:EZ752" si="30">IF(CP718&gt;0,O718,"")</f>
        <v/>
      </c>
      <c r="FA718" s="1356"/>
      <c r="FB718" s="1356"/>
      <c r="FC718" s="1356"/>
      <c r="FD718" s="1357"/>
      <c r="FE718" s="1355">
        <f t="shared" ref="FE718:FE752" si="31">IF(CU718&gt;0,O718,"")</f>
        <v>535</v>
      </c>
      <c r="FF718" s="1356"/>
      <c r="FG718" s="1356"/>
      <c r="FH718" s="1356"/>
      <c r="FI718" s="1357"/>
      <c r="FJ718" s="1355" t="str">
        <f t="shared" ref="FJ718:FJ752" si="32">IF(CZ718&gt;0,O718,"")</f>
        <v/>
      </c>
      <c r="FK718" s="1356"/>
      <c r="FL718" s="1356"/>
      <c r="FM718" s="1356"/>
      <c r="FN718" s="1357"/>
      <c r="FO718" s="1355" t="str">
        <f t="shared" ref="FO718:FO752" si="33">IF(DE718&gt;0,O718,"")</f>
        <v/>
      </c>
      <c r="FP718" s="1356"/>
      <c r="FQ718" s="1356"/>
      <c r="FR718" s="1356"/>
      <c r="FS718" s="1357"/>
      <c r="FT718" s="1355" t="str">
        <f t="shared" ref="FT718:FT752" si="34">IF(DJ718&gt;0,O718,"")</f>
        <v/>
      </c>
      <c r="FU718" s="1356"/>
      <c r="FV718" s="1356"/>
      <c r="FW718" s="1356"/>
      <c r="FX718" s="1357"/>
      <c r="FY718" s="1355" t="str">
        <f t="shared" ref="FY718:FY752" si="35">IF(DO718&gt;0,O718,"")</f>
        <v/>
      </c>
      <c r="FZ718" s="1356"/>
      <c r="GA718" s="1356"/>
      <c r="GB718" s="1356"/>
      <c r="GC718" s="1357"/>
    </row>
    <row r="719" spans="1:185" ht="12.9" customHeight="1">
      <c r="A719" s="4"/>
      <c r="B719" s="1359" t="s">
        <v>325</v>
      </c>
      <c r="C719" s="1360"/>
      <c r="D719" s="1360"/>
      <c r="E719" s="1360"/>
      <c r="F719" s="1361"/>
      <c r="G719" s="1368">
        <v>5</v>
      </c>
      <c r="H719" s="1369"/>
      <c r="I719" s="1369"/>
      <c r="J719" s="1370"/>
      <c r="K719" s="1596">
        <v>551</v>
      </c>
      <c r="L719" s="1597"/>
      <c r="M719" s="1597"/>
      <c r="N719" s="1598"/>
      <c r="O719" s="1470">
        <f>911-12</f>
        <v>899</v>
      </c>
      <c r="P719" s="1471"/>
      <c r="Q719" s="1471"/>
      <c r="R719" s="1471"/>
      <c r="S719" s="1472"/>
      <c r="T719" s="1470">
        <v>12</v>
      </c>
      <c r="U719" s="1471"/>
      <c r="V719" s="1471"/>
      <c r="W719" s="1472"/>
      <c r="X719" s="1362">
        <f t="shared" si="8"/>
        <v>911</v>
      </c>
      <c r="Y719" s="1363"/>
      <c r="Z719" s="1363"/>
      <c r="AA719" s="1363"/>
      <c r="AB719" s="1364"/>
      <c r="AC719" s="1605">
        <v>0.5</v>
      </c>
      <c r="AD719" s="1606"/>
      <c r="AE719" s="1606"/>
      <c r="AF719" s="1606"/>
      <c r="AG719" s="1607"/>
      <c r="AH719" s="1365">
        <f t="shared" ref="AH719:AH752" si="36">IF($AC719&gt;0,($X719/$AZ719), "")</f>
        <v>0.5</v>
      </c>
      <c r="AI719" s="1366"/>
      <c r="AJ719" s="1367"/>
      <c r="AK719" s="1359" t="s">
        <v>592</v>
      </c>
      <c r="AL719" s="1360"/>
      <c r="AM719" s="1360"/>
      <c r="AN719" s="1360"/>
      <c r="AO719" s="1361"/>
      <c r="AP719" s="3"/>
      <c r="AQ719" s="3"/>
      <c r="AR719" s="3"/>
      <c r="AS719" s="3"/>
      <c r="AZ719" s="118">
        <f t="shared" si="9"/>
        <v>1822</v>
      </c>
      <c r="BA719" s="3"/>
      <c r="BB719" s="3"/>
      <c r="BC719" s="3"/>
      <c r="BD719" s="3"/>
      <c r="BE719" s="204"/>
      <c r="BF719" s="294">
        <f t="shared" si="10"/>
        <v>5</v>
      </c>
      <c r="BG719" s="297">
        <f t="shared" si="11"/>
        <v>4.2016806722689079E-2</v>
      </c>
      <c r="BH719" s="298">
        <f t="shared" si="12"/>
        <v>2.100840336134454E-2</v>
      </c>
      <c r="BI719" s="3"/>
      <c r="BJ719" s="3"/>
      <c r="BK719" s="3"/>
      <c r="BL719" s="3"/>
      <c r="BM719" s="3"/>
      <c r="BN719" s="3"/>
      <c r="BS719" s="294">
        <f t="shared" si="13"/>
        <v>5</v>
      </c>
      <c r="BT719" s="297">
        <f t="shared" si="14"/>
        <v>4.2016806722689079E-2</v>
      </c>
      <c r="BU719" s="298">
        <f t="shared" si="15"/>
        <v>2.100840336134454E-2</v>
      </c>
      <c r="CC719" s="3"/>
      <c r="CD719" s="3"/>
      <c r="CE719" s="3"/>
      <c r="CF719" s="3"/>
      <c r="CG719" s="1355">
        <f t="shared" ref="CG719:CG752" si="37">IF(AND(AC719&lt;=0.5,AC719&gt;=0.36),1,0)</f>
        <v>1</v>
      </c>
      <c r="CH719" s="1357"/>
      <c r="CI719" s="1339">
        <f t="shared" ref="CI719:CI752" si="38">IF(CG719=1,G719,0)</f>
        <v>5</v>
      </c>
      <c r="CJ719" s="1341"/>
      <c r="CK719" s="1355">
        <f t="shared" si="16"/>
        <v>0</v>
      </c>
      <c r="CL719" s="1357"/>
      <c r="CM719" s="1339">
        <f t="shared" si="17"/>
        <v>0</v>
      </c>
      <c r="CN719" s="1341"/>
      <c r="CO719" s="3"/>
      <c r="CP719" s="1332">
        <f t="shared" si="18"/>
        <v>0</v>
      </c>
      <c r="CQ719" s="1333"/>
      <c r="CR719" s="1333"/>
      <c r="CS719" s="1333"/>
      <c r="CT719" s="1334"/>
      <c r="CU719" s="1358">
        <f t="shared" si="19"/>
        <v>5</v>
      </c>
      <c r="CV719" s="1358"/>
      <c r="CW719" s="1358"/>
      <c r="CX719" s="1358"/>
      <c r="CY719" s="1358"/>
      <c r="CZ719" s="1358">
        <f t="shared" si="20"/>
        <v>0</v>
      </c>
      <c r="DA719" s="1358"/>
      <c r="DB719" s="1358"/>
      <c r="DC719" s="1358"/>
      <c r="DD719" s="1358"/>
      <c r="DE719" s="1358">
        <f t="shared" si="21"/>
        <v>0</v>
      </c>
      <c r="DF719" s="1358"/>
      <c r="DG719" s="1358"/>
      <c r="DH719" s="1358"/>
      <c r="DI719" s="1358"/>
      <c r="DJ719" s="1358">
        <f t="shared" si="22"/>
        <v>0</v>
      </c>
      <c r="DK719" s="1358"/>
      <c r="DL719" s="1358"/>
      <c r="DM719" s="1358"/>
      <c r="DN719" s="1358"/>
      <c r="DO719" s="1358">
        <f t="shared" si="23"/>
        <v>0</v>
      </c>
      <c r="DP719" s="1358"/>
      <c r="DQ719" s="1358"/>
      <c r="DR719" s="1358"/>
      <c r="DS719" s="1358"/>
      <c r="DT719" s="6"/>
      <c r="DU719" s="1372">
        <f t="shared" si="24"/>
        <v>0</v>
      </c>
      <c r="DV719" s="1372"/>
      <c r="DW719" s="1372"/>
      <c r="DX719" s="1372"/>
      <c r="DY719" s="1372"/>
      <c r="DZ719" s="1372">
        <f t="shared" si="25"/>
        <v>0</v>
      </c>
      <c r="EA719" s="1372"/>
      <c r="EB719" s="1372"/>
      <c r="EC719" s="1372"/>
      <c r="ED719" s="1372"/>
      <c r="EE719" s="1372">
        <f t="shared" si="26"/>
        <v>0</v>
      </c>
      <c r="EF719" s="1372"/>
      <c r="EG719" s="1372"/>
      <c r="EH719" s="1372"/>
      <c r="EI719" s="1372"/>
      <c r="EJ719" s="1372">
        <f t="shared" si="27"/>
        <v>0</v>
      </c>
      <c r="EK719" s="1372"/>
      <c r="EL719" s="1372"/>
      <c r="EM719" s="1372"/>
      <c r="EN719" s="1372"/>
      <c r="EO719" s="1372">
        <f t="shared" si="28"/>
        <v>0</v>
      </c>
      <c r="EP719" s="1372"/>
      <c r="EQ719" s="1372"/>
      <c r="ER719" s="1372"/>
      <c r="ES719" s="1372"/>
      <c r="ET719" s="1372">
        <f t="shared" si="29"/>
        <v>0</v>
      </c>
      <c r="EU719" s="1372"/>
      <c r="EV719" s="1372"/>
      <c r="EW719" s="1372"/>
      <c r="EX719" s="1372"/>
      <c r="EY719" s="4"/>
      <c r="EZ719" s="1355" t="str">
        <f t="shared" si="30"/>
        <v/>
      </c>
      <c r="FA719" s="1356"/>
      <c r="FB719" s="1356"/>
      <c r="FC719" s="1356"/>
      <c r="FD719" s="1357"/>
      <c r="FE719" s="1355">
        <f t="shared" si="31"/>
        <v>899</v>
      </c>
      <c r="FF719" s="1356"/>
      <c r="FG719" s="1356"/>
      <c r="FH719" s="1356"/>
      <c r="FI719" s="1357"/>
      <c r="FJ719" s="1355" t="str">
        <f t="shared" si="32"/>
        <v/>
      </c>
      <c r="FK719" s="1356"/>
      <c r="FL719" s="1356"/>
      <c r="FM719" s="1356"/>
      <c r="FN719" s="1357"/>
      <c r="FO719" s="1355" t="str">
        <f t="shared" si="33"/>
        <v/>
      </c>
      <c r="FP719" s="1356"/>
      <c r="FQ719" s="1356"/>
      <c r="FR719" s="1356"/>
      <c r="FS719" s="1357"/>
      <c r="FT719" s="1355" t="str">
        <f t="shared" si="34"/>
        <v/>
      </c>
      <c r="FU719" s="1356"/>
      <c r="FV719" s="1356"/>
      <c r="FW719" s="1356"/>
      <c r="FX719" s="1357"/>
      <c r="FY719" s="1355" t="str">
        <f t="shared" si="35"/>
        <v/>
      </c>
      <c r="FZ719" s="1356"/>
      <c r="GA719" s="1356"/>
      <c r="GB719" s="1356"/>
      <c r="GC719" s="1357"/>
    </row>
    <row r="720" spans="1:185" ht="12.9" customHeight="1">
      <c r="A720" s="4"/>
      <c r="B720" s="1359" t="s">
        <v>325</v>
      </c>
      <c r="C720" s="1360"/>
      <c r="D720" s="1360"/>
      <c r="E720" s="1360"/>
      <c r="F720" s="1361"/>
      <c r="G720" s="1368">
        <v>9</v>
      </c>
      <c r="H720" s="1369"/>
      <c r="I720" s="1369"/>
      <c r="J720" s="1370"/>
      <c r="K720" s="1596">
        <v>551</v>
      </c>
      <c r="L720" s="1597"/>
      <c r="M720" s="1597"/>
      <c r="N720" s="1598"/>
      <c r="O720" s="1470">
        <f>1050-12</f>
        <v>1038</v>
      </c>
      <c r="P720" s="1471"/>
      <c r="Q720" s="1471"/>
      <c r="R720" s="1471"/>
      <c r="S720" s="1472"/>
      <c r="T720" s="1470">
        <v>12</v>
      </c>
      <c r="U720" s="1471"/>
      <c r="V720" s="1471"/>
      <c r="W720" s="1472"/>
      <c r="X720" s="1362">
        <f t="shared" si="8"/>
        <v>1050</v>
      </c>
      <c r="Y720" s="1363"/>
      <c r="Z720" s="1363"/>
      <c r="AA720" s="1363"/>
      <c r="AB720" s="1364"/>
      <c r="AC720" s="1605">
        <v>0.6</v>
      </c>
      <c r="AD720" s="1606"/>
      <c r="AE720" s="1606"/>
      <c r="AF720" s="1606"/>
      <c r="AG720" s="1607"/>
      <c r="AH720" s="1365">
        <f t="shared" si="36"/>
        <v>0.5762897914379802</v>
      </c>
      <c r="AI720" s="1366"/>
      <c r="AJ720" s="1367"/>
      <c r="AK720" s="1359" t="s">
        <v>592</v>
      </c>
      <c r="AL720" s="1360"/>
      <c r="AM720" s="1360"/>
      <c r="AN720" s="1360"/>
      <c r="AO720" s="1361"/>
      <c r="AP720" s="3"/>
      <c r="AQ720" s="3"/>
      <c r="AR720" s="3"/>
      <c r="AS720" s="3"/>
      <c r="AZ720" s="118">
        <f t="shared" si="9"/>
        <v>1822</v>
      </c>
      <c r="BA720" s="3"/>
      <c r="BB720" s="3"/>
      <c r="BC720" s="3"/>
      <c r="BD720" s="3"/>
      <c r="BE720" s="204"/>
      <c r="BF720" s="294">
        <f t="shared" si="10"/>
        <v>9</v>
      </c>
      <c r="BG720" s="297">
        <f t="shared" si="11"/>
        <v>7.5630252100840331E-2</v>
      </c>
      <c r="BH720" s="298">
        <f t="shared" si="12"/>
        <v>4.53781512605042E-2</v>
      </c>
      <c r="BI720" s="3"/>
      <c r="BJ720" s="3"/>
      <c r="BK720" s="3"/>
      <c r="BL720" s="3"/>
      <c r="BM720" s="3"/>
      <c r="BN720" s="3"/>
      <c r="BS720" s="294">
        <f t="shared" si="13"/>
        <v>9</v>
      </c>
      <c r="BT720" s="297">
        <f t="shared" si="14"/>
        <v>7.5630252100840331E-2</v>
      </c>
      <c r="BU720" s="298">
        <f t="shared" si="15"/>
        <v>4.3584942209595141E-2</v>
      </c>
      <c r="CC720" s="3"/>
      <c r="CD720" s="3"/>
      <c r="CE720" s="3"/>
      <c r="CF720" s="3"/>
      <c r="CG720" s="1355">
        <f t="shared" si="37"/>
        <v>0</v>
      </c>
      <c r="CH720" s="1357"/>
      <c r="CI720" s="1339">
        <f t="shared" si="38"/>
        <v>0</v>
      </c>
      <c r="CJ720" s="1341"/>
      <c r="CK720" s="1355">
        <f t="shared" si="16"/>
        <v>0</v>
      </c>
      <c r="CL720" s="1357"/>
      <c r="CM720" s="1339">
        <f t="shared" si="17"/>
        <v>0</v>
      </c>
      <c r="CN720" s="1341"/>
      <c r="CO720" s="3"/>
      <c r="CP720" s="1332">
        <f t="shared" si="18"/>
        <v>0</v>
      </c>
      <c r="CQ720" s="1333"/>
      <c r="CR720" s="1333"/>
      <c r="CS720" s="1333"/>
      <c r="CT720" s="1334"/>
      <c r="CU720" s="1358">
        <f t="shared" si="19"/>
        <v>9</v>
      </c>
      <c r="CV720" s="1358"/>
      <c r="CW720" s="1358"/>
      <c r="CX720" s="1358"/>
      <c r="CY720" s="1358"/>
      <c r="CZ720" s="1358">
        <f t="shared" si="20"/>
        <v>0</v>
      </c>
      <c r="DA720" s="1358"/>
      <c r="DB720" s="1358"/>
      <c r="DC720" s="1358"/>
      <c r="DD720" s="1358"/>
      <c r="DE720" s="1358">
        <f t="shared" si="21"/>
        <v>0</v>
      </c>
      <c r="DF720" s="1358"/>
      <c r="DG720" s="1358"/>
      <c r="DH720" s="1358"/>
      <c r="DI720" s="1358"/>
      <c r="DJ720" s="1358">
        <f t="shared" si="22"/>
        <v>0</v>
      </c>
      <c r="DK720" s="1358"/>
      <c r="DL720" s="1358"/>
      <c r="DM720" s="1358"/>
      <c r="DN720" s="1358"/>
      <c r="DO720" s="1358">
        <f t="shared" si="23"/>
        <v>0</v>
      </c>
      <c r="DP720" s="1358"/>
      <c r="DQ720" s="1358"/>
      <c r="DR720" s="1358"/>
      <c r="DS720" s="1358"/>
      <c r="DT720" s="6"/>
      <c r="DU720" s="1372">
        <f t="shared" si="24"/>
        <v>0</v>
      </c>
      <c r="DV720" s="1372"/>
      <c r="DW720" s="1372"/>
      <c r="DX720" s="1372"/>
      <c r="DY720" s="1372"/>
      <c r="DZ720" s="1372">
        <f t="shared" si="25"/>
        <v>0</v>
      </c>
      <c r="EA720" s="1372"/>
      <c r="EB720" s="1372"/>
      <c r="EC720" s="1372"/>
      <c r="ED720" s="1372"/>
      <c r="EE720" s="1372">
        <f t="shared" si="26"/>
        <v>0</v>
      </c>
      <c r="EF720" s="1372"/>
      <c r="EG720" s="1372"/>
      <c r="EH720" s="1372"/>
      <c r="EI720" s="1372"/>
      <c r="EJ720" s="1372">
        <f t="shared" si="27"/>
        <v>0</v>
      </c>
      <c r="EK720" s="1372"/>
      <c r="EL720" s="1372"/>
      <c r="EM720" s="1372"/>
      <c r="EN720" s="1372"/>
      <c r="EO720" s="1372">
        <f t="shared" si="28"/>
        <v>0</v>
      </c>
      <c r="EP720" s="1372"/>
      <c r="EQ720" s="1372"/>
      <c r="ER720" s="1372"/>
      <c r="ES720" s="1372"/>
      <c r="ET720" s="1372">
        <f t="shared" si="29"/>
        <v>0</v>
      </c>
      <c r="EU720" s="1372"/>
      <c r="EV720" s="1372"/>
      <c r="EW720" s="1372"/>
      <c r="EX720" s="1372"/>
      <c r="EZ720" s="1355" t="str">
        <f t="shared" si="30"/>
        <v/>
      </c>
      <c r="FA720" s="1356"/>
      <c r="FB720" s="1356"/>
      <c r="FC720" s="1356"/>
      <c r="FD720" s="1357"/>
      <c r="FE720" s="1355">
        <f t="shared" si="31"/>
        <v>1038</v>
      </c>
      <c r="FF720" s="1356"/>
      <c r="FG720" s="1356"/>
      <c r="FH720" s="1356"/>
      <c r="FI720" s="1357"/>
      <c r="FJ720" s="1355" t="str">
        <f t="shared" si="32"/>
        <v/>
      </c>
      <c r="FK720" s="1356"/>
      <c r="FL720" s="1356"/>
      <c r="FM720" s="1356"/>
      <c r="FN720" s="1357"/>
      <c r="FO720" s="1355" t="str">
        <f t="shared" si="33"/>
        <v/>
      </c>
      <c r="FP720" s="1356"/>
      <c r="FQ720" s="1356"/>
      <c r="FR720" s="1356"/>
      <c r="FS720" s="1357"/>
      <c r="FT720" s="1355" t="str">
        <f t="shared" si="34"/>
        <v/>
      </c>
      <c r="FU720" s="1356"/>
      <c r="FV720" s="1356"/>
      <c r="FW720" s="1356"/>
      <c r="FX720" s="1357"/>
      <c r="FY720" s="1355" t="str">
        <f t="shared" si="35"/>
        <v/>
      </c>
      <c r="FZ720" s="1356"/>
      <c r="GA720" s="1356"/>
      <c r="GB720" s="1356"/>
      <c r="GC720" s="1357"/>
    </row>
    <row r="721" spans="1:185" ht="12.9" customHeight="1">
      <c r="B721" s="1359" t="s">
        <v>325</v>
      </c>
      <c r="C721" s="1360"/>
      <c r="D721" s="1360"/>
      <c r="E721" s="1360"/>
      <c r="F721" s="1361"/>
      <c r="G721" s="1368">
        <v>14</v>
      </c>
      <c r="H721" s="1369"/>
      <c r="I721" s="1369"/>
      <c r="J721" s="1370"/>
      <c r="K721" s="1596">
        <v>551</v>
      </c>
      <c r="L721" s="1597"/>
      <c r="M721" s="1597"/>
      <c r="N721" s="1598"/>
      <c r="O721" s="1470">
        <v>1038</v>
      </c>
      <c r="P721" s="1471"/>
      <c r="Q721" s="1471"/>
      <c r="R721" s="1471"/>
      <c r="S721" s="1472"/>
      <c r="T721" s="1470">
        <v>12</v>
      </c>
      <c r="U721" s="1471"/>
      <c r="V721" s="1471"/>
      <c r="W721" s="1472"/>
      <c r="X721" s="1362">
        <f t="shared" si="8"/>
        <v>1050</v>
      </c>
      <c r="Y721" s="1363"/>
      <c r="Z721" s="1363"/>
      <c r="AA721" s="1363"/>
      <c r="AB721" s="1364"/>
      <c r="AC721" s="1605">
        <v>0.7</v>
      </c>
      <c r="AD721" s="1606"/>
      <c r="AE721" s="1606"/>
      <c r="AF721" s="1606"/>
      <c r="AG721" s="1607"/>
      <c r="AH721" s="1365">
        <f t="shared" si="36"/>
        <v>0.5762897914379802</v>
      </c>
      <c r="AI721" s="1366"/>
      <c r="AJ721" s="1367"/>
      <c r="AK721" s="1359" t="s">
        <v>592</v>
      </c>
      <c r="AL721" s="1360"/>
      <c r="AM721" s="1360"/>
      <c r="AN721" s="1360"/>
      <c r="AO721" s="1361"/>
      <c r="AP721" s="3"/>
      <c r="AQ721" s="3"/>
      <c r="AR721" s="3"/>
      <c r="AS721" s="3"/>
      <c r="AY721" s="116"/>
      <c r="AZ721" s="118">
        <f t="shared" si="9"/>
        <v>1822</v>
      </c>
      <c r="BA721" s="3"/>
      <c r="BB721" s="3"/>
      <c r="BC721" s="3"/>
      <c r="BD721" s="3"/>
      <c r="BE721" s="204"/>
      <c r="BF721" s="294">
        <f t="shared" si="10"/>
        <v>14</v>
      </c>
      <c r="BG721" s="297">
        <f t="shared" si="11"/>
        <v>0.11764705882352941</v>
      </c>
      <c r="BH721" s="298">
        <f t="shared" si="12"/>
        <v>8.2352941176470587E-2</v>
      </c>
      <c r="BI721" s="3"/>
      <c r="BJ721" s="3"/>
      <c r="BK721" s="3"/>
      <c r="BL721" s="3"/>
      <c r="BM721" s="3"/>
      <c r="BN721" s="3"/>
      <c r="BS721" s="294">
        <f t="shared" si="13"/>
        <v>14</v>
      </c>
      <c r="BT721" s="297">
        <f t="shared" si="14"/>
        <v>0.11764705882352941</v>
      </c>
      <c r="BU721" s="298">
        <f t="shared" si="15"/>
        <v>6.7798798992703552E-2</v>
      </c>
      <c r="CC721" s="3"/>
      <c r="CD721" s="3"/>
      <c r="CE721" s="3"/>
      <c r="CF721" s="3"/>
      <c r="CG721" s="1355">
        <f t="shared" si="37"/>
        <v>0</v>
      </c>
      <c r="CH721" s="1357"/>
      <c r="CI721" s="1339">
        <f t="shared" si="38"/>
        <v>0</v>
      </c>
      <c r="CJ721" s="1341"/>
      <c r="CK721" s="1355">
        <f t="shared" si="16"/>
        <v>0</v>
      </c>
      <c r="CL721" s="1357"/>
      <c r="CM721" s="1339">
        <f t="shared" si="17"/>
        <v>0</v>
      </c>
      <c r="CN721" s="1341"/>
      <c r="CO721" s="3"/>
      <c r="CP721" s="1332">
        <f t="shared" si="18"/>
        <v>0</v>
      </c>
      <c r="CQ721" s="1333"/>
      <c r="CR721" s="1333"/>
      <c r="CS721" s="1333"/>
      <c r="CT721" s="1334"/>
      <c r="CU721" s="1358">
        <f t="shared" si="19"/>
        <v>14</v>
      </c>
      <c r="CV721" s="1358"/>
      <c r="CW721" s="1358"/>
      <c r="CX721" s="1358"/>
      <c r="CY721" s="1358"/>
      <c r="CZ721" s="1358">
        <f t="shared" si="20"/>
        <v>0</v>
      </c>
      <c r="DA721" s="1358"/>
      <c r="DB721" s="1358"/>
      <c r="DC721" s="1358"/>
      <c r="DD721" s="1358"/>
      <c r="DE721" s="1358">
        <f t="shared" si="21"/>
        <v>0</v>
      </c>
      <c r="DF721" s="1358"/>
      <c r="DG721" s="1358"/>
      <c r="DH721" s="1358"/>
      <c r="DI721" s="1358"/>
      <c r="DJ721" s="1358">
        <f t="shared" si="22"/>
        <v>0</v>
      </c>
      <c r="DK721" s="1358"/>
      <c r="DL721" s="1358"/>
      <c r="DM721" s="1358"/>
      <c r="DN721" s="1358"/>
      <c r="DO721" s="1358">
        <f t="shared" si="23"/>
        <v>0</v>
      </c>
      <c r="DP721" s="1358"/>
      <c r="DQ721" s="1358"/>
      <c r="DR721" s="1358"/>
      <c r="DS721" s="1358"/>
      <c r="DT721" s="6"/>
      <c r="DU721" s="1372">
        <f t="shared" si="24"/>
        <v>0</v>
      </c>
      <c r="DV721" s="1372"/>
      <c r="DW721" s="1372"/>
      <c r="DX721" s="1372"/>
      <c r="DY721" s="1372"/>
      <c r="DZ721" s="1372">
        <f t="shared" si="25"/>
        <v>0</v>
      </c>
      <c r="EA721" s="1372"/>
      <c r="EB721" s="1372"/>
      <c r="EC721" s="1372"/>
      <c r="ED721" s="1372"/>
      <c r="EE721" s="1372">
        <f t="shared" si="26"/>
        <v>0</v>
      </c>
      <c r="EF721" s="1372"/>
      <c r="EG721" s="1372"/>
      <c r="EH721" s="1372"/>
      <c r="EI721" s="1372"/>
      <c r="EJ721" s="1372">
        <f t="shared" si="27"/>
        <v>0</v>
      </c>
      <c r="EK721" s="1372"/>
      <c r="EL721" s="1372"/>
      <c r="EM721" s="1372"/>
      <c r="EN721" s="1372"/>
      <c r="EO721" s="1372">
        <f t="shared" si="28"/>
        <v>0</v>
      </c>
      <c r="EP721" s="1372"/>
      <c r="EQ721" s="1372"/>
      <c r="ER721" s="1372"/>
      <c r="ES721" s="1372"/>
      <c r="ET721" s="1372">
        <f t="shared" si="29"/>
        <v>0</v>
      </c>
      <c r="EU721" s="1372"/>
      <c r="EV721" s="1372"/>
      <c r="EW721" s="1372"/>
      <c r="EX721" s="1372"/>
      <c r="EZ721" s="1355" t="str">
        <f t="shared" si="30"/>
        <v/>
      </c>
      <c r="FA721" s="1356"/>
      <c r="FB721" s="1356"/>
      <c r="FC721" s="1356"/>
      <c r="FD721" s="1357"/>
      <c r="FE721" s="1355">
        <f t="shared" si="31"/>
        <v>1038</v>
      </c>
      <c r="FF721" s="1356"/>
      <c r="FG721" s="1356"/>
      <c r="FH721" s="1356"/>
      <c r="FI721" s="1357"/>
      <c r="FJ721" s="1355" t="str">
        <f t="shared" si="32"/>
        <v/>
      </c>
      <c r="FK721" s="1356"/>
      <c r="FL721" s="1356"/>
      <c r="FM721" s="1356"/>
      <c r="FN721" s="1357"/>
      <c r="FO721" s="1355" t="str">
        <f t="shared" si="33"/>
        <v/>
      </c>
      <c r="FP721" s="1356"/>
      <c r="FQ721" s="1356"/>
      <c r="FR721" s="1356"/>
      <c r="FS721" s="1357"/>
      <c r="FT721" s="1355" t="str">
        <f t="shared" si="34"/>
        <v/>
      </c>
      <c r="FU721" s="1356"/>
      <c r="FV721" s="1356"/>
      <c r="FW721" s="1356"/>
      <c r="FX721" s="1357"/>
      <c r="FY721" s="1355" t="str">
        <f t="shared" si="35"/>
        <v/>
      </c>
      <c r="FZ721" s="1356"/>
      <c r="GA721" s="1356"/>
      <c r="GB721" s="1356"/>
      <c r="GC721" s="1357"/>
    </row>
    <row r="722" spans="1:185" ht="12.9" customHeight="1">
      <c r="B722" s="1359" t="s">
        <v>163</v>
      </c>
      <c r="C722" s="1360"/>
      <c r="D722" s="1360"/>
      <c r="E722" s="1360"/>
      <c r="F722" s="1361"/>
      <c r="G722" s="1368">
        <v>6</v>
      </c>
      <c r="H722" s="1369"/>
      <c r="I722" s="1369"/>
      <c r="J722" s="1370"/>
      <c r="K722" s="1596">
        <v>636</v>
      </c>
      <c r="L722" s="1597"/>
      <c r="M722" s="1597"/>
      <c r="N722" s="1598"/>
      <c r="O722" s="1470">
        <f>657-12</f>
        <v>645</v>
      </c>
      <c r="P722" s="1471"/>
      <c r="Q722" s="1471"/>
      <c r="R722" s="1471"/>
      <c r="S722" s="1472"/>
      <c r="T722" s="1470">
        <v>12</v>
      </c>
      <c r="U722" s="1471"/>
      <c r="V722" s="1471"/>
      <c r="W722" s="1472"/>
      <c r="X722" s="1362">
        <f t="shared" si="8"/>
        <v>657</v>
      </c>
      <c r="Y722" s="1363"/>
      <c r="Z722" s="1363"/>
      <c r="AA722" s="1363"/>
      <c r="AB722" s="1364"/>
      <c r="AC722" s="1605">
        <v>0.3</v>
      </c>
      <c r="AD722" s="1606"/>
      <c r="AE722" s="1606"/>
      <c r="AF722" s="1606"/>
      <c r="AG722" s="1607"/>
      <c r="AH722" s="1365">
        <f t="shared" si="36"/>
        <v>0.3</v>
      </c>
      <c r="AI722" s="1366"/>
      <c r="AJ722" s="1367"/>
      <c r="AK722" s="1359" t="s">
        <v>592</v>
      </c>
      <c r="AL722" s="1360"/>
      <c r="AM722" s="1360"/>
      <c r="AN722" s="1360"/>
      <c r="AO722" s="1361"/>
      <c r="AP722" s="3"/>
      <c r="AQ722" s="3"/>
      <c r="AR722" s="3"/>
      <c r="AS722" s="3"/>
      <c r="AY722" s="116"/>
      <c r="AZ722" s="118">
        <f t="shared" si="9"/>
        <v>2190</v>
      </c>
      <c r="BA722" s="3"/>
      <c r="BB722" s="3"/>
      <c r="BC722" s="3"/>
      <c r="BD722" s="3"/>
      <c r="BE722" s="204"/>
      <c r="BF722" s="294">
        <f t="shared" si="10"/>
        <v>6</v>
      </c>
      <c r="BG722" s="297">
        <f t="shared" si="11"/>
        <v>5.0420168067226892E-2</v>
      </c>
      <c r="BH722" s="298">
        <f t="shared" si="12"/>
        <v>1.5126050420168067E-2</v>
      </c>
      <c r="BI722" s="3"/>
      <c r="BJ722" s="3"/>
      <c r="BK722" s="3"/>
      <c r="BL722" s="3"/>
      <c r="BM722" s="3"/>
      <c r="BN722" s="3"/>
      <c r="BS722" s="294">
        <f t="shared" si="13"/>
        <v>6</v>
      </c>
      <c r="BT722" s="297">
        <f t="shared" si="14"/>
        <v>5.0420168067226892E-2</v>
      </c>
      <c r="BU722" s="298">
        <f t="shared" si="15"/>
        <v>1.5126050420168067E-2</v>
      </c>
      <c r="CC722" s="3"/>
      <c r="CD722" s="3"/>
      <c r="CE722" s="3"/>
      <c r="CF722" s="3"/>
      <c r="CG722" s="1355">
        <f t="shared" si="37"/>
        <v>0</v>
      </c>
      <c r="CH722" s="1357"/>
      <c r="CI722" s="1339">
        <f t="shared" si="38"/>
        <v>0</v>
      </c>
      <c r="CJ722" s="1341"/>
      <c r="CK722" s="1355">
        <f t="shared" si="16"/>
        <v>1</v>
      </c>
      <c r="CL722" s="1357"/>
      <c r="CM722" s="1339">
        <f t="shared" si="17"/>
        <v>6</v>
      </c>
      <c r="CN722" s="1341"/>
      <c r="CO722" s="3"/>
      <c r="CP722" s="1332">
        <f t="shared" si="18"/>
        <v>0</v>
      </c>
      <c r="CQ722" s="1333"/>
      <c r="CR722" s="1333"/>
      <c r="CS722" s="1333"/>
      <c r="CT722" s="1334"/>
      <c r="CU722" s="1358">
        <f t="shared" si="19"/>
        <v>0</v>
      </c>
      <c r="CV722" s="1358"/>
      <c r="CW722" s="1358"/>
      <c r="CX722" s="1358"/>
      <c r="CY722" s="1358"/>
      <c r="CZ722" s="1358">
        <f t="shared" si="20"/>
        <v>6</v>
      </c>
      <c r="DA722" s="1358"/>
      <c r="DB722" s="1358"/>
      <c r="DC722" s="1358"/>
      <c r="DD722" s="1358"/>
      <c r="DE722" s="1358">
        <f t="shared" si="21"/>
        <v>0</v>
      </c>
      <c r="DF722" s="1358"/>
      <c r="DG722" s="1358"/>
      <c r="DH722" s="1358"/>
      <c r="DI722" s="1358"/>
      <c r="DJ722" s="1358">
        <f t="shared" si="22"/>
        <v>0</v>
      </c>
      <c r="DK722" s="1358"/>
      <c r="DL722" s="1358"/>
      <c r="DM722" s="1358"/>
      <c r="DN722" s="1358"/>
      <c r="DO722" s="1358">
        <f t="shared" si="23"/>
        <v>0</v>
      </c>
      <c r="DP722" s="1358"/>
      <c r="DQ722" s="1358"/>
      <c r="DR722" s="1358"/>
      <c r="DS722" s="1358"/>
      <c r="DT722" s="6"/>
      <c r="DU722" s="1372">
        <f t="shared" si="24"/>
        <v>0</v>
      </c>
      <c r="DV722" s="1372"/>
      <c r="DW722" s="1372"/>
      <c r="DX722" s="1372"/>
      <c r="DY722" s="1372"/>
      <c r="DZ722" s="1372">
        <f t="shared" si="25"/>
        <v>0</v>
      </c>
      <c r="EA722" s="1372"/>
      <c r="EB722" s="1372"/>
      <c r="EC722" s="1372"/>
      <c r="ED722" s="1372"/>
      <c r="EE722" s="1372">
        <f t="shared" si="26"/>
        <v>6</v>
      </c>
      <c r="EF722" s="1372"/>
      <c r="EG722" s="1372"/>
      <c r="EH722" s="1372"/>
      <c r="EI722" s="1372"/>
      <c r="EJ722" s="1372">
        <f t="shared" si="27"/>
        <v>0</v>
      </c>
      <c r="EK722" s="1372"/>
      <c r="EL722" s="1372"/>
      <c r="EM722" s="1372"/>
      <c r="EN722" s="1372"/>
      <c r="EO722" s="1372">
        <f t="shared" si="28"/>
        <v>0</v>
      </c>
      <c r="EP722" s="1372"/>
      <c r="EQ722" s="1372"/>
      <c r="ER722" s="1372"/>
      <c r="ES722" s="1372"/>
      <c r="ET722" s="1372">
        <f t="shared" si="29"/>
        <v>0</v>
      </c>
      <c r="EU722" s="1372"/>
      <c r="EV722" s="1372"/>
      <c r="EW722" s="1372"/>
      <c r="EX722" s="1372"/>
      <c r="EZ722" s="1355" t="str">
        <f t="shared" si="30"/>
        <v/>
      </c>
      <c r="FA722" s="1356"/>
      <c r="FB722" s="1356"/>
      <c r="FC722" s="1356"/>
      <c r="FD722" s="1357"/>
      <c r="FE722" s="1355" t="str">
        <f t="shared" si="31"/>
        <v/>
      </c>
      <c r="FF722" s="1356"/>
      <c r="FG722" s="1356"/>
      <c r="FH722" s="1356"/>
      <c r="FI722" s="1357"/>
      <c r="FJ722" s="1355">
        <f t="shared" si="32"/>
        <v>645</v>
      </c>
      <c r="FK722" s="1356"/>
      <c r="FL722" s="1356"/>
      <c r="FM722" s="1356"/>
      <c r="FN722" s="1357"/>
      <c r="FO722" s="1355" t="str">
        <f t="shared" si="33"/>
        <v/>
      </c>
      <c r="FP722" s="1356"/>
      <c r="FQ722" s="1356"/>
      <c r="FR722" s="1356"/>
      <c r="FS722" s="1357"/>
      <c r="FT722" s="1355" t="str">
        <f t="shared" si="34"/>
        <v/>
      </c>
      <c r="FU722" s="1356"/>
      <c r="FV722" s="1356"/>
      <c r="FW722" s="1356"/>
      <c r="FX722" s="1357"/>
      <c r="FY722" s="1355" t="str">
        <f t="shared" si="35"/>
        <v/>
      </c>
      <c r="FZ722" s="1356"/>
      <c r="GA722" s="1356"/>
      <c r="GB722" s="1356"/>
      <c r="GC722" s="1357"/>
    </row>
    <row r="723" spans="1:185" ht="12.9" customHeight="1">
      <c r="B723" s="1359" t="s">
        <v>163</v>
      </c>
      <c r="C723" s="1360"/>
      <c r="D723" s="1360"/>
      <c r="E723" s="1360"/>
      <c r="F723" s="1361"/>
      <c r="G723" s="1368">
        <v>5</v>
      </c>
      <c r="H723" s="1369"/>
      <c r="I723" s="1369"/>
      <c r="J723" s="1370"/>
      <c r="K723" s="1596">
        <v>636</v>
      </c>
      <c r="L723" s="1597"/>
      <c r="M723" s="1597"/>
      <c r="N723" s="1598"/>
      <c r="O723" s="1470">
        <v>898</v>
      </c>
      <c r="P723" s="1471"/>
      <c r="Q723" s="1471"/>
      <c r="R723" s="1471"/>
      <c r="S723" s="1472"/>
      <c r="T723" s="1470">
        <v>12</v>
      </c>
      <c r="U723" s="1471"/>
      <c r="V723" s="1471"/>
      <c r="W723" s="1472"/>
      <c r="X723" s="1362">
        <f t="shared" si="8"/>
        <v>910</v>
      </c>
      <c r="Y723" s="1363"/>
      <c r="Z723" s="1363"/>
      <c r="AA723" s="1363"/>
      <c r="AB723" s="1364"/>
      <c r="AC723" s="1605">
        <v>0.5</v>
      </c>
      <c r="AD723" s="1606"/>
      <c r="AE723" s="1606"/>
      <c r="AF723" s="1606"/>
      <c r="AG723" s="1607"/>
      <c r="AH723" s="1365">
        <f t="shared" si="36"/>
        <v>0.41552511415525112</v>
      </c>
      <c r="AI723" s="1366"/>
      <c r="AJ723" s="1367"/>
      <c r="AK723" s="1359" t="s">
        <v>592</v>
      </c>
      <c r="AL723" s="1360"/>
      <c r="AM723" s="1360"/>
      <c r="AN723" s="1360"/>
      <c r="AO723" s="1361"/>
      <c r="AP723" s="3"/>
      <c r="AQ723" s="3"/>
      <c r="AR723" s="3"/>
      <c r="AS723" s="3"/>
      <c r="AY723" s="116"/>
      <c r="AZ723" s="118">
        <f t="shared" si="9"/>
        <v>2190</v>
      </c>
      <c r="BA723" s="3"/>
      <c r="BB723" s="3"/>
      <c r="BC723" s="3"/>
      <c r="BD723" s="3"/>
      <c r="BE723" s="204"/>
      <c r="BF723" s="294">
        <f t="shared" si="10"/>
        <v>5</v>
      </c>
      <c r="BG723" s="297">
        <f t="shared" si="11"/>
        <v>4.2016806722689079E-2</v>
      </c>
      <c r="BH723" s="298">
        <f t="shared" si="12"/>
        <v>2.100840336134454E-2</v>
      </c>
      <c r="BI723" s="3"/>
      <c r="BJ723" s="3"/>
      <c r="BK723" s="3"/>
      <c r="BL723" s="3"/>
      <c r="BM723" s="3"/>
      <c r="BN723" s="3"/>
      <c r="BS723" s="294">
        <f t="shared" si="13"/>
        <v>5</v>
      </c>
      <c r="BT723" s="297">
        <f t="shared" si="14"/>
        <v>4.2016806722689079E-2</v>
      </c>
      <c r="BU723" s="298">
        <f t="shared" si="15"/>
        <v>1.7459038409884501E-2</v>
      </c>
      <c r="CC723" s="3"/>
      <c r="CD723" s="3"/>
      <c r="CE723" s="3"/>
      <c r="CF723" s="3"/>
      <c r="CG723" s="1355">
        <f t="shared" si="37"/>
        <v>1</v>
      </c>
      <c r="CH723" s="1357"/>
      <c r="CI723" s="1339">
        <f t="shared" si="38"/>
        <v>5</v>
      </c>
      <c r="CJ723" s="1341"/>
      <c r="CK723" s="1355">
        <f t="shared" si="16"/>
        <v>0</v>
      </c>
      <c r="CL723" s="1357"/>
      <c r="CM723" s="1339">
        <f t="shared" si="17"/>
        <v>0</v>
      </c>
      <c r="CN723" s="1341"/>
      <c r="CO723" s="3"/>
      <c r="CP723" s="1332">
        <f t="shared" si="18"/>
        <v>0</v>
      </c>
      <c r="CQ723" s="1333"/>
      <c r="CR723" s="1333"/>
      <c r="CS723" s="1333"/>
      <c r="CT723" s="1334"/>
      <c r="CU723" s="1358">
        <f t="shared" si="19"/>
        <v>0</v>
      </c>
      <c r="CV723" s="1358"/>
      <c r="CW723" s="1358"/>
      <c r="CX723" s="1358"/>
      <c r="CY723" s="1358"/>
      <c r="CZ723" s="1358">
        <f t="shared" si="20"/>
        <v>5</v>
      </c>
      <c r="DA723" s="1358"/>
      <c r="DB723" s="1358"/>
      <c r="DC723" s="1358"/>
      <c r="DD723" s="1358"/>
      <c r="DE723" s="1358">
        <f t="shared" si="21"/>
        <v>0</v>
      </c>
      <c r="DF723" s="1358"/>
      <c r="DG723" s="1358"/>
      <c r="DH723" s="1358"/>
      <c r="DI723" s="1358"/>
      <c r="DJ723" s="1358">
        <f t="shared" si="22"/>
        <v>0</v>
      </c>
      <c r="DK723" s="1358"/>
      <c r="DL723" s="1358"/>
      <c r="DM723" s="1358"/>
      <c r="DN723" s="1358"/>
      <c r="DO723" s="1358">
        <f t="shared" si="23"/>
        <v>0</v>
      </c>
      <c r="DP723" s="1358"/>
      <c r="DQ723" s="1358"/>
      <c r="DR723" s="1358"/>
      <c r="DS723" s="1358"/>
      <c r="DT723" s="6"/>
      <c r="DU723" s="1372">
        <f t="shared" si="24"/>
        <v>0</v>
      </c>
      <c r="DV723" s="1372"/>
      <c r="DW723" s="1372"/>
      <c r="DX723" s="1372"/>
      <c r="DY723" s="1372"/>
      <c r="DZ723" s="1372">
        <f t="shared" si="25"/>
        <v>0</v>
      </c>
      <c r="EA723" s="1372"/>
      <c r="EB723" s="1372"/>
      <c r="EC723" s="1372"/>
      <c r="ED723" s="1372"/>
      <c r="EE723" s="1372">
        <f t="shared" si="26"/>
        <v>0</v>
      </c>
      <c r="EF723" s="1372"/>
      <c r="EG723" s="1372"/>
      <c r="EH723" s="1372"/>
      <c r="EI723" s="1372"/>
      <c r="EJ723" s="1372">
        <f t="shared" si="27"/>
        <v>0</v>
      </c>
      <c r="EK723" s="1372"/>
      <c r="EL723" s="1372"/>
      <c r="EM723" s="1372"/>
      <c r="EN723" s="1372"/>
      <c r="EO723" s="1372">
        <f t="shared" si="28"/>
        <v>0</v>
      </c>
      <c r="EP723" s="1372"/>
      <c r="EQ723" s="1372"/>
      <c r="ER723" s="1372"/>
      <c r="ES723" s="1372"/>
      <c r="ET723" s="1372">
        <f t="shared" si="29"/>
        <v>0</v>
      </c>
      <c r="EU723" s="1372"/>
      <c r="EV723" s="1372"/>
      <c r="EW723" s="1372"/>
      <c r="EX723" s="1372"/>
      <c r="EZ723" s="1355" t="str">
        <f t="shared" si="30"/>
        <v/>
      </c>
      <c r="FA723" s="1356"/>
      <c r="FB723" s="1356"/>
      <c r="FC723" s="1356"/>
      <c r="FD723" s="1357"/>
      <c r="FE723" s="1355" t="str">
        <f t="shared" si="31"/>
        <v/>
      </c>
      <c r="FF723" s="1356"/>
      <c r="FG723" s="1356"/>
      <c r="FH723" s="1356"/>
      <c r="FI723" s="1357"/>
      <c r="FJ723" s="1355">
        <f t="shared" si="32"/>
        <v>898</v>
      </c>
      <c r="FK723" s="1356"/>
      <c r="FL723" s="1356"/>
      <c r="FM723" s="1356"/>
      <c r="FN723" s="1357"/>
      <c r="FO723" s="1355" t="str">
        <f t="shared" si="33"/>
        <v/>
      </c>
      <c r="FP723" s="1356"/>
      <c r="FQ723" s="1356"/>
      <c r="FR723" s="1356"/>
      <c r="FS723" s="1357"/>
      <c r="FT723" s="1355" t="str">
        <f t="shared" si="34"/>
        <v/>
      </c>
      <c r="FU723" s="1356"/>
      <c r="FV723" s="1356"/>
      <c r="FW723" s="1356"/>
      <c r="FX723" s="1357"/>
      <c r="FY723" s="1355" t="str">
        <f t="shared" si="35"/>
        <v/>
      </c>
      <c r="FZ723" s="1356"/>
      <c r="GA723" s="1356"/>
      <c r="GB723" s="1356"/>
      <c r="GC723" s="1357"/>
    </row>
    <row r="724" spans="1:185" ht="12.9" customHeight="1">
      <c r="B724" s="1359" t="s">
        <v>163</v>
      </c>
      <c r="C724" s="1360"/>
      <c r="D724" s="1360"/>
      <c r="E724" s="1360"/>
      <c r="F724" s="1361"/>
      <c r="G724" s="1368">
        <v>15</v>
      </c>
      <c r="H724" s="1369"/>
      <c r="I724" s="1369"/>
      <c r="J724" s="1370"/>
      <c r="K724" s="1596">
        <v>636</v>
      </c>
      <c r="L724" s="1597"/>
      <c r="M724" s="1597"/>
      <c r="N724" s="1598"/>
      <c r="O724" s="1470">
        <v>898</v>
      </c>
      <c r="P724" s="1471"/>
      <c r="Q724" s="1471"/>
      <c r="R724" s="1471"/>
      <c r="S724" s="1472"/>
      <c r="T724" s="1470">
        <v>12</v>
      </c>
      <c r="U724" s="1471"/>
      <c r="V724" s="1471"/>
      <c r="W724" s="1472"/>
      <c r="X724" s="1362">
        <f t="shared" si="8"/>
        <v>910</v>
      </c>
      <c r="Y724" s="1363"/>
      <c r="Z724" s="1363"/>
      <c r="AA724" s="1363"/>
      <c r="AB724" s="1364"/>
      <c r="AC724" s="1605">
        <v>0.6</v>
      </c>
      <c r="AD724" s="1606"/>
      <c r="AE724" s="1606"/>
      <c r="AF724" s="1606"/>
      <c r="AG724" s="1607"/>
      <c r="AH724" s="1365">
        <f t="shared" si="36"/>
        <v>0.41552511415525112</v>
      </c>
      <c r="AI724" s="1366"/>
      <c r="AJ724" s="1367"/>
      <c r="AK724" s="1359" t="s">
        <v>592</v>
      </c>
      <c r="AL724" s="1360"/>
      <c r="AM724" s="1360"/>
      <c r="AN724" s="1360"/>
      <c r="AO724" s="1361"/>
      <c r="AP724" s="3"/>
      <c r="AQ724" s="3"/>
      <c r="AR724" s="3"/>
      <c r="AS724" s="3"/>
      <c r="AY724" s="116"/>
      <c r="AZ724" s="118">
        <f t="shared" si="9"/>
        <v>2190</v>
      </c>
      <c r="BA724" s="3"/>
      <c r="BB724" s="3"/>
      <c r="BC724" s="3"/>
      <c r="BD724" s="3"/>
      <c r="BE724" s="204"/>
      <c r="BF724" s="294">
        <f t="shared" si="10"/>
        <v>15</v>
      </c>
      <c r="BG724" s="297">
        <f t="shared" si="11"/>
        <v>0.12605042016806722</v>
      </c>
      <c r="BH724" s="298">
        <f t="shared" si="12"/>
        <v>7.5630252100840331E-2</v>
      </c>
      <c r="BI724" s="3"/>
      <c r="BJ724" s="3"/>
      <c r="BK724" s="3"/>
      <c r="BL724" s="3"/>
      <c r="BM724" s="3"/>
      <c r="BN724" s="3"/>
      <c r="BS724" s="294">
        <f t="shared" si="13"/>
        <v>15</v>
      </c>
      <c r="BT724" s="297">
        <f t="shared" si="14"/>
        <v>0.12605042016806722</v>
      </c>
      <c r="BU724" s="298">
        <f t="shared" si="15"/>
        <v>5.2377115229653499E-2</v>
      </c>
      <c r="CC724" s="3"/>
      <c r="CE724" s="3"/>
      <c r="CF724" s="3"/>
      <c r="CG724" s="1355">
        <f t="shared" si="37"/>
        <v>0</v>
      </c>
      <c r="CH724" s="1357"/>
      <c r="CI724" s="1339">
        <f t="shared" si="38"/>
        <v>0</v>
      </c>
      <c r="CJ724" s="1341"/>
      <c r="CK724" s="1355">
        <f t="shared" si="16"/>
        <v>0</v>
      </c>
      <c r="CL724" s="1357"/>
      <c r="CM724" s="1339">
        <f t="shared" si="17"/>
        <v>0</v>
      </c>
      <c r="CN724" s="1341"/>
      <c r="CO724" s="3"/>
      <c r="CP724" s="1332">
        <f t="shared" si="18"/>
        <v>0</v>
      </c>
      <c r="CQ724" s="1333"/>
      <c r="CR724" s="1333"/>
      <c r="CS724" s="1333"/>
      <c r="CT724" s="1334"/>
      <c r="CU724" s="1358">
        <f t="shared" si="19"/>
        <v>0</v>
      </c>
      <c r="CV724" s="1358"/>
      <c r="CW724" s="1358"/>
      <c r="CX724" s="1358"/>
      <c r="CY724" s="1358"/>
      <c r="CZ724" s="1358">
        <f t="shared" si="20"/>
        <v>15</v>
      </c>
      <c r="DA724" s="1358"/>
      <c r="DB724" s="1358"/>
      <c r="DC724" s="1358"/>
      <c r="DD724" s="1358"/>
      <c r="DE724" s="1358">
        <f t="shared" si="21"/>
        <v>0</v>
      </c>
      <c r="DF724" s="1358"/>
      <c r="DG724" s="1358"/>
      <c r="DH724" s="1358"/>
      <c r="DI724" s="1358"/>
      <c r="DJ724" s="1358">
        <f t="shared" si="22"/>
        <v>0</v>
      </c>
      <c r="DK724" s="1358"/>
      <c r="DL724" s="1358"/>
      <c r="DM724" s="1358"/>
      <c r="DN724" s="1358"/>
      <c r="DO724" s="1358">
        <f t="shared" si="23"/>
        <v>0</v>
      </c>
      <c r="DP724" s="1358"/>
      <c r="DQ724" s="1358"/>
      <c r="DR724" s="1358"/>
      <c r="DS724" s="1358"/>
      <c r="DT724" s="6"/>
      <c r="DU724" s="1372">
        <f t="shared" si="24"/>
        <v>0</v>
      </c>
      <c r="DV724" s="1372"/>
      <c r="DW724" s="1372"/>
      <c r="DX724" s="1372"/>
      <c r="DY724" s="1372"/>
      <c r="DZ724" s="1372">
        <f t="shared" si="25"/>
        <v>0</v>
      </c>
      <c r="EA724" s="1372"/>
      <c r="EB724" s="1372"/>
      <c r="EC724" s="1372"/>
      <c r="ED724" s="1372"/>
      <c r="EE724" s="1372">
        <f t="shared" si="26"/>
        <v>0</v>
      </c>
      <c r="EF724" s="1372"/>
      <c r="EG724" s="1372"/>
      <c r="EH724" s="1372"/>
      <c r="EI724" s="1372"/>
      <c r="EJ724" s="1372">
        <f t="shared" si="27"/>
        <v>0</v>
      </c>
      <c r="EK724" s="1372"/>
      <c r="EL724" s="1372"/>
      <c r="EM724" s="1372"/>
      <c r="EN724" s="1372"/>
      <c r="EO724" s="1372">
        <f t="shared" si="28"/>
        <v>0</v>
      </c>
      <c r="EP724" s="1372"/>
      <c r="EQ724" s="1372"/>
      <c r="ER724" s="1372"/>
      <c r="ES724" s="1372"/>
      <c r="ET724" s="1372">
        <f t="shared" si="29"/>
        <v>0</v>
      </c>
      <c r="EU724" s="1372"/>
      <c r="EV724" s="1372"/>
      <c r="EW724" s="1372"/>
      <c r="EX724" s="1372"/>
      <c r="EZ724" s="1355" t="str">
        <f t="shared" si="30"/>
        <v/>
      </c>
      <c r="FA724" s="1356"/>
      <c r="FB724" s="1356"/>
      <c r="FC724" s="1356"/>
      <c r="FD724" s="1357"/>
      <c r="FE724" s="1355" t="str">
        <f t="shared" si="31"/>
        <v/>
      </c>
      <c r="FF724" s="1356"/>
      <c r="FG724" s="1356"/>
      <c r="FH724" s="1356"/>
      <c r="FI724" s="1357"/>
      <c r="FJ724" s="1355">
        <f t="shared" si="32"/>
        <v>898</v>
      </c>
      <c r="FK724" s="1356"/>
      <c r="FL724" s="1356"/>
      <c r="FM724" s="1356"/>
      <c r="FN724" s="1357"/>
      <c r="FO724" s="1355" t="str">
        <f t="shared" si="33"/>
        <v/>
      </c>
      <c r="FP724" s="1356"/>
      <c r="FQ724" s="1356"/>
      <c r="FR724" s="1356"/>
      <c r="FS724" s="1357"/>
      <c r="FT724" s="1355" t="str">
        <f t="shared" si="34"/>
        <v/>
      </c>
      <c r="FU724" s="1356"/>
      <c r="FV724" s="1356"/>
      <c r="FW724" s="1356"/>
      <c r="FX724" s="1357"/>
      <c r="FY724" s="1355" t="str">
        <f t="shared" si="35"/>
        <v/>
      </c>
      <c r="FZ724" s="1356"/>
      <c r="GA724" s="1356"/>
      <c r="GB724" s="1356"/>
      <c r="GC724" s="1357"/>
    </row>
    <row r="725" spans="1:185" ht="12.9" customHeight="1">
      <c r="B725" s="1359" t="s">
        <v>163</v>
      </c>
      <c r="C725" s="1360"/>
      <c r="D725" s="1360"/>
      <c r="E725" s="1360"/>
      <c r="F725" s="1361"/>
      <c r="G725" s="1368">
        <v>30</v>
      </c>
      <c r="H725" s="1369"/>
      <c r="I725" s="1369"/>
      <c r="J725" s="1370"/>
      <c r="K725" s="1596">
        <v>636</v>
      </c>
      <c r="L725" s="1597"/>
      <c r="M725" s="1597"/>
      <c r="N725" s="1598"/>
      <c r="O725" s="1470">
        <v>898</v>
      </c>
      <c r="P725" s="1471"/>
      <c r="Q725" s="1471"/>
      <c r="R725" s="1471"/>
      <c r="S725" s="1472"/>
      <c r="T725" s="1470">
        <v>12</v>
      </c>
      <c r="U725" s="1471"/>
      <c r="V725" s="1471"/>
      <c r="W725" s="1472"/>
      <c r="X725" s="1362">
        <f t="shared" si="8"/>
        <v>910</v>
      </c>
      <c r="Y725" s="1363"/>
      <c r="Z725" s="1363"/>
      <c r="AA725" s="1363"/>
      <c r="AB725" s="1364"/>
      <c r="AC725" s="1605">
        <v>0.7</v>
      </c>
      <c r="AD725" s="1606"/>
      <c r="AE725" s="1606"/>
      <c r="AF725" s="1606"/>
      <c r="AG725" s="1607"/>
      <c r="AH725" s="1365">
        <f t="shared" si="36"/>
        <v>0.41552511415525112</v>
      </c>
      <c r="AI725" s="1366"/>
      <c r="AJ725" s="1367"/>
      <c r="AK725" s="1359" t="s">
        <v>592</v>
      </c>
      <c r="AL725" s="1360"/>
      <c r="AM725" s="1360"/>
      <c r="AN725" s="1360"/>
      <c r="AO725" s="1361"/>
      <c r="AP725" s="3"/>
      <c r="AQ725" s="3"/>
      <c r="AR725" s="3"/>
      <c r="AS725" s="3"/>
      <c r="AY725" s="1085"/>
      <c r="AZ725" s="118">
        <f t="shared" si="9"/>
        <v>2190</v>
      </c>
      <c r="BA725" s="3"/>
      <c r="BB725" s="3"/>
      <c r="BC725" s="3"/>
      <c r="BD725" s="3"/>
      <c r="BE725" s="204"/>
      <c r="BF725" s="294">
        <f t="shared" si="10"/>
        <v>30</v>
      </c>
      <c r="BG725" s="297">
        <f t="shared" si="11"/>
        <v>0.25210084033613445</v>
      </c>
      <c r="BH725" s="298">
        <f t="shared" si="12"/>
        <v>0.1764705882352941</v>
      </c>
      <c r="BI725" s="3"/>
      <c r="BJ725" s="3"/>
      <c r="BK725" s="3"/>
      <c r="BL725" s="3"/>
      <c r="BM725" s="3"/>
      <c r="BN725" s="3"/>
      <c r="BS725" s="294">
        <f t="shared" si="13"/>
        <v>30</v>
      </c>
      <c r="BT725" s="297">
        <f t="shared" si="14"/>
        <v>0.25210084033613445</v>
      </c>
      <c r="BU725" s="298">
        <f t="shared" si="15"/>
        <v>0.104754230459307</v>
      </c>
      <c r="BV725" s="292"/>
      <c r="BW725" s="3"/>
      <c r="BX725" s="3"/>
      <c r="BY725" s="3"/>
      <c r="BZ725" s="3"/>
      <c r="CA725" s="3"/>
      <c r="CB725" s="3"/>
      <c r="CC725" s="3"/>
      <c r="CE725" s="3"/>
      <c r="CF725" s="3"/>
      <c r="CG725" s="1355">
        <f t="shared" si="37"/>
        <v>0</v>
      </c>
      <c r="CH725" s="1357"/>
      <c r="CI725" s="1339">
        <f t="shared" si="38"/>
        <v>0</v>
      </c>
      <c r="CJ725" s="1341"/>
      <c r="CK725" s="1355">
        <f t="shared" si="16"/>
        <v>0</v>
      </c>
      <c r="CL725" s="1357"/>
      <c r="CM725" s="1339">
        <f t="shared" si="17"/>
        <v>0</v>
      </c>
      <c r="CN725" s="1341"/>
      <c r="CO725" s="3"/>
      <c r="CP725" s="1332">
        <f t="shared" si="18"/>
        <v>0</v>
      </c>
      <c r="CQ725" s="1333"/>
      <c r="CR725" s="1333"/>
      <c r="CS725" s="1333"/>
      <c r="CT725" s="1334"/>
      <c r="CU725" s="1358">
        <f t="shared" si="19"/>
        <v>0</v>
      </c>
      <c r="CV725" s="1358"/>
      <c r="CW725" s="1358"/>
      <c r="CX725" s="1358"/>
      <c r="CY725" s="1358"/>
      <c r="CZ725" s="1358">
        <f t="shared" si="20"/>
        <v>30</v>
      </c>
      <c r="DA725" s="1358"/>
      <c r="DB725" s="1358"/>
      <c r="DC725" s="1358"/>
      <c r="DD725" s="1358"/>
      <c r="DE725" s="1358">
        <f t="shared" si="21"/>
        <v>0</v>
      </c>
      <c r="DF725" s="1358"/>
      <c r="DG725" s="1358"/>
      <c r="DH725" s="1358"/>
      <c r="DI725" s="1358"/>
      <c r="DJ725" s="1358">
        <f t="shared" si="22"/>
        <v>0</v>
      </c>
      <c r="DK725" s="1358"/>
      <c r="DL725" s="1358"/>
      <c r="DM725" s="1358"/>
      <c r="DN725" s="1358"/>
      <c r="DO725" s="1358">
        <f t="shared" si="23"/>
        <v>0</v>
      </c>
      <c r="DP725" s="1358"/>
      <c r="DQ725" s="1358"/>
      <c r="DR725" s="1358"/>
      <c r="DS725" s="1358"/>
      <c r="DT725" s="6"/>
      <c r="DU725" s="1372">
        <f t="shared" si="24"/>
        <v>0</v>
      </c>
      <c r="DV725" s="1372"/>
      <c r="DW725" s="1372"/>
      <c r="DX725" s="1372"/>
      <c r="DY725" s="1372"/>
      <c r="DZ725" s="1372">
        <f t="shared" si="25"/>
        <v>0</v>
      </c>
      <c r="EA725" s="1372"/>
      <c r="EB725" s="1372"/>
      <c r="EC725" s="1372"/>
      <c r="ED725" s="1372"/>
      <c r="EE725" s="1372">
        <f t="shared" si="26"/>
        <v>0</v>
      </c>
      <c r="EF725" s="1372"/>
      <c r="EG725" s="1372"/>
      <c r="EH725" s="1372"/>
      <c r="EI725" s="1372"/>
      <c r="EJ725" s="1372">
        <f t="shared" si="27"/>
        <v>0</v>
      </c>
      <c r="EK725" s="1372"/>
      <c r="EL725" s="1372"/>
      <c r="EM725" s="1372"/>
      <c r="EN725" s="1372"/>
      <c r="EO725" s="1372">
        <f t="shared" si="28"/>
        <v>0</v>
      </c>
      <c r="EP725" s="1372"/>
      <c r="EQ725" s="1372"/>
      <c r="ER725" s="1372"/>
      <c r="ES725" s="1372"/>
      <c r="ET725" s="1372">
        <f t="shared" si="29"/>
        <v>0</v>
      </c>
      <c r="EU725" s="1372"/>
      <c r="EV725" s="1372"/>
      <c r="EW725" s="1372"/>
      <c r="EX725" s="1372"/>
      <c r="EZ725" s="1355" t="str">
        <f t="shared" si="30"/>
        <v/>
      </c>
      <c r="FA725" s="1356"/>
      <c r="FB725" s="1356"/>
      <c r="FC725" s="1356"/>
      <c r="FD725" s="1357"/>
      <c r="FE725" s="1355" t="str">
        <f t="shared" si="31"/>
        <v/>
      </c>
      <c r="FF725" s="1356"/>
      <c r="FG725" s="1356"/>
      <c r="FH725" s="1356"/>
      <c r="FI725" s="1357"/>
      <c r="FJ725" s="1355">
        <f t="shared" si="32"/>
        <v>898</v>
      </c>
      <c r="FK725" s="1356"/>
      <c r="FL725" s="1356"/>
      <c r="FM725" s="1356"/>
      <c r="FN725" s="1357"/>
      <c r="FO725" s="1355" t="str">
        <f t="shared" si="33"/>
        <v/>
      </c>
      <c r="FP725" s="1356"/>
      <c r="FQ725" s="1356"/>
      <c r="FR725" s="1356"/>
      <c r="FS725" s="1357"/>
      <c r="FT725" s="1355" t="str">
        <f t="shared" si="34"/>
        <v/>
      </c>
      <c r="FU725" s="1356"/>
      <c r="FV725" s="1356"/>
      <c r="FW725" s="1356"/>
      <c r="FX725" s="1357"/>
      <c r="FY725" s="1355" t="str">
        <f t="shared" si="35"/>
        <v/>
      </c>
      <c r="FZ725" s="1356"/>
      <c r="GA725" s="1356"/>
      <c r="GB725" s="1356"/>
      <c r="GC725" s="1357"/>
    </row>
    <row r="726" spans="1:185" ht="12.9" customHeight="1">
      <c r="B726" s="1359" t="s">
        <v>164</v>
      </c>
      <c r="C726" s="1360"/>
      <c r="D726" s="1360"/>
      <c r="E726" s="1360"/>
      <c r="F726" s="1361"/>
      <c r="G726" s="1368">
        <v>3</v>
      </c>
      <c r="H726" s="1369"/>
      <c r="I726" s="1369"/>
      <c r="J726" s="1370"/>
      <c r="K726" s="1596">
        <v>1068</v>
      </c>
      <c r="L726" s="1597"/>
      <c r="M726" s="1597"/>
      <c r="N726" s="1598"/>
      <c r="O726" s="1470">
        <f>759-12</f>
        <v>747</v>
      </c>
      <c r="P726" s="1471"/>
      <c r="Q726" s="1471"/>
      <c r="R726" s="1471"/>
      <c r="S726" s="1472"/>
      <c r="T726" s="1470">
        <v>12</v>
      </c>
      <c r="U726" s="1471"/>
      <c r="V726" s="1471"/>
      <c r="W726" s="1472"/>
      <c r="X726" s="1362">
        <f t="shared" si="8"/>
        <v>759</v>
      </c>
      <c r="Y726" s="1363"/>
      <c r="Z726" s="1363"/>
      <c r="AA726" s="1363"/>
      <c r="AB726" s="1364"/>
      <c r="AC726" s="1605">
        <v>0.3</v>
      </c>
      <c r="AD726" s="1606"/>
      <c r="AE726" s="1606"/>
      <c r="AF726" s="1606"/>
      <c r="AG726" s="1607"/>
      <c r="AH726" s="1365">
        <f t="shared" si="36"/>
        <v>0.3</v>
      </c>
      <c r="AI726" s="1366"/>
      <c r="AJ726" s="1367"/>
      <c r="AK726" s="1359" t="s">
        <v>592</v>
      </c>
      <c r="AL726" s="1360"/>
      <c r="AM726" s="1360"/>
      <c r="AN726" s="1360"/>
      <c r="AO726" s="1361"/>
      <c r="AP726" s="3"/>
      <c r="AQ726" s="3"/>
      <c r="AR726" s="3"/>
      <c r="AS726" s="3"/>
      <c r="AY726" s="1085"/>
      <c r="AZ726" s="118">
        <f t="shared" si="9"/>
        <v>2530</v>
      </c>
      <c r="BA726" s="3"/>
      <c r="BB726" s="3"/>
      <c r="BC726" s="3"/>
      <c r="BD726" s="3"/>
      <c r="BE726" s="204"/>
      <c r="BF726" s="294">
        <f t="shared" si="10"/>
        <v>3</v>
      </c>
      <c r="BG726" s="297">
        <f t="shared" si="11"/>
        <v>2.5210084033613446E-2</v>
      </c>
      <c r="BH726" s="298">
        <f t="shared" si="12"/>
        <v>7.5630252100840336E-3</v>
      </c>
      <c r="BI726" s="3"/>
      <c r="BJ726" s="3"/>
      <c r="BK726" s="3"/>
      <c r="BL726" s="3"/>
      <c r="BM726" s="3"/>
      <c r="BN726" s="3"/>
      <c r="BS726" s="294">
        <f t="shared" si="13"/>
        <v>3</v>
      </c>
      <c r="BT726" s="297">
        <f t="shared" si="14"/>
        <v>2.5210084033613446E-2</v>
      </c>
      <c r="BU726" s="298">
        <f t="shared" si="15"/>
        <v>7.5630252100840336E-3</v>
      </c>
      <c r="BV726" s="3"/>
      <c r="BW726" s="3"/>
      <c r="BX726" s="3"/>
      <c r="BY726" s="3"/>
      <c r="BZ726" s="3"/>
      <c r="CA726" s="3"/>
      <c r="CB726" s="3"/>
      <c r="CC726" s="3"/>
      <c r="CE726" s="3"/>
      <c r="CF726" s="3"/>
      <c r="CG726" s="1355">
        <f t="shared" si="37"/>
        <v>0</v>
      </c>
      <c r="CH726" s="1357"/>
      <c r="CI726" s="1339">
        <f t="shared" si="38"/>
        <v>0</v>
      </c>
      <c r="CJ726" s="1341"/>
      <c r="CK726" s="1355">
        <f t="shared" si="16"/>
        <v>1</v>
      </c>
      <c r="CL726" s="1357"/>
      <c r="CM726" s="1339">
        <f t="shared" si="17"/>
        <v>3</v>
      </c>
      <c r="CN726" s="1341"/>
      <c r="CO726" s="3"/>
      <c r="CP726" s="1332">
        <f t="shared" si="18"/>
        <v>0</v>
      </c>
      <c r="CQ726" s="1333"/>
      <c r="CR726" s="1333"/>
      <c r="CS726" s="1333"/>
      <c r="CT726" s="1334"/>
      <c r="CU726" s="1358">
        <f t="shared" si="19"/>
        <v>0</v>
      </c>
      <c r="CV726" s="1358"/>
      <c r="CW726" s="1358"/>
      <c r="CX726" s="1358"/>
      <c r="CY726" s="1358"/>
      <c r="CZ726" s="1358">
        <f t="shared" si="20"/>
        <v>0</v>
      </c>
      <c r="DA726" s="1358"/>
      <c r="DB726" s="1358"/>
      <c r="DC726" s="1358"/>
      <c r="DD726" s="1358"/>
      <c r="DE726" s="1358">
        <f t="shared" si="21"/>
        <v>3</v>
      </c>
      <c r="DF726" s="1358"/>
      <c r="DG726" s="1358"/>
      <c r="DH726" s="1358"/>
      <c r="DI726" s="1358"/>
      <c r="DJ726" s="1358">
        <f t="shared" si="22"/>
        <v>0</v>
      </c>
      <c r="DK726" s="1358"/>
      <c r="DL726" s="1358"/>
      <c r="DM726" s="1358"/>
      <c r="DN726" s="1358"/>
      <c r="DO726" s="1358">
        <f t="shared" si="23"/>
        <v>0</v>
      </c>
      <c r="DP726" s="1358"/>
      <c r="DQ726" s="1358"/>
      <c r="DR726" s="1358"/>
      <c r="DS726" s="1358"/>
      <c r="DT726" s="6"/>
      <c r="DU726" s="1372">
        <f t="shared" si="24"/>
        <v>0</v>
      </c>
      <c r="DV726" s="1372"/>
      <c r="DW726" s="1372"/>
      <c r="DX726" s="1372"/>
      <c r="DY726" s="1372"/>
      <c r="DZ726" s="1372">
        <f t="shared" si="25"/>
        <v>0</v>
      </c>
      <c r="EA726" s="1372"/>
      <c r="EB726" s="1372"/>
      <c r="EC726" s="1372"/>
      <c r="ED726" s="1372"/>
      <c r="EE726" s="1372">
        <f t="shared" si="26"/>
        <v>0</v>
      </c>
      <c r="EF726" s="1372"/>
      <c r="EG726" s="1372"/>
      <c r="EH726" s="1372"/>
      <c r="EI726" s="1372"/>
      <c r="EJ726" s="1372">
        <f t="shared" si="27"/>
        <v>3</v>
      </c>
      <c r="EK726" s="1372"/>
      <c r="EL726" s="1372"/>
      <c r="EM726" s="1372"/>
      <c r="EN726" s="1372"/>
      <c r="EO726" s="1372">
        <f t="shared" si="28"/>
        <v>0</v>
      </c>
      <c r="EP726" s="1372"/>
      <c r="EQ726" s="1372"/>
      <c r="ER726" s="1372"/>
      <c r="ES726" s="1372"/>
      <c r="ET726" s="1372">
        <f t="shared" si="29"/>
        <v>0</v>
      </c>
      <c r="EU726" s="1372"/>
      <c r="EV726" s="1372"/>
      <c r="EW726" s="1372"/>
      <c r="EX726" s="1372"/>
      <c r="EY726" s="4"/>
      <c r="EZ726" s="1355" t="str">
        <f t="shared" si="30"/>
        <v/>
      </c>
      <c r="FA726" s="1356"/>
      <c r="FB726" s="1356"/>
      <c r="FC726" s="1356"/>
      <c r="FD726" s="1357"/>
      <c r="FE726" s="1355" t="str">
        <f t="shared" si="31"/>
        <v/>
      </c>
      <c r="FF726" s="1356"/>
      <c r="FG726" s="1356"/>
      <c r="FH726" s="1356"/>
      <c r="FI726" s="1357"/>
      <c r="FJ726" s="1355" t="str">
        <f t="shared" si="32"/>
        <v/>
      </c>
      <c r="FK726" s="1356"/>
      <c r="FL726" s="1356"/>
      <c r="FM726" s="1356"/>
      <c r="FN726" s="1357"/>
      <c r="FO726" s="1355">
        <f t="shared" si="33"/>
        <v>747</v>
      </c>
      <c r="FP726" s="1356"/>
      <c r="FQ726" s="1356"/>
      <c r="FR726" s="1356"/>
      <c r="FS726" s="1357"/>
      <c r="FT726" s="1355" t="str">
        <f t="shared" si="34"/>
        <v/>
      </c>
      <c r="FU726" s="1356"/>
      <c r="FV726" s="1356"/>
      <c r="FW726" s="1356"/>
      <c r="FX726" s="1357"/>
      <c r="FY726" s="1355" t="str">
        <f t="shared" si="35"/>
        <v/>
      </c>
      <c r="FZ726" s="1356"/>
      <c r="GA726" s="1356"/>
      <c r="GB726" s="1356"/>
      <c r="GC726" s="1357"/>
    </row>
    <row r="727" spans="1:185" ht="12.9" customHeight="1">
      <c r="A727" s="4"/>
      <c r="B727" s="1359" t="s">
        <v>164</v>
      </c>
      <c r="C727" s="1360"/>
      <c r="D727" s="1360"/>
      <c r="E727" s="1360"/>
      <c r="F727" s="1361"/>
      <c r="G727" s="1368">
        <v>5</v>
      </c>
      <c r="H727" s="1369"/>
      <c r="I727" s="1369"/>
      <c r="J727" s="1370"/>
      <c r="K727" s="1596">
        <v>1068</v>
      </c>
      <c r="L727" s="1597"/>
      <c r="M727" s="1597"/>
      <c r="N727" s="1598"/>
      <c r="O727" s="1470">
        <f>1265-12</f>
        <v>1253</v>
      </c>
      <c r="P727" s="1471"/>
      <c r="Q727" s="1471"/>
      <c r="R727" s="1471"/>
      <c r="S727" s="1472"/>
      <c r="T727" s="1470">
        <v>12</v>
      </c>
      <c r="U727" s="1471"/>
      <c r="V727" s="1471"/>
      <c r="W727" s="1472"/>
      <c r="X727" s="1362">
        <f t="shared" si="8"/>
        <v>1265</v>
      </c>
      <c r="Y727" s="1363"/>
      <c r="Z727" s="1363"/>
      <c r="AA727" s="1363"/>
      <c r="AB727" s="1364"/>
      <c r="AC727" s="1605">
        <v>0.5</v>
      </c>
      <c r="AD727" s="1606"/>
      <c r="AE727" s="1606"/>
      <c r="AF727" s="1606"/>
      <c r="AG727" s="1607"/>
      <c r="AH727" s="1365">
        <f t="shared" si="36"/>
        <v>0.5</v>
      </c>
      <c r="AI727" s="1366"/>
      <c r="AJ727" s="1367"/>
      <c r="AK727" s="1359" t="s">
        <v>592</v>
      </c>
      <c r="AL727" s="1360"/>
      <c r="AM727" s="1360"/>
      <c r="AN727" s="1360"/>
      <c r="AO727" s="1361"/>
      <c r="AP727" s="3"/>
      <c r="AQ727" s="3"/>
      <c r="AR727" s="3"/>
      <c r="AS727" s="3"/>
      <c r="AY727" s="1085"/>
      <c r="AZ727" s="118">
        <f t="shared" si="9"/>
        <v>2530</v>
      </c>
      <c r="BA727" s="3"/>
      <c r="BB727" s="3"/>
      <c r="BC727" s="3"/>
      <c r="BD727" s="3"/>
      <c r="BE727" s="204"/>
      <c r="BF727" s="294">
        <f t="shared" si="10"/>
        <v>5</v>
      </c>
      <c r="BG727" s="297">
        <f t="shared" si="11"/>
        <v>4.2016806722689079E-2</v>
      </c>
      <c r="BH727" s="298">
        <f t="shared" si="12"/>
        <v>2.100840336134454E-2</v>
      </c>
      <c r="BI727" s="3"/>
      <c r="BJ727" s="3"/>
      <c r="BK727" s="3"/>
      <c r="BL727" s="3"/>
      <c r="BM727" s="3"/>
      <c r="BN727" s="3"/>
      <c r="BS727" s="294">
        <f t="shared" si="13"/>
        <v>5</v>
      </c>
      <c r="BT727" s="297">
        <f t="shared" si="14"/>
        <v>4.2016806722689079E-2</v>
      </c>
      <c r="BU727" s="298">
        <f t="shared" si="15"/>
        <v>2.100840336134454E-2</v>
      </c>
      <c r="BV727" s="3"/>
      <c r="BW727" s="3"/>
      <c r="BX727" s="3"/>
      <c r="BY727" s="3"/>
      <c r="BZ727" s="3"/>
      <c r="CA727" s="3"/>
      <c r="CB727" s="3"/>
      <c r="CC727" s="3"/>
      <c r="CE727" s="3"/>
      <c r="CF727" s="3"/>
      <c r="CG727" s="1355">
        <f t="shared" si="37"/>
        <v>1</v>
      </c>
      <c r="CH727" s="1357"/>
      <c r="CI727" s="1339">
        <f t="shared" si="38"/>
        <v>5</v>
      </c>
      <c r="CJ727" s="1341"/>
      <c r="CK727" s="1355">
        <f t="shared" si="16"/>
        <v>0</v>
      </c>
      <c r="CL727" s="1357"/>
      <c r="CM727" s="1339">
        <f t="shared" si="17"/>
        <v>0</v>
      </c>
      <c r="CN727" s="1341"/>
      <c r="CO727" s="3"/>
      <c r="CP727" s="1332">
        <f t="shared" si="18"/>
        <v>0</v>
      </c>
      <c r="CQ727" s="1333"/>
      <c r="CR727" s="1333"/>
      <c r="CS727" s="1333"/>
      <c r="CT727" s="1334"/>
      <c r="CU727" s="1358">
        <f t="shared" si="19"/>
        <v>0</v>
      </c>
      <c r="CV727" s="1358"/>
      <c r="CW727" s="1358"/>
      <c r="CX727" s="1358"/>
      <c r="CY727" s="1358"/>
      <c r="CZ727" s="1358">
        <f t="shared" si="20"/>
        <v>0</v>
      </c>
      <c r="DA727" s="1358"/>
      <c r="DB727" s="1358"/>
      <c r="DC727" s="1358"/>
      <c r="DD727" s="1358"/>
      <c r="DE727" s="1358">
        <f t="shared" si="21"/>
        <v>5</v>
      </c>
      <c r="DF727" s="1358"/>
      <c r="DG727" s="1358"/>
      <c r="DH727" s="1358"/>
      <c r="DI727" s="1358"/>
      <c r="DJ727" s="1358">
        <f t="shared" si="22"/>
        <v>0</v>
      </c>
      <c r="DK727" s="1358"/>
      <c r="DL727" s="1358"/>
      <c r="DM727" s="1358"/>
      <c r="DN727" s="1358"/>
      <c r="DO727" s="1358">
        <f t="shared" si="23"/>
        <v>0</v>
      </c>
      <c r="DP727" s="1358"/>
      <c r="DQ727" s="1358"/>
      <c r="DR727" s="1358"/>
      <c r="DS727" s="1358"/>
      <c r="DT727" s="6"/>
      <c r="DU727" s="1372">
        <f t="shared" si="24"/>
        <v>0</v>
      </c>
      <c r="DV727" s="1372"/>
      <c r="DW727" s="1372"/>
      <c r="DX727" s="1372"/>
      <c r="DY727" s="1372"/>
      <c r="DZ727" s="1372">
        <f t="shared" si="25"/>
        <v>0</v>
      </c>
      <c r="EA727" s="1372"/>
      <c r="EB727" s="1372"/>
      <c r="EC727" s="1372"/>
      <c r="ED727" s="1372"/>
      <c r="EE727" s="1372">
        <f t="shared" si="26"/>
        <v>0</v>
      </c>
      <c r="EF727" s="1372"/>
      <c r="EG727" s="1372"/>
      <c r="EH727" s="1372"/>
      <c r="EI727" s="1372"/>
      <c r="EJ727" s="1372">
        <f t="shared" si="27"/>
        <v>0</v>
      </c>
      <c r="EK727" s="1372"/>
      <c r="EL727" s="1372"/>
      <c r="EM727" s="1372"/>
      <c r="EN727" s="1372"/>
      <c r="EO727" s="1372">
        <f t="shared" si="28"/>
        <v>0</v>
      </c>
      <c r="EP727" s="1372"/>
      <c r="EQ727" s="1372"/>
      <c r="ER727" s="1372"/>
      <c r="ES727" s="1372"/>
      <c r="ET727" s="1372">
        <f t="shared" si="29"/>
        <v>0</v>
      </c>
      <c r="EU727" s="1372"/>
      <c r="EV727" s="1372"/>
      <c r="EW727" s="1372"/>
      <c r="EX727" s="1372"/>
      <c r="EY727" s="4"/>
      <c r="EZ727" s="1355" t="str">
        <f t="shared" si="30"/>
        <v/>
      </c>
      <c r="FA727" s="1356"/>
      <c r="FB727" s="1356"/>
      <c r="FC727" s="1356"/>
      <c r="FD727" s="1357"/>
      <c r="FE727" s="1355" t="str">
        <f t="shared" si="31"/>
        <v/>
      </c>
      <c r="FF727" s="1356"/>
      <c r="FG727" s="1356"/>
      <c r="FH727" s="1356"/>
      <c r="FI727" s="1357"/>
      <c r="FJ727" s="1355" t="str">
        <f t="shared" si="32"/>
        <v/>
      </c>
      <c r="FK727" s="1356"/>
      <c r="FL727" s="1356"/>
      <c r="FM727" s="1356"/>
      <c r="FN727" s="1357"/>
      <c r="FO727" s="1355">
        <f t="shared" si="33"/>
        <v>1253</v>
      </c>
      <c r="FP727" s="1356"/>
      <c r="FQ727" s="1356"/>
      <c r="FR727" s="1356"/>
      <c r="FS727" s="1357"/>
      <c r="FT727" s="1355" t="str">
        <f t="shared" si="34"/>
        <v/>
      </c>
      <c r="FU727" s="1356"/>
      <c r="FV727" s="1356"/>
      <c r="FW727" s="1356"/>
      <c r="FX727" s="1357"/>
      <c r="FY727" s="1355" t="str">
        <f t="shared" si="35"/>
        <v/>
      </c>
      <c r="FZ727" s="1356"/>
      <c r="GA727" s="1356"/>
      <c r="GB727" s="1356"/>
      <c r="GC727" s="1357"/>
    </row>
    <row r="728" spans="1:185" ht="12.9" customHeight="1">
      <c r="A728" s="4"/>
      <c r="B728" s="1359" t="s">
        <v>164</v>
      </c>
      <c r="C728" s="1360"/>
      <c r="D728" s="1360"/>
      <c r="E728" s="1360"/>
      <c r="F728" s="1361"/>
      <c r="G728" s="1368">
        <v>3</v>
      </c>
      <c r="H728" s="1369"/>
      <c r="I728" s="1369"/>
      <c r="J728" s="1370"/>
      <c r="K728" s="1596">
        <v>1068</v>
      </c>
      <c r="L728" s="1597"/>
      <c r="M728" s="1597"/>
      <c r="N728" s="1598"/>
      <c r="O728" s="1470">
        <f>1518-12</f>
        <v>1506</v>
      </c>
      <c r="P728" s="1471"/>
      <c r="Q728" s="1471"/>
      <c r="R728" s="1471"/>
      <c r="S728" s="1472"/>
      <c r="T728" s="1470">
        <v>12</v>
      </c>
      <c r="U728" s="1471"/>
      <c r="V728" s="1471"/>
      <c r="W728" s="1472"/>
      <c r="X728" s="1362">
        <f t="shared" si="8"/>
        <v>1518</v>
      </c>
      <c r="Y728" s="1363"/>
      <c r="Z728" s="1363"/>
      <c r="AA728" s="1363"/>
      <c r="AB728" s="1364"/>
      <c r="AC728" s="1605">
        <v>0.6</v>
      </c>
      <c r="AD728" s="1606"/>
      <c r="AE728" s="1606"/>
      <c r="AF728" s="1606"/>
      <c r="AG728" s="1607"/>
      <c r="AH728" s="1365">
        <f t="shared" si="36"/>
        <v>0.6</v>
      </c>
      <c r="AI728" s="1366"/>
      <c r="AJ728" s="1367"/>
      <c r="AK728" s="1359" t="s">
        <v>592</v>
      </c>
      <c r="AL728" s="1360"/>
      <c r="AM728" s="1360"/>
      <c r="AN728" s="1360"/>
      <c r="AO728" s="1361"/>
      <c r="AP728" s="3"/>
      <c r="AQ728" s="3"/>
      <c r="AR728" s="3"/>
      <c r="AS728" s="3"/>
      <c r="AY728" s="1085"/>
      <c r="AZ728" s="118">
        <f t="shared" si="9"/>
        <v>2530</v>
      </c>
      <c r="BA728" s="3"/>
      <c r="BB728" s="3"/>
      <c r="BC728" s="3"/>
      <c r="BD728" s="3"/>
      <c r="BE728" s="204"/>
      <c r="BF728" s="294">
        <f t="shared" si="10"/>
        <v>3</v>
      </c>
      <c r="BG728" s="297">
        <f t="shared" si="11"/>
        <v>2.5210084033613446E-2</v>
      </c>
      <c r="BH728" s="298">
        <f t="shared" si="12"/>
        <v>1.5126050420168067E-2</v>
      </c>
      <c r="BI728" s="3"/>
      <c r="BJ728" s="3"/>
      <c r="BK728" s="3"/>
      <c r="BL728" s="3"/>
      <c r="BM728" s="3"/>
      <c r="BN728" s="3"/>
      <c r="BS728" s="294">
        <f t="shared" si="13"/>
        <v>3</v>
      </c>
      <c r="BT728" s="297">
        <f t="shared" si="14"/>
        <v>2.5210084033613446E-2</v>
      </c>
      <c r="BU728" s="298">
        <f t="shared" si="15"/>
        <v>1.5126050420168067E-2</v>
      </c>
      <c r="BV728" s="3"/>
      <c r="BW728" s="3"/>
      <c r="BX728" s="3"/>
      <c r="BY728" s="3"/>
      <c r="BZ728" s="3"/>
      <c r="CA728" s="3"/>
      <c r="CB728" s="3"/>
      <c r="CC728" s="3"/>
      <c r="CE728" s="3"/>
      <c r="CF728" s="3"/>
      <c r="CG728" s="1355">
        <f t="shared" si="37"/>
        <v>0</v>
      </c>
      <c r="CH728" s="1357"/>
      <c r="CI728" s="1339">
        <f t="shared" si="38"/>
        <v>0</v>
      </c>
      <c r="CJ728" s="1341"/>
      <c r="CK728" s="1355">
        <f t="shared" si="16"/>
        <v>0</v>
      </c>
      <c r="CL728" s="1357"/>
      <c r="CM728" s="1339">
        <f t="shared" si="17"/>
        <v>0</v>
      </c>
      <c r="CN728" s="1341"/>
      <c r="CO728" s="3"/>
      <c r="CP728" s="1332">
        <f t="shared" si="18"/>
        <v>0</v>
      </c>
      <c r="CQ728" s="1333"/>
      <c r="CR728" s="1333"/>
      <c r="CS728" s="1333"/>
      <c r="CT728" s="1334"/>
      <c r="CU728" s="1358">
        <f t="shared" si="19"/>
        <v>0</v>
      </c>
      <c r="CV728" s="1358"/>
      <c r="CW728" s="1358"/>
      <c r="CX728" s="1358"/>
      <c r="CY728" s="1358"/>
      <c r="CZ728" s="1358">
        <f t="shared" si="20"/>
        <v>0</v>
      </c>
      <c r="DA728" s="1358"/>
      <c r="DB728" s="1358"/>
      <c r="DC728" s="1358"/>
      <c r="DD728" s="1358"/>
      <c r="DE728" s="1358">
        <f t="shared" si="21"/>
        <v>3</v>
      </c>
      <c r="DF728" s="1358"/>
      <c r="DG728" s="1358"/>
      <c r="DH728" s="1358"/>
      <c r="DI728" s="1358"/>
      <c r="DJ728" s="1358">
        <f t="shared" si="22"/>
        <v>0</v>
      </c>
      <c r="DK728" s="1358"/>
      <c r="DL728" s="1358"/>
      <c r="DM728" s="1358"/>
      <c r="DN728" s="1358"/>
      <c r="DO728" s="1358">
        <f t="shared" si="23"/>
        <v>0</v>
      </c>
      <c r="DP728" s="1358"/>
      <c r="DQ728" s="1358"/>
      <c r="DR728" s="1358"/>
      <c r="DS728" s="1358"/>
      <c r="DT728" s="6"/>
      <c r="DU728" s="1372">
        <f t="shared" si="24"/>
        <v>0</v>
      </c>
      <c r="DV728" s="1372"/>
      <c r="DW728" s="1372"/>
      <c r="DX728" s="1372"/>
      <c r="DY728" s="1372"/>
      <c r="DZ728" s="1372">
        <f t="shared" si="25"/>
        <v>0</v>
      </c>
      <c r="EA728" s="1372"/>
      <c r="EB728" s="1372"/>
      <c r="EC728" s="1372"/>
      <c r="ED728" s="1372"/>
      <c r="EE728" s="1372">
        <f t="shared" si="26"/>
        <v>0</v>
      </c>
      <c r="EF728" s="1372"/>
      <c r="EG728" s="1372"/>
      <c r="EH728" s="1372"/>
      <c r="EI728" s="1372"/>
      <c r="EJ728" s="1372">
        <f t="shared" si="27"/>
        <v>0</v>
      </c>
      <c r="EK728" s="1372"/>
      <c r="EL728" s="1372"/>
      <c r="EM728" s="1372"/>
      <c r="EN728" s="1372"/>
      <c r="EO728" s="1372">
        <f t="shared" si="28"/>
        <v>0</v>
      </c>
      <c r="EP728" s="1372"/>
      <c r="EQ728" s="1372"/>
      <c r="ER728" s="1372"/>
      <c r="ES728" s="1372"/>
      <c r="ET728" s="1372">
        <f t="shared" si="29"/>
        <v>0</v>
      </c>
      <c r="EU728" s="1372"/>
      <c r="EV728" s="1372"/>
      <c r="EW728" s="1372"/>
      <c r="EX728" s="1372"/>
      <c r="EY728" s="4"/>
      <c r="EZ728" s="1355" t="str">
        <f t="shared" si="30"/>
        <v/>
      </c>
      <c r="FA728" s="1356"/>
      <c r="FB728" s="1356"/>
      <c r="FC728" s="1356"/>
      <c r="FD728" s="1357"/>
      <c r="FE728" s="1355" t="str">
        <f t="shared" si="31"/>
        <v/>
      </c>
      <c r="FF728" s="1356"/>
      <c r="FG728" s="1356"/>
      <c r="FH728" s="1356"/>
      <c r="FI728" s="1357"/>
      <c r="FJ728" s="1355" t="str">
        <f t="shared" si="32"/>
        <v/>
      </c>
      <c r="FK728" s="1356"/>
      <c r="FL728" s="1356"/>
      <c r="FM728" s="1356"/>
      <c r="FN728" s="1357"/>
      <c r="FO728" s="1355">
        <f t="shared" si="33"/>
        <v>1506</v>
      </c>
      <c r="FP728" s="1356"/>
      <c r="FQ728" s="1356"/>
      <c r="FR728" s="1356"/>
      <c r="FS728" s="1357"/>
      <c r="FT728" s="1355" t="str">
        <f t="shared" si="34"/>
        <v/>
      </c>
      <c r="FU728" s="1356"/>
      <c r="FV728" s="1356"/>
      <c r="FW728" s="1356"/>
      <c r="FX728" s="1357"/>
      <c r="FY728" s="1355" t="str">
        <f t="shared" si="35"/>
        <v/>
      </c>
      <c r="FZ728" s="1356"/>
      <c r="GA728" s="1356"/>
      <c r="GB728" s="1356"/>
      <c r="GC728" s="1357"/>
    </row>
    <row r="729" spans="1:185" ht="12.9" customHeight="1">
      <c r="A729" s="4"/>
      <c r="B729" s="1359" t="s">
        <v>164</v>
      </c>
      <c r="C729" s="1360"/>
      <c r="D729" s="1360"/>
      <c r="E729" s="1360"/>
      <c r="F729" s="1361"/>
      <c r="G729" s="1368">
        <v>16</v>
      </c>
      <c r="H729" s="1369"/>
      <c r="I729" s="1369"/>
      <c r="J729" s="1370"/>
      <c r="K729" s="1596">
        <v>1068</v>
      </c>
      <c r="L729" s="1597"/>
      <c r="M729" s="1597"/>
      <c r="N729" s="1598"/>
      <c r="O729" s="1470">
        <v>1679</v>
      </c>
      <c r="P729" s="1471"/>
      <c r="Q729" s="1471"/>
      <c r="R729" s="1471"/>
      <c r="S729" s="1472"/>
      <c r="T729" s="1470">
        <v>12</v>
      </c>
      <c r="U729" s="1471"/>
      <c r="V729" s="1471"/>
      <c r="W729" s="1472"/>
      <c r="X729" s="1362">
        <f t="shared" si="8"/>
        <v>1691</v>
      </c>
      <c r="Y729" s="1363"/>
      <c r="Z729" s="1363"/>
      <c r="AA729" s="1363"/>
      <c r="AB729" s="1364"/>
      <c r="AC729" s="1605">
        <v>0.7</v>
      </c>
      <c r="AD729" s="1606"/>
      <c r="AE729" s="1606"/>
      <c r="AF729" s="1606"/>
      <c r="AG729" s="1607"/>
      <c r="AH729" s="1365">
        <f t="shared" si="36"/>
        <v>0.66837944664031623</v>
      </c>
      <c r="AI729" s="1366"/>
      <c r="AJ729" s="1367"/>
      <c r="AK729" s="1359" t="s">
        <v>592</v>
      </c>
      <c r="AL729" s="1360"/>
      <c r="AM729" s="1360"/>
      <c r="AN729" s="1360"/>
      <c r="AO729" s="1361"/>
      <c r="AP729" s="3"/>
      <c r="AQ729" s="3"/>
      <c r="AR729" s="3"/>
      <c r="AS729" s="3"/>
      <c r="AY729" s="1085"/>
      <c r="AZ729" s="118">
        <f t="shared" si="9"/>
        <v>2530</v>
      </c>
      <c r="BA729" s="3"/>
      <c r="BB729" s="3"/>
      <c r="BC729" s="3"/>
      <c r="BD729" s="3"/>
      <c r="BE729" s="204"/>
      <c r="BF729" s="294">
        <f t="shared" si="10"/>
        <v>16</v>
      </c>
      <c r="BG729" s="297">
        <f t="shared" si="11"/>
        <v>0.13445378151260504</v>
      </c>
      <c r="BH729" s="298">
        <f t="shared" si="12"/>
        <v>9.4117647058823514E-2</v>
      </c>
      <c r="BI729" s="3"/>
      <c r="BJ729" s="3"/>
      <c r="BK729" s="3"/>
      <c r="BL729" s="3"/>
      <c r="BM729" s="3"/>
      <c r="BN729" s="3"/>
      <c r="BS729" s="294">
        <f t="shared" si="13"/>
        <v>16</v>
      </c>
      <c r="BT729" s="297">
        <f t="shared" si="14"/>
        <v>0.13445378151260504</v>
      </c>
      <c r="BU729" s="298">
        <f t="shared" si="15"/>
        <v>8.9866144086092933E-2</v>
      </c>
      <c r="BV729" s="3"/>
      <c r="BW729" s="3"/>
      <c r="BX729" s="3"/>
      <c r="BY729" s="3"/>
      <c r="BZ729" s="3"/>
      <c r="CA729" s="3"/>
      <c r="CB729" s="3"/>
      <c r="CC729" s="3"/>
      <c r="CE729" s="3"/>
      <c r="CF729" s="3"/>
      <c r="CG729" s="1355">
        <f t="shared" si="37"/>
        <v>0</v>
      </c>
      <c r="CH729" s="1357"/>
      <c r="CI729" s="1339">
        <f t="shared" si="38"/>
        <v>0</v>
      </c>
      <c r="CJ729" s="1341"/>
      <c r="CK729" s="1355">
        <f t="shared" si="16"/>
        <v>0</v>
      </c>
      <c r="CL729" s="1357"/>
      <c r="CM729" s="1339">
        <f t="shared" si="17"/>
        <v>0</v>
      </c>
      <c r="CN729" s="1341"/>
      <c r="CO729" s="3"/>
      <c r="CP729" s="1332">
        <f t="shared" si="18"/>
        <v>0</v>
      </c>
      <c r="CQ729" s="1333"/>
      <c r="CR729" s="1333"/>
      <c r="CS729" s="1333"/>
      <c r="CT729" s="1334"/>
      <c r="CU729" s="1358">
        <f t="shared" si="19"/>
        <v>0</v>
      </c>
      <c r="CV729" s="1358"/>
      <c r="CW729" s="1358"/>
      <c r="CX729" s="1358"/>
      <c r="CY729" s="1358"/>
      <c r="CZ729" s="1358">
        <f t="shared" si="20"/>
        <v>0</v>
      </c>
      <c r="DA729" s="1358"/>
      <c r="DB729" s="1358"/>
      <c r="DC729" s="1358"/>
      <c r="DD729" s="1358"/>
      <c r="DE729" s="1358">
        <f t="shared" si="21"/>
        <v>16</v>
      </c>
      <c r="DF729" s="1358"/>
      <c r="DG729" s="1358"/>
      <c r="DH729" s="1358"/>
      <c r="DI729" s="1358"/>
      <c r="DJ729" s="1358">
        <f t="shared" si="22"/>
        <v>0</v>
      </c>
      <c r="DK729" s="1358"/>
      <c r="DL729" s="1358"/>
      <c r="DM729" s="1358"/>
      <c r="DN729" s="1358"/>
      <c r="DO729" s="1358">
        <f t="shared" si="23"/>
        <v>0</v>
      </c>
      <c r="DP729" s="1358"/>
      <c r="DQ729" s="1358"/>
      <c r="DR729" s="1358"/>
      <c r="DS729" s="1358"/>
      <c r="DT729" s="6"/>
      <c r="DU729" s="1372">
        <f t="shared" si="24"/>
        <v>0</v>
      </c>
      <c r="DV729" s="1372"/>
      <c r="DW729" s="1372"/>
      <c r="DX729" s="1372"/>
      <c r="DY729" s="1372"/>
      <c r="DZ729" s="1372">
        <f t="shared" si="25"/>
        <v>0</v>
      </c>
      <c r="EA729" s="1372"/>
      <c r="EB729" s="1372"/>
      <c r="EC729" s="1372"/>
      <c r="ED729" s="1372"/>
      <c r="EE729" s="1372">
        <f t="shared" si="26"/>
        <v>0</v>
      </c>
      <c r="EF729" s="1372"/>
      <c r="EG729" s="1372"/>
      <c r="EH729" s="1372"/>
      <c r="EI729" s="1372"/>
      <c r="EJ729" s="1372">
        <f t="shared" si="27"/>
        <v>0</v>
      </c>
      <c r="EK729" s="1372"/>
      <c r="EL729" s="1372"/>
      <c r="EM729" s="1372"/>
      <c r="EN729" s="1372"/>
      <c r="EO729" s="1372">
        <f t="shared" si="28"/>
        <v>0</v>
      </c>
      <c r="EP729" s="1372"/>
      <c r="EQ729" s="1372"/>
      <c r="ER729" s="1372"/>
      <c r="ES729" s="1372"/>
      <c r="ET729" s="1372">
        <f t="shared" si="29"/>
        <v>0</v>
      </c>
      <c r="EU729" s="1372"/>
      <c r="EV729" s="1372"/>
      <c r="EW729" s="1372"/>
      <c r="EX729" s="1372"/>
      <c r="EZ729" s="1355" t="str">
        <f t="shared" si="30"/>
        <v/>
      </c>
      <c r="FA729" s="1356"/>
      <c r="FB729" s="1356"/>
      <c r="FC729" s="1356"/>
      <c r="FD729" s="1357"/>
      <c r="FE729" s="1355" t="str">
        <f t="shared" si="31"/>
        <v/>
      </c>
      <c r="FF729" s="1356"/>
      <c r="FG729" s="1356"/>
      <c r="FH729" s="1356"/>
      <c r="FI729" s="1357"/>
      <c r="FJ729" s="1355" t="str">
        <f t="shared" si="32"/>
        <v/>
      </c>
      <c r="FK729" s="1356"/>
      <c r="FL729" s="1356"/>
      <c r="FM729" s="1356"/>
      <c r="FN729" s="1357"/>
      <c r="FO729" s="1355">
        <f t="shared" si="33"/>
        <v>1679</v>
      </c>
      <c r="FP729" s="1356"/>
      <c r="FQ729" s="1356"/>
      <c r="FR729" s="1356"/>
      <c r="FS729" s="1357"/>
      <c r="FT729" s="1355" t="str">
        <f t="shared" si="34"/>
        <v/>
      </c>
      <c r="FU729" s="1356"/>
      <c r="FV729" s="1356"/>
      <c r="FW729" s="1356"/>
      <c r="FX729" s="1357"/>
      <c r="FY729" s="1355" t="str">
        <f t="shared" si="35"/>
        <v/>
      </c>
      <c r="FZ729" s="1356"/>
      <c r="GA729" s="1356"/>
      <c r="GB729" s="1356"/>
      <c r="GC729" s="1357"/>
    </row>
    <row r="730" spans="1:185" ht="12.9" customHeight="1">
      <c r="B730" s="1359" t="s">
        <v>165</v>
      </c>
      <c r="C730" s="1360"/>
      <c r="D730" s="1360"/>
      <c r="E730" s="1360"/>
      <c r="F730" s="1361"/>
      <c r="G730" s="1368">
        <v>1</v>
      </c>
      <c r="H730" s="1369"/>
      <c r="I730" s="1369"/>
      <c r="J730" s="1370"/>
      <c r="K730" s="1596">
        <v>1260</v>
      </c>
      <c r="L730" s="1597"/>
      <c r="M730" s="1597"/>
      <c r="N730" s="1598"/>
      <c r="O730" s="1470">
        <f>846-12</f>
        <v>834</v>
      </c>
      <c r="P730" s="1471"/>
      <c r="Q730" s="1471"/>
      <c r="R730" s="1471"/>
      <c r="S730" s="1472"/>
      <c r="T730" s="1470">
        <v>12</v>
      </c>
      <c r="U730" s="1471"/>
      <c r="V730" s="1471"/>
      <c r="W730" s="1472"/>
      <c r="X730" s="1362">
        <f t="shared" si="8"/>
        <v>846</v>
      </c>
      <c r="Y730" s="1363"/>
      <c r="Z730" s="1363"/>
      <c r="AA730" s="1363"/>
      <c r="AB730" s="1364"/>
      <c r="AC730" s="1605">
        <v>0.3</v>
      </c>
      <c r="AD730" s="1606"/>
      <c r="AE730" s="1606"/>
      <c r="AF730" s="1606"/>
      <c r="AG730" s="1607"/>
      <c r="AH730" s="1365">
        <f t="shared" si="36"/>
        <v>0.29978738483345146</v>
      </c>
      <c r="AI730" s="1366"/>
      <c r="AJ730" s="1367"/>
      <c r="AK730" s="1359" t="s">
        <v>592</v>
      </c>
      <c r="AL730" s="1360"/>
      <c r="AM730" s="1360"/>
      <c r="AN730" s="1360"/>
      <c r="AO730" s="1361"/>
      <c r="AP730" s="3"/>
      <c r="AQ730" s="3"/>
      <c r="AR730" s="3"/>
      <c r="AS730" s="3"/>
      <c r="AY730" s="1085"/>
      <c r="AZ730" s="118">
        <f t="shared" si="9"/>
        <v>2822</v>
      </c>
      <c r="BA730" s="3"/>
      <c r="BB730" s="3"/>
      <c r="BC730" s="3"/>
      <c r="BD730" s="3"/>
      <c r="BE730" s="204"/>
      <c r="BF730" s="294">
        <f t="shared" si="10"/>
        <v>1</v>
      </c>
      <c r="BG730" s="297">
        <f t="shared" si="11"/>
        <v>8.4033613445378148E-3</v>
      </c>
      <c r="BH730" s="298">
        <f t="shared" si="12"/>
        <v>2.5210084033613443E-3</v>
      </c>
      <c r="BI730" s="3"/>
      <c r="BJ730" s="3"/>
      <c r="BK730" s="3"/>
      <c r="BL730" s="3"/>
      <c r="BM730" s="3"/>
      <c r="BN730" s="3"/>
      <c r="BS730" s="294">
        <f t="shared" si="13"/>
        <v>1</v>
      </c>
      <c r="BT730" s="297">
        <f t="shared" si="14"/>
        <v>8.4033613445378148E-3</v>
      </c>
      <c r="BU730" s="298">
        <f t="shared" si="15"/>
        <v>2.519221721289508E-3</v>
      </c>
      <c r="BV730" s="3"/>
      <c r="BW730" s="3"/>
      <c r="BX730" s="3"/>
      <c r="BY730" s="3"/>
      <c r="BZ730" s="3"/>
      <c r="CA730" s="3"/>
      <c r="CB730" s="3"/>
      <c r="CC730" s="3"/>
      <c r="CE730" s="3"/>
      <c r="CF730" s="3"/>
      <c r="CG730" s="1355">
        <f t="shared" si="37"/>
        <v>0</v>
      </c>
      <c r="CH730" s="1357"/>
      <c r="CI730" s="1339">
        <f t="shared" si="38"/>
        <v>0</v>
      </c>
      <c r="CJ730" s="1341"/>
      <c r="CK730" s="1355">
        <f t="shared" si="16"/>
        <v>1</v>
      </c>
      <c r="CL730" s="1357"/>
      <c r="CM730" s="1339">
        <f t="shared" si="17"/>
        <v>1</v>
      </c>
      <c r="CN730" s="1341"/>
      <c r="CO730" s="3"/>
      <c r="CP730" s="1332">
        <f t="shared" si="18"/>
        <v>0</v>
      </c>
      <c r="CQ730" s="1333"/>
      <c r="CR730" s="1333"/>
      <c r="CS730" s="1333"/>
      <c r="CT730" s="1334"/>
      <c r="CU730" s="1358">
        <f t="shared" si="19"/>
        <v>0</v>
      </c>
      <c r="CV730" s="1358"/>
      <c r="CW730" s="1358"/>
      <c r="CX730" s="1358"/>
      <c r="CY730" s="1358"/>
      <c r="CZ730" s="1358">
        <f t="shared" si="20"/>
        <v>0</v>
      </c>
      <c r="DA730" s="1358"/>
      <c r="DB730" s="1358"/>
      <c r="DC730" s="1358"/>
      <c r="DD730" s="1358"/>
      <c r="DE730" s="1358">
        <f t="shared" si="21"/>
        <v>0</v>
      </c>
      <c r="DF730" s="1358"/>
      <c r="DG730" s="1358"/>
      <c r="DH730" s="1358"/>
      <c r="DI730" s="1358"/>
      <c r="DJ730" s="1358">
        <f t="shared" si="22"/>
        <v>1</v>
      </c>
      <c r="DK730" s="1358"/>
      <c r="DL730" s="1358"/>
      <c r="DM730" s="1358"/>
      <c r="DN730" s="1358"/>
      <c r="DO730" s="1358">
        <f t="shared" si="23"/>
        <v>0</v>
      </c>
      <c r="DP730" s="1358"/>
      <c r="DQ730" s="1358"/>
      <c r="DR730" s="1358"/>
      <c r="DS730" s="1358"/>
      <c r="DT730" s="6"/>
      <c r="DU730" s="1372">
        <f t="shared" si="24"/>
        <v>0</v>
      </c>
      <c r="DV730" s="1372"/>
      <c r="DW730" s="1372"/>
      <c r="DX730" s="1372"/>
      <c r="DY730" s="1372"/>
      <c r="DZ730" s="1372">
        <f t="shared" si="25"/>
        <v>0</v>
      </c>
      <c r="EA730" s="1372"/>
      <c r="EB730" s="1372"/>
      <c r="EC730" s="1372"/>
      <c r="ED730" s="1372"/>
      <c r="EE730" s="1372">
        <f t="shared" si="26"/>
        <v>0</v>
      </c>
      <c r="EF730" s="1372"/>
      <c r="EG730" s="1372"/>
      <c r="EH730" s="1372"/>
      <c r="EI730" s="1372"/>
      <c r="EJ730" s="1372">
        <f t="shared" si="27"/>
        <v>0</v>
      </c>
      <c r="EK730" s="1372"/>
      <c r="EL730" s="1372"/>
      <c r="EM730" s="1372"/>
      <c r="EN730" s="1372"/>
      <c r="EO730" s="1372">
        <f t="shared" si="28"/>
        <v>1</v>
      </c>
      <c r="EP730" s="1372"/>
      <c r="EQ730" s="1372"/>
      <c r="ER730" s="1372"/>
      <c r="ES730" s="1372"/>
      <c r="ET730" s="1372">
        <f t="shared" si="29"/>
        <v>0</v>
      </c>
      <c r="EU730" s="1372"/>
      <c r="EV730" s="1372"/>
      <c r="EW730" s="1372"/>
      <c r="EX730" s="1372"/>
      <c r="EZ730" s="1355" t="str">
        <f t="shared" si="30"/>
        <v/>
      </c>
      <c r="FA730" s="1356"/>
      <c r="FB730" s="1356"/>
      <c r="FC730" s="1356"/>
      <c r="FD730" s="1357"/>
      <c r="FE730" s="1355" t="str">
        <f t="shared" si="31"/>
        <v/>
      </c>
      <c r="FF730" s="1356"/>
      <c r="FG730" s="1356"/>
      <c r="FH730" s="1356"/>
      <c r="FI730" s="1357"/>
      <c r="FJ730" s="1355" t="str">
        <f t="shared" si="32"/>
        <v/>
      </c>
      <c r="FK730" s="1356"/>
      <c r="FL730" s="1356"/>
      <c r="FM730" s="1356"/>
      <c r="FN730" s="1357"/>
      <c r="FO730" s="1355" t="str">
        <f t="shared" si="33"/>
        <v/>
      </c>
      <c r="FP730" s="1356"/>
      <c r="FQ730" s="1356"/>
      <c r="FR730" s="1356"/>
      <c r="FS730" s="1357"/>
      <c r="FT730" s="1355">
        <f t="shared" si="34"/>
        <v>834</v>
      </c>
      <c r="FU730" s="1356"/>
      <c r="FV730" s="1356"/>
      <c r="FW730" s="1356"/>
      <c r="FX730" s="1357"/>
      <c r="FY730" s="1355" t="str">
        <f t="shared" si="35"/>
        <v/>
      </c>
      <c r="FZ730" s="1356"/>
      <c r="GA730" s="1356"/>
      <c r="GB730" s="1356"/>
      <c r="GC730" s="1357"/>
    </row>
    <row r="731" spans="1:185" ht="12.9" customHeight="1">
      <c r="B731" s="1359" t="s">
        <v>165</v>
      </c>
      <c r="C731" s="1360"/>
      <c r="D731" s="1360"/>
      <c r="E731" s="1360"/>
      <c r="F731" s="1361"/>
      <c r="G731" s="1368">
        <v>3</v>
      </c>
      <c r="H731" s="1369"/>
      <c r="I731" s="1369"/>
      <c r="J731" s="1370"/>
      <c r="K731" s="1596">
        <v>1260</v>
      </c>
      <c r="L731" s="1597"/>
      <c r="M731" s="1597"/>
      <c r="N731" s="1598"/>
      <c r="O731" s="1470">
        <f>1411-12</f>
        <v>1399</v>
      </c>
      <c r="P731" s="1471"/>
      <c r="Q731" s="1471"/>
      <c r="R731" s="1471"/>
      <c r="S731" s="1472"/>
      <c r="T731" s="1470">
        <v>12</v>
      </c>
      <c r="U731" s="1471"/>
      <c r="V731" s="1471"/>
      <c r="W731" s="1472"/>
      <c r="X731" s="1362">
        <f t="shared" si="8"/>
        <v>1411</v>
      </c>
      <c r="Y731" s="1363"/>
      <c r="Z731" s="1363"/>
      <c r="AA731" s="1363"/>
      <c r="AB731" s="1364"/>
      <c r="AC731" s="1605">
        <v>0.5</v>
      </c>
      <c r="AD731" s="1606"/>
      <c r="AE731" s="1606"/>
      <c r="AF731" s="1606"/>
      <c r="AG731" s="1607"/>
      <c r="AH731" s="1365">
        <f t="shared" si="36"/>
        <v>0.5</v>
      </c>
      <c r="AI731" s="1366"/>
      <c r="AJ731" s="1367"/>
      <c r="AK731" s="1359" t="s">
        <v>592</v>
      </c>
      <c r="AL731" s="1360"/>
      <c r="AM731" s="1360"/>
      <c r="AN731" s="1360"/>
      <c r="AO731" s="1361"/>
      <c r="AP731" s="3"/>
      <c r="AQ731" s="3"/>
      <c r="AR731" s="3"/>
      <c r="AS731" s="3"/>
      <c r="AY731" s="1085"/>
      <c r="AZ731" s="118">
        <f t="shared" si="9"/>
        <v>2822</v>
      </c>
      <c r="BA731" s="3"/>
      <c r="BB731" s="3"/>
      <c r="BC731" s="3"/>
      <c r="BD731" s="3"/>
      <c r="BE731" s="204"/>
      <c r="BF731" s="294">
        <f t="shared" si="10"/>
        <v>3</v>
      </c>
      <c r="BG731" s="297">
        <f t="shared" si="11"/>
        <v>2.5210084033613446E-2</v>
      </c>
      <c r="BH731" s="298">
        <f t="shared" si="12"/>
        <v>1.2605042016806723E-2</v>
      </c>
      <c r="BI731" s="3"/>
      <c r="BJ731" s="3"/>
      <c r="BK731" s="3"/>
      <c r="BL731" s="3"/>
      <c r="BM731" s="3"/>
      <c r="BN731" s="3"/>
      <c r="BS731" s="294">
        <f t="shared" si="13"/>
        <v>3</v>
      </c>
      <c r="BT731" s="297">
        <f t="shared" si="14"/>
        <v>2.5210084033613446E-2</v>
      </c>
      <c r="BU731" s="298">
        <f t="shared" si="15"/>
        <v>1.2605042016806723E-2</v>
      </c>
      <c r="BV731" s="3"/>
      <c r="BW731" s="3"/>
      <c r="BX731" s="3"/>
      <c r="BY731" s="3"/>
      <c r="BZ731" s="3"/>
      <c r="CA731" s="3"/>
      <c r="CB731" s="3"/>
      <c r="CC731" s="3"/>
      <c r="CE731" s="3"/>
      <c r="CF731" s="3"/>
      <c r="CG731" s="1355">
        <f t="shared" si="37"/>
        <v>1</v>
      </c>
      <c r="CH731" s="1357"/>
      <c r="CI731" s="1339">
        <f t="shared" si="38"/>
        <v>3</v>
      </c>
      <c r="CJ731" s="1341"/>
      <c r="CK731" s="1355">
        <f t="shared" si="16"/>
        <v>0</v>
      </c>
      <c r="CL731" s="1357"/>
      <c r="CM731" s="1339">
        <f t="shared" si="17"/>
        <v>0</v>
      </c>
      <c r="CN731" s="1341"/>
      <c r="CO731" s="3"/>
      <c r="CP731" s="1332">
        <f t="shared" si="18"/>
        <v>0</v>
      </c>
      <c r="CQ731" s="1333"/>
      <c r="CR731" s="1333"/>
      <c r="CS731" s="1333"/>
      <c r="CT731" s="1334"/>
      <c r="CU731" s="1358">
        <f t="shared" si="19"/>
        <v>0</v>
      </c>
      <c r="CV731" s="1358"/>
      <c r="CW731" s="1358"/>
      <c r="CX731" s="1358"/>
      <c r="CY731" s="1358"/>
      <c r="CZ731" s="1358">
        <f t="shared" si="20"/>
        <v>0</v>
      </c>
      <c r="DA731" s="1358"/>
      <c r="DB731" s="1358"/>
      <c r="DC731" s="1358"/>
      <c r="DD731" s="1358"/>
      <c r="DE731" s="1358">
        <f t="shared" si="21"/>
        <v>0</v>
      </c>
      <c r="DF731" s="1358"/>
      <c r="DG731" s="1358"/>
      <c r="DH731" s="1358"/>
      <c r="DI731" s="1358"/>
      <c r="DJ731" s="1358">
        <f t="shared" si="22"/>
        <v>3</v>
      </c>
      <c r="DK731" s="1358"/>
      <c r="DL731" s="1358"/>
      <c r="DM731" s="1358"/>
      <c r="DN731" s="1358"/>
      <c r="DO731" s="1358">
        <f t="shared" si="23"/>
        <v>0</v>
      </c>
      <c r="DP731" s="1358"/>
      <c r="DQ731" s="1358"/>
      <c r="DR731" s="1358"/>
      <c r="DS731" s="1358"/>
      <c r="DT731" s="6"/>
      <c r="DU731" s="1372">
        <f t="shared" si="24"/>
        <v>0</v>
      </c>
      <c r="DV731" s="1372"/>
      <c r="DW731" s="1372"/>
      <c r="DX731" s="1372"/>
      <c r="DY731" s="1372"/>
      <c r="DZ731" s="1372">
        <f t="shared" si="25"/>
        <v>0</v>
      </c>
      <c r="EA731" s="1372"/>
      <c r="EB731" s="1372"/>
      <c r="EC731" s="1372"/>
      <c r="ED731" s="1372"/>
      <c r="EE731" s="1372">
        <f t="shared" si="26"/>
        <v>0</v>
      </c>
      <c r="EF731" s="1372"/>
      <c r="EG731" s="1372"/>
      <c r="EH731" s="1372"/>
      <c r="EI731" s="1372"/>
      <c r="EJ731" s="1372">
        <f t="shared" si="27"/>
        <v>0</v>
      </c>
      <c r="EK731" s="1372"/>
      <c r="EL731" s="1372"/>
      <c r="EM731" s="1372"/>
      <c r="EN731" s="1372"/>
      <c r="EO731" s="1372">
        <f t="shared" si="28"/>
        <v>0</v>
      </c>
      <c r="EP731" s="1372"/>
      <c r="EQ731" s="1372"/>
      <c r="ER731" s="1372"/>
      <c r="ES731" s="1372"/>
      <c r="ET731" s="1372">
        <f t="shared" si="29"/>
        <v>0</v>
      </c>
      <c r="EU731" s="1372"/>
      <c r="EV731" s="1372"/>
      <c r="EW731" s="1372"/>
      <c r="EX731" s="1372"/>
      <c r="EZ731" s="1355" t="str">
        <f t="shared" si="30"/>
        <v/>
      </c>
      <c r="FA731" s="1356"/>
      <c r="FB731" s="1356"/>
      <c r="FC731" s="1356"/>
      <c r="FD731" s="1357"/>
      <c r="FE731" s="1355" t="str">
        <f t="shared" si="31"/>
        <v/>
      </c>
      <c r="FF731" s="1356"/>
      <c r="FG731" s="1356"/>
      <c r="FH731" s="1356"/>
      <c r="FI731" s="1357"/>
      <c r="FJ731" s="1355" t="str">
        <f t="shared" si="32"/>
        <v/>
      </c>
      <c r="FK731" s="1356"/>
      <c r="FL731" s="1356"/>
      <c r="FM731" s="1356"/>
      <c r="FN731" s="1357"/>
      <c r="FO731" s="1355" t="str">
        <f t="shared" si="33"/>
        <v/>
      </c>
      <c r="FP731" s="1356"/>
      <c r="FQ731" s="1356"/>
      <c r="FR731" s="1356"/>
      <c r="FS731" s="1357"/>
      <c r="FT731" s="1355">
        <f t="shared" si="34"/>
        <v>1399</v>
      </c>
      <c r="FU731" s="1356"/>
      <c r="FV731" s="1356"/>
      <c r="FW731" s="1356"/>
      <c r="FX731" s="1357"/>
      <c r="FY731" s="1355" t="str">
        <f t="shared" si="35"/>
        <v/>
      </c>
      <c r="FZ731" s="1356"/>
      <c r="GA731" s="1356"/>
      <c r="GB731" s="1356"/>
      <c r="GC731" s="1357"/>
    </row>
    <row r="732" spans="1:185" ht="12.9" customHeight="1">
      <c r="B732" s="1359"/>
      <c r="C732" s="1360"/>
      <c r="D732" s="1360"/>
      <c r="E732" s="1360"/>
      <c r="F732" s="1361"/>
      <c r="G732" s="1368"/>
      <c r="H732" s="1369"/>
      <c r="I732" s="1369"/>
      <c r="J732" s="1370"/>
      <c r="K732" s="1596"/>
      <c r="L732" s="1597"/>
      <c r="M732" s="1597"/>
      <c r="N732" s="1598"/>
      <c r="O732" s="1470"/>
      <c r="P732" s="1471"/>
      <c r="Q732" s="1471"/>
      <c r="R732" s="1471"/>
      <c r="S732" s="1472"/>
      <c r="T732" s="1470"/>
      <c r="U732" s="1471"/>
      <c r="V732" s="1471"/>
      <c r="W732" s="1472"/>
      <c r="X732" s="1362">
        <f t="shared" si="8"/>
        <v>0</v>
      </c>
      <c r="Y732" s="1363"/>
      <c r="Z732" s="1363"/>
      <c r="AA732" s="1363"/>
      <c r="AB732" s="1364"/>
      <c r="AC732" s="1605"/>
      <c r="AD732" s="1606"/>
      <c r="AE732" s="1606"/>
      <c r="AF732" s="1606"/>
      <c r="AG732" s="1607"/>
      <c r="AH732" s="1365" t="str">
        <f t="shared" si="36"/>
        <v/>
      </c>
      <c r="AI732" s="1366"/>
      <c r="AJ732" s="1367"/>
      <c r="AK732" s="1359" t="s">
        <v>592</v>
      </c>
      <c r="AL732" s="1360"/>
      <c r="AM732" s="1360"/>
      <c r="AN732" s="1360"/>
      <c r="AO732" s="1361"/>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5">
        <f t="shared" si="37"/>
        <v>0</v>
      </c>
      <c r="CH732" s="1357"/>
      <c r="CI732" s="1339">
        <f t="shared" si="38"/>
        <v>0</v>
      </c>
      <c r="CJ732" s="1341"/>
      <c r="CK732" s="1355">
        <f t="shared" si="16"/>
        <v>0</v>
      </c>
      <c r="CL732" s="1357"/>
      <c r="CM732" s="1339">
        <f t="shared" si="17"/>
        <v>0</v>
      </c>
      <c r="CN732" s="1341"/>
      <c r="CO732" s="3"/>
      <c r="CP732" s="1332">
        <f t="shared" si="18"/>
        <v>0</v>
      </c>
      <c r="CQ732" s="1333"/>
      <c r="CR732" s="1333"/>
      <c r="CS732" s="1333"/>
      <c r="CT732" s="1334"/>
      <c r="CU732" s="1358">
        <f t="shared" si="19"/>
        <v>0</v>
      </c>
      <c r="CV732" s="1358"/>
      <c r="CW732" s="1358"/>
      <c r="CX732" s="1358"/>
      <c r="CY732" s="1358"/>
      <c r="CZ732" s="1358">
        <f t="shared" si="20"/>
        <v>0</v>
      </c>
      <c r="DA732" s="1358"/>
      <c r="DB732" s="1358"/>
      <c r="DC732" s="1358"/>
      <c r="DD732" s="1358"/>
      <c r="DE732" s="1358">
        <f t="shared" si="21"/>
        <v>0</v>
      </c>
      <c r="DF732" s="1358"/>
      <c r="DG732" s="1358"/>
      <c r="DH732" s="1358"/>
      <c r="DI732" s="1358"/>
      <c r="DJ732" s="1358">
        <f t="shared" si="22"/>
        <v>0</v>
      </c>
      <c r="DK732" s="1358"/>
      <c r="DL732" s="1358"/>
      <c r="DM732" s="1358"/>
      <c r="DN732" s="1358"/>
      <c r="DO732" s="1358">
        <f t="shared" si="23"/>
        <v>0</v>
      </c>
      <c r="DP732" s="1358"/>
      <c r="DQ732" s="1358"/>
      <c r="DR732" s="1358"/>
      <c r="DS732" s="1358"/>
      <c r="DT732" s="6"/>
      <c r="DU732" s="1372">
        <f t="shared" si="24"/>
        <v>0</v>
      </c>
      <c r="DV732" s="1372"/>
      <c r="DW732" s="1372"/>
      <c r="DX732" s="1372"/>
      <c r="DY732" s="1372"/>
      <c r="DZ732" s="1372">
        <f t="shared" si="25"/>
        <v>0</v>
      </c>
      <c r="EA732" s="1372"/>
      <c r="EB732" s="1372"/>
      <c r="EC732" s="1372"/>
      <c r="ED732" s="1372"/>
      <c r="EE732" s="1372">
        <f t="shared" si="26"/>
        <v>0</v>
      </c>
      <c r="EF732" s="1372"/>
      <c r="EG732" s="1372"/>
      <c r="EH732" s="1372"/>
      <c r="EI732" s="1372"/>
      <c r="EJ732" s="1372">
        <f t="shared" si="27"/>
        <v>0</v>
      </c>
      <c r="EK732" s="1372"/>
      <c r="EL732" s="1372"/>
      <c r="EM732" s="1372"/>
      <c r="EN732" s="1372"/>
      <c r="EO732" s="1372">
        <f t="shared" si="28"/>
        <v>0</v>
      </c>
      <c r="EP732" s="1372"/>
      <c r="EQ732" s="1372"/>
      <c r="ER732" s="1372"/>
      <c r="ES732" s="1372"/>
      <c r="ET732" s="1372">
        <f t="shared" si="29"/>
        <v>0</v>
      </c>
      <c r="EU732" s="1372"/>
      <c r="EV732" s="1372"/>
      <c r="EW732" s="1372"/>
      <c r="EX732" s="1372"/>
      <c r="EZ732" s="1355" t="str">
        <f t="shared" si="30"/>
        <v/>
      </c>
      <c r="FA732" s="1356"/>
      <c r="FB732" s="1356"/>
      <c r="FC732" s="1356"/>
      <c r="FD732" s="1357"/>
      <c r="FE732" s="1355" t="str">
        <f t="shared" si="31"/>
        <v/>
      </c>
      <c r="FF732" s="1356"/>
      <c r="FG732" s="1356"/>
      <c r="FH732" s="1356"/>
      <c r="FI732" s="1357"/>
      <c r="FJ732" s="1355" t="str">
        <f t="shared" si="32"/>
        <v/>
      </c>
      <c r="FK732" s="1356"/>
      <c r="FL732" s="1356"/>
      <c r="FM732" s="1356"/>
      <c r="FN732" s="1357"/>
      <c r="FO732" s="1355" t="str">
        <f t="shared" si="33"/>
        <v/>
      </c>
      <c r="FP732" s="1356"/>
      <c r="FQ732" s="1356"/>
      <c r="FR732" s="1356"/>
      <c r="FS732" s="1357"/>
      <c r="FT732" s="1355" t="str">
        <f t="shared" si="34"/>
        <v/>
      </c>
      <c r="FU732" s="1356"/>
      <c r="FV732" s="1356"/>
      <c r="FW732" s="1356"/>
      <c r="FX732" s="1357"/>
      <c r="FY732" s="1355" t="str">
        <f t="shared" si="35"/>
        <v/>
      </c>
      <c r="FZ732" s="1356"/>
      <c r="GA732" s="1356"/>
      <c r="GB732" s="1356"/>
      <c r="GC732" s="1357"/>
    </row>
    <row r="733" spans="1:185" ht="12.9" customHeight="1">
      <c r="B733" s="1359"/>
      <c r="C733" s="1360"/>
      <c r="D733" s="1360"/>
      <c r="E733" s="1360"/>
      <c r="F733" s="1361"/>
      <c r="G733" s="1368"/>
      <c r="H733" s="1369"/>
      <c r="I733" s="1369"/>
      <c r="J733" s="1370"/>
      <c r="K733" s="1596"/>
      <c r="L733" s="1597"/>
      <c r="M733" s="1597"/>
      <c r="N733" s="1598"/>
      <c r="O733" s="1470"/>
      <c r="P733" s="1471"/>
      <c r="Q733" s="1471"/>
      <c r="R733" s="1471"/>
      <c r="S733" s="1472"/>
      <c r="T733" s="1470"/>
      <c r="U733" s="1471"/>
      <c r="V733" s="1471"/>
      <c r="W733" s="1472"/>
      <c r="X733" s="1362">
        <f t="shared" si="8"/>
        <v>0</v>
      </c>
      <c r="Y733" s="1363"/>
      <c r="Z733" s="1363"/>
      <c r="AA733" s="1363"/>
      <c r="AB733" s="1364"/>
      <c r="AC733" s="1605"/>
      <c r="AD733" s="1606"/>
      <c r="AE733" s="1606"/>
      <c r="AF733" s="1606"/>
      <c r="AG733" s="1607"/>
      <c r="AH733" s="1365" t="str">
        <f t="shared" si="36"/>
        <v/>
      </c>
      <c r="AI733" s="1366"/>
      <c r="AJ733" s="1367"/>
      <c r="AK733" s="1359" t="s">
        <v>592</v>
      </c>
      <c r="AL733" s="1360"/>
      <c r="AM733" s="1360"/>
      <c r="AN733" s="1360"/>
      <c r="AO733" s="1361"/>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5">
        <f t="shared" si="37"/>
        <v>0</v>
      </c>
      <c r="CH733" s="1357"/>
      <c r="CI733" s="1339">
        <f t="shared" si="38"/>
        <v>0</v>
      </c>
      <c r="CJ733" s="1341"/>
      <c r="CK733" s="1355">
        <f t="shared" si="16"/>
        <v>0</v>
      </c>
      <c r="CL733" s="1357"/>
      <c r="CM733" s="1339">
        <f t="shared" si="17"/>
        <v>0</v>
      </c>
      <c r="CN733" s="1341"/>
      <c r="CO733" s="3"/>
      <c r="CP733" s="1332">
        <f t="shared" si="18"/>
        <v>0</v>
      </c>
      <c r="CQ733" s="1333"/>
      <c r="CR733" s="1333"/>
      <c r="CS733" s="1333"/>
      <c r="CT733" s="1334"/>
      <c r="CU733" s="1358">
        <f t="shared" si="19"/>
        <v>0</v>
      </c>
      <c r="CV733" s="1358"/>
      <c r="CW733" s="1358"/>
      <c r="CX733" s="1358"/>
      <c r="CY733" s="1358"/>
      <c r="CZ733" s="1358">
        <f t="shared" si="20"/>
        <v>0</v>
      </c>
      <c r="DA733" s="1358"/>
      <c r="DB733" s="1358"/>
      <c r="DC733" s="1358"/>
      <c r="DD733" s="1358"/>
      <c r="DE733" s="1358">
        <f t="shared" si="21"/>
        <v>0</v>
      </c>
      <c r="DF733" s="1358"/>
      <c r="DG733" s="1358"/>
      <c r="DH733" s="1358"/>
      <c r="DI733" s="1358"/>
      <c r="DJ733" s="1358">
        <f t="shared" si="22"/>
        <v>0</v>
      </c>
      <c r="DK733" s="1358"/>
      <c r="DL733" s="1358"/>
      <c r="DM733" s="1358"/>
      <c r="DN733" s="1358"/>
      <c r="DO733" s="1358">
        <f t="shared" si="23"/>
        <v>0</v>
      </c>
      <c r="DP733" s="1358"/>
      <c r="DQ733" s="1358"/>
      <c r="DR733" s="1358"/>
      <c r="DS733" s="1358"/>
      <c r="DT733" s="6"/>
      <c r="DU733" s="1372">
        <f t="shared" si="24"/>
        <v>0</v>
      </c>
      <c r="DV733" s="1372"/>
      <c r="DW733" s="1372"/>
      <c r="DX733" s="1372"/>
      <c r="DY733" s="1372"/>
      <c r="DZ733" s="1372">
        <f t="shared" si="25"/>
        <v>0</v>
      </c>
      <c r="EA733" s="1372"/>
      <c r="EB733" s="1372"/>
      <c r="EC733" s="1372"/>
      <c r="ED733" s="1372"/>
      <c r="EE733" s="1372">
        <f t="shared" si="26"/>
        <v>0</v>
      </c>
      <c r="EF733" s="1372"/>
      <c r="EG733" s="1372"/>
      <c r="EH733" s="1372"/>
      <c r="EI733" s="1372"/>
      <c r="EJ733" s="1372">
        <f t="shared" si="27"/>
        <v>0</v>
      </c>
      <c r="EK733" s="1372"/>
      <c r="EL733" s="1372"/>
      <c r="EM733" s="1372"/>
      <c r="EN733" s="1372"/>
      <c r="EO733" s="1372">
        <f t="shared" si="28"/>
        <v>0</v>
      </c>
      <c r="EP733" s="1372"/>
      <c r="EQ733" s="1372"/>
      <c r="ER733" s="1372"/>
      <c r="ES733" s="1372"/>
      <c r="ET733" s="1372">
        <f t="shared" si="29"/>
        <v>0</v>
      </c>
      <c r="EU733" s="1372"/>
      <c r="EV733" s="1372"/>
      <c r="EW733" s="1372"/>
      <c r="EX733" s="1372"/>
      <c r="EZ733" s="1355" t="str">
        <f t="shared" si="30"/>
        <v/>
      </c>
      <c r="FA733" s="1356"/>
      <c r="FB733" s="1356"/>
      <c r="FC733" s="1356"/>
      <c r="FD733" s="1357"/>
      <c r="FE733" s="1355" t="str">
        <f t="shared" si="31"/>
        <v/>
      </c>
      <c r="FF733" s="1356"/>
      <c r="FG733" s="1356"/>
      <c r="FH733" s="1356"/>
      <c r="FI733" s="1357"/>
      <c r="FJ733" s="1355" t="str">
        <f t="shared" si="32"/>
        <v/>
      </c>
      <c r="FK733" s="1356"/>
      <c r="FL733" s="1356"/>
      <c r="FM733" s="1356"/>
      <c r="FN733" s="1357"/>
      <c r="FO733" s="1355" t="str">
        <f t="shared" si="33"/>
        <v/>
      </c>
      <c r="FP733" s="1356"/>
      <c r="FQ733" s="1356"/>
      <c r="FR733" s="1356"/>
      <c r="FS733" s="1357"/>
      <c r="FT733" s="1355" t="str">
        <f t="shared" si="34"/>
        <v/>
      </c>
      <c r="FU733" s="1356"/>
      <c r="FV733" s="1356"/>
      <c r="FW733" s="1356"/>
      <c r="FX733" s="1357"/>
      <c r="FY733" s="1355" t="str">
        <f t="shared" si="35"/>
        <v/>
      </c>
      <c r="FZ733" s="1356"/>
      <c r="GA733" s="1356"/>
      <c r="GB733" s="1356"/>
      <c r="GC733" s="1357"/>
    </row>
    <row r="734" spans="1:185" ht="12.9" customHeight="1">
      <c r="B734" s="1359"/>
      <c r="C734" s="1360"/>
      <c r="D734" s="1360"/>
      <c r="E734" s="1360"/>
      <c r="F734" s="1361"/>
      <c r="G734" s="1368"/>
      <c r="H734" s="1369"/>
      <c r="I734" s="1369"/>
      <c r="J734" s="1370"/>
      <c r="K734" s="1596"/>
      <c r="L734" s="1597"/>
      <c r="M734" s="1597"/>
      <c r="N734" s="1598"/>
      <c r="O734" s="1470"/>
      <c r="P734" s="1471"/>
      <c r="Q734" s="1471"/>
      <c r="R734" s="1471"/>
      <c r="S734" s="1472"/>
      <c r="T734" s="1470"/>
      <c r="U734" s="1471"/>
      <c r="V734" s="1471"/>
      <c r="W734" s="1472"/>
      <c r="X734" s="1362">
        <f t="shared" si="8"/>
        <v>0</v>
      </c>
      <c r="Y734" s="1363"/>
      <c r="Z734" s="1363"/>
      <c r="AA734" s="1363"/>
      <c r="AB734" s="1364"/>
      <c r="AC734" s="1605"/>
      <c r="AD734" s="1606"/>
      <c r="AE734" s="1606"/>
      <c r="AF734" s="1606"/>
      <c r="AG734" s="1607"/>
      <c r="AH734" s="1365" t="str">
        <f t="shared" si="36"/>
        <v/>
      </c>
      <c r="AI734" s="1366"/>
      <c r="AJ734" s="1367"/>
      <c r="AK734" s="1359" t="s">
        <v>592</v>
      </c>
      <c r="AL734" s="1360"/>
      <c r="AM734" s="1360"/>
      <c r="AN734" s="1360"/>
      <c r="AO734" s="1361"/>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5">
        <f t="shared" si="37"/>
        <v>0</v>
      </c>
      <c r="CH734" s="1357"/>
      <c r="CI734" s="1339">
        <f t="shared" si="38"/>
        <v>0</v>
      </c>
      <c r="CJ734" s="1341"/>
      <c r="CK734" s="1355">
        <f t="shared" si="16"/>
        <v>0</v>
      </c>
      <c r="CL734" s="1357"/>
      <c r="CM734" s="1339">
        <f t="shared" si="17"/>
        <v>0</v>
      </c>
      <c r="CN734" s="1341"/>
      <c r="CO734" s="3"/>
      <c r="CP734" s="1332">
        <f t="shared" si="18"/>
        <v>0</v>
      </c>
      <c r="CQ734" s="1333"/>
      <c r="CR734" s="1333"/>
      <c r="CS734" s="1333"/>
      <c r="CT734" s="1334"/>
      <c r="CU734" s="1358">
        <f t="shared" si="19"/>
        <v>0</v>
      </c>
      <c r="CV734" s="1358"/>
      <c r="CW734" s="1358"/>
      <c r="CX734" s="1358"/>
      <c r="CY734" s="1358"/>
      <c r="CZ734" s="1358">
        <f t="shared" si="20"/>
        <v>0</v>
      </c>
      <c r="DA734" s="1358"/>
      <c r="DB734" s="1358"/>
      <c r="DC734" s="1358"/>
      <c r="DD734" s="1358"/>
      <c r="DE734" s="1358">
        <f t="shared" si="21"/>
        <v>0</v>
      </c>
      <c r="DF734" s="1358"/>
      <c r="DG734" s="1358"/>
      <c r="DH734" s="1358"/>
      <c r="DI734" s="1358"/>
      <c r="DJ734" s="1358">
        <f t="shared" si="22"/>
        <v>0</v>
      </c>
      <c r="DK734" s="1358"/>
      <c r="DL734" s="1358"/>
      <c r="DM734" s="1358"/>
      <c r="DN734" s="1358"/>
      <c r="DO734" s="1358">
        <f t="shared" si="23"/>
        <v>0</v>
      </c>
      <c r="DP734" s="1358"/>
      <c r="DQ734" s="1358"/>
      <c r="DR734" s="1358"/>
      <c r="DS734" s="1358"/>
      <c r="DT734" s="6"/>
      <c r="DU734" s="1372">
        <f t="shared" si="24"/>
        <v>0</v>
      </c>
      <c r="DV734" s="1372"/>
      <c r="DW734" s="1372"/>
      <c r="DX734" s="1372"/>
      <c r="DY734" s="1372"/>
      <c r="DZ734" s="1372">
        <f t="shared" si="25"/>
        <v>0</v>
      </c>
      <c r="EA734" s="1372"/>
      <c r="EB734" s="1372"/>
      <c r="EC734" s="1372"/>
      <c r="ED734" s="1372"/>
      <c r="EE734" s="1372">
        <f t="shared" si="26"/>
        <v>0</v>
      </c>
      <c r="EF734" s="1372"/>
      <c r="EG734" s="1372"/>
      <c r="EH734" s="1372"/>
      <c r="EI734" s="1372"/>
      <c r="EJ734" s="1372">
        <f t="shared" si="27"/>
        <v>0</v>
      </c>
      <c r="EK734" s="1372"/>
      <c r="EL734" s="1372"/>
      <c r="EM734" s="1372"/>
      <c r="EN734" s="1372"/>
      <c r="EO734" s="1372">
        <f t="shared" si="28"/>
        <v>0</v>
      </c>
      <c r="EP734" s="1372"/>
      <c r="EQ734" s="1372"/>
      <c r="ER734" s="1372"/>
      <c r="ES734" s="1372"/>
      <c r="ET734" s="1372">
        <f t="shared" si="29"/>
        <v>0</v>
      </c>
      <c r="EU734" s="1372"/>
      <c r="EV734" s="1372"/>
      <c r="EW734" s="1372"/>
      <c r="EX734" s="1372"/>
      <c r="EZ734" s="1355" t="str">
        <f t="shared" si="30"/>
        <v/>
      </c>
      <c r="FA734" s="1356"/>
      <c r="FB734" s="1356"/>
      <c r="FC734" s="1356"/>
      <c r="FD734" s="1357"/>
      <c r="FE734" s="1355" t="str">
        <f t="shared" si="31"/>
        <v/>
      </c>
      <c r="FF734" s="1356"/>
      <c r="FG734" s="1356"/>
      <c r="FH734" s="1356"/>
      <c r="FI734" s="1357"/>
      <c r="FJ734" s="1355" t="str">
        <f t="shared" si="32"/>
        <v/>
      </c>
      <c r="FK734" s="1356"/>
      <c r="FL734" s="1356"/>
      <c r="FM734" s="1356"/>
      <c r="FN734" s="1357"/>
      <c r="FO734" s="1355" t="str">
        <f t="shared" si="33"/>
        <v/>
      </c>
      <c r="FP734" s="1356"/>
      <c r="FQ734" s="1356"/>
      <c r="FR734" s="1356"/>
      <c r="FS734" s="1357"/>
      <c r="FT734" s="1355" t="str">
        <f t="shared" si="34"/>
        <v/>
      </c>
      <c r="FU734" s="1356"/>
      <c r="FV734" s="1356"/>
      <c r="FW734" s="1356"/>
      <c r="FX734" s="1357"/>
      <c r="FY734" s="1355" t="str">
        <f t="shared" si="35"/>
        <v/>
      </c>
      <c r="FZ734" s="1356"/>
      <c r="GA734" s="1356"/>
      <c r="GB734" s="1356"/>
      <c r="GC734" s="1357"/>
    </row>
    <row r="735" spans="1:185" ht="12.9" customHeight="1">
      <c r="B735" s="1359"/>
      <c r="C735" s="1360"/>
      <c r="D735" s="1360"/>
      <c r="E735" s="1360"/>
      <c r="F735" s="1361"/>
      <c r="G735" s="1368"/>
      <c r="H735" s="1369"/>
      <c r="I735" s="1369"/>
      <c r="J735" s="1370"/>
      <c r="K735" s="1596"/>
      <c r="L735" s="1597"/>
      <c r="M735" s="1597"/>
      <c r="N735" s="1598"/>
      <c r="O735" s="1470"/>
      <c r="P735" s="1471"/>
      <c r="Q735" s="1471"/>
      <c r="R735" s="1471"/>
      <c r="S735" s="1472"/>
      <c r="T735" s="1470"/>
      <c r="U735" s="1471"/>
      <c r="V735" s="1471"/>
      <c r="W735" s="1472"/>
      <c r="X735" s="1362">
        <f t="shared" si="8"/>
        <v>0</v>
      </c>
      <c r="Y735" s="1363"/>
      <c r="Z735" s="1363"/>
      <c r="AA735" s="1363"/>
      <c r="AB735" s="1364"/>
      <c r="AC735" s="1605"/>
      <c r="AD735" s="1606"/>
      <c r="AE735" s="1606"/>
      <c r="AF735" s="1606"/>
      <c r="AG735" s="1607"/>
      <c r="AH735" s="1365" t="str">
        <f t="shared" si="36"/>
        <v/>
      </c>
      <c r="AI735" s="1366"/>
      <c r="AJ735" s="1367"/>
      <c r="AK735" s="1359" t="s">
        <v>592</v>
      </c>
      <c r="AL735" s="1360"/>
      <c r="AM735" s="1360"/>
      <c r="AN735" s="1360"/>
      <c r="AO735" s="1361"/>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5">
        <f t="shared" si="37"/>
        <v>0</v>
      </c>
      <c r="CH735" s="1357"/>
      <c r="CI735" s="1339">
        <f t="shared" si="38"/>
        <v>0</v>
      </c>
      <c r="CJ735" s="1341"/>
      <c r="CK735" s="1355">
        <f t="shared" si="16"/>
        <v>0</v>
      </c>
      <c r="CL735" s="1357"/>
      <c r="CM735" s="1339">
        <f t="shared" si="17"/>
        <v>0</v>
      </c>
      <c r="CN735" s="1341"/>
      <c r="CO735" s="3"/>
      <c r="CP735" s="1332">
        <f t="shared" si="18"/>
        <v>0</v>
      </c>
      <c r="CQ735" s="1333"/>
      <c r="CR735" s="1333"/>
      <c r="CS735" s="1333"/>
      <c r="CT735" s="1334"/>
      <c r="CU735" s="1358">
        <f t="shared" si="19"/>
        <v>0</v>
      </c>
      <c r="CV735" s="1358"/>
      <c r="CW735" s="1358"/>
      <c r="CX735" s="1358"/>
      <c r="CY735" s="1358"/>
      <c r="CZ735" s="1358">
        <f t="shared" si="20"/>
        <v>0</v>
      </c>
      <c r="DA735" s="1358"/>
      <c r="DB735" s="1358"/>
      <c r="DC735" s="1358"/>
      <c r="DD735" s="1358"/>
      <c r="DE735" s="1358">
        <f t="shared" si="21"/>
        <v>0</v>
      </c>
      <c r="DF735" s="1358"/>
      <c r="DG735" s="1358"/>
      <c r="DH735" s="1358"/>
      <c r="DI735" s="1358"/>
      <c r="DJ735" s="1358">
        <f t="shared" si="22"/>
        <v>0</v>
      </c>
      <c r="DK735" s="1358"/>
      <c r="DL735" s="1358"/>
      <c r="DM735" s="1358"/>
      <c r="DN735" s="1358"/>
      <c r="DO735" s="1358">
        <f t="shared" si="23"/>
        <v>0</v>
      </c>
      <c r="DP735" s="1358"/>
      <c r="DQ735" s="1358"/>
      <c r="DR735" s="1358"/>
      <c r="DS735" s="1358"/>
      <c r="DT735" s="6"/>
      <c r="DU735" s="1372">
        <f t="shared" si="24"/>
        <v>0</v>
      </c>
      <c r="DV735" s="1372"/>
      <c r="DW735" s="1372"/>
      <c r="DX735" s="1372"/>
      <c r="DY735" s="1372"/>
      <c r="DZ735" s="1372">
        <f t="shared" si="25"/>
        <v>0</v>
      </c>
      <c r="EA735" s="1372"/>
      <c r="EB735" s="1372"/>
      <c r="EC735" s="1372"/>
      <c r="ED735" s="1372"/>
      <c r="EE735" s="1372">
        <f t="shared" si="26"/>
        <v>0</v>
      </c>
      <c r="EF735" s="1372"/>
      <c r="EG735" s="1372"/>
      <c r="EH735" s="1372"/>
      <c r="EI735" s="1372"/>
      <c r="EJ735" s="1372">
        <f t="shared" si="27"/>
        <v>0</v>
      </c>
      <c r="EK735" s="1372"/>
      <c r="EL735" s="1372"/>
      <c r="EM735" s="1372"/>
      <c r="EN735" s="1372"/>
      <c r="EO735" s="1372">
        <f t="shared" si="28"/>
        <v>0</v>
      </c>
      <c r="EP735" s="1372"/>
      <c r="EQ735" s="1372"/>
      <c r="ER735" s="1372"/>
      <c r="ES735" s="1372"/>
      <c r="ET735" s="1372">
        <f t="shared" si="29"/>
        <v>0</v>
      </c>
      <c r="EU735" s="1372"/>
      <c r="EV735" s="1372"/>
      <c r="EW735" s="1372"/>
      <c r="EX735" s="1372"/>
      <c r="EZ735" s="1355" t="str">
        <f t="shared" si="30"/>
        <v/>
      </c>
      <c r="FA735" s="1356"/>
      <c r="FB735" s="1356"/>
      <c r="FC735" s="1356"/>
      <c r="FD735" s="1357"/>
      <c r="FE735" s="1355" t="str">
        <f t="shared" si="31"/>
        <v/>
      </c>
      <c r="FF735" s="1356"/>
      <c r="FG735" s="1356"/>
      <c r="FH735" s="1356"/>
      <c r="FI735" s="1357"/>
      <c r="FJ735" s="1355" t="str">
        <f t="shared" si="32"/>
        <v/>
      </c>
      <c r="FK735" s="1356"/>
      <c r="FL735" s="1356"/>
      <c r="FM735" s="1356"/>
      <c r="FN735" s="1357"/>
      <c r="FO735" s="1355" t="str">
        <f t="shared" si="33"/>
        <v/>
      </c>
      <c r="FP735" s="1356"/>
      <c r="FQ735" s="1356"/>
      <c r="FR735" s="1356"/>
      <c r="FS735" s="1357"/>
      <c r="FT735" s="1355" t="str">
        <f t="shared" si="34"/>
        <v/>
      </c>
      <c r="FU735" s="1356"/>
      <c r="FV735" s="1356"/>
      <c r="FW735" s="1356"/>
      <c r="FX735" s="1357"/>
      <c r="FY735" s="1355" t="str">
        <f t="shared" si="35"/>
        <v/>
      </c>
      <c r="FZ735" s="1356"/>
      <c r="GA735" s="1356"/>
      <c r="GB735" s="1356"/>
      <c r="GC735" s="1357"/>
    </row>
    <row r="736" spans="1:185" ht="12.9" customHeight="1">
      <c r="B736" s="1359"/>
      <c r="C736" s="1360"/>
      <c r="D736" s="1360"/>
      <c r="E736" s="1360"/>
      <c r="F736" s="1361"/>
      <c r="G736" s="1368"/>
      <c r="H736" s="1369"/>
      <c r="I736" s="1369"/>
      <c r="J736" s="1370"/>
      <c r="K736" s="1596"/>
      <c r="L736" s="1597"/>
      <c r="M736" s="1597"/>
      <c r="N736" s="1598"/>
      <c r="O736" s="1470"/>
      <c r="P736" s="1471"/>
      <c r="Q736" s="1471"/>
      <c r="R736" s="1471"/>
      <c r="S736" s="1472"/>
      <c r="T736" s="1470"/>
      <c r="U736" s="1471"/>
      <c r="V736" s="1471"/>
      <c r="W736" s="1472"/>
      <c r="X736" s="1362">
        <f t="shared" si="8"/>
        <v>0</v>
      </c>
      <c r="Y736" s="1363"/>
      <c r="Z736" s="1363"/>
      <c r="AA736" s="1363"/>
      <c r="AB736" s="1364"/>
      <c r="AC736" s="1605"/>
      <c r="AD736" s="1606"/>
      <c r="AE736" s="1606"/>
      <c r="AF736" s="1606"/>
      <c r="AG736" s="1607"/>
      <c r="AH736" s="1365" t="str">
        <f t="shared" si="36"/>
        <v/>
      </c>
      <c r="AI736" s="1366"/>
      <c r="AJ736" s="1367"/>
      <c r="AK736" s="1359" t="s">
        <v>592</v>
      </c>
      <c r="AL736" s="1360"/>
      <c r="AM736" s="1360"/>
      <c r="AN736" s="1360"/>
      <c r="AO736" s="1361"/>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5">
        <f t="shared" si="37"/>
        <v>0</v>
      </c>
      <c r="CH736" s="1357"/>
      <c r="CI736" s="1339">
        <f t="shared" si="38"/>
        <v>0</v>
      </c>
      <c r="CJ736" s="1341"/>
      <c r="CK736" s="1355">
        <f t="shared" si="16"/>
        <v>0</v>
      </c>
      <c r="CL736" s="1357"/>
      <c r="CM736" s="1339">
        <f t="shared" si="17"/>
        <v>0</v>
      </c>
      <c r="CN736" s="1341"/>
      <c r="CO736" s="3"/>
      <c r="CP736" s="1332">
        <f t="shared" si="18"/>
        <v>0</v>
      </c>
      <c r="CQ736" s="1333"/>
      <c r="CR736" s="1333"/>
      <c r="CS736" s="1333"/>
      <c r="CT736" s="1334"/>
      <c r="CU736" s="1358">
        <f t="shared" si="19"/>
        <v>0</v>
      </c>
      <c r="CV736" s="1358"/>
      <c r="CW736" s="1358"/>
      <c r="CX736" s="1358"/>
      <c r="CY736" s="1358"/>
      <c r="CZ736" s="1358">
        <f t="shared" si="20"/>
        <v>0</v>
      </c>
      <c r="DA736" s="1358"/>
      <c r="DB736" s="1358"/>
      <c r="DC736" s="1358"/>
      <c r="DD736" s="1358"/>
      <c r="DE736" s="1358">
        <f t="shared" si="21"/>
        <v>0</v>
      </c>
      <c r="DF736" s="1358"/>
      <c r="DG736" s="1358"/>
      <c r="DH736" s="1358"/>
      <c r="DI736" s="1358"/>
      <c r="DJ736" s="1358">
        <f t="shared" si="22"/>
        <v>0</v>
      </c>
      <c r="DK736" s="1358"/>
      <c r="DL736" s="1358"/>
      <c r="DM736" s="1358"/>
      <c r="DN736" s="1358"/>
      <c r="DO736" s="1358">
        <f t="shared" si="23"/>
        <v>0</v>
      </c>
      <c r="DP736" s="1358"/>
      <c r="DQ736" s="1358"/>
      <c r="DR736" s="1358"/>
      <c r="DS736" s="1358"/>
      <c r="DT736" s="6"/>
      <c r="DU736" s="1372">
        <f t="shared" si="24"/>
        <v>0</v>
      </c>
      <c r="DV736" s="1372"/>
      <c r="DW736" s="1372"/>
      <c r="DX736" s="1372"/>
      <c r="DY736" s="1372"/>
      <c r="DZ736" s="1372">
        <f t="shared" si="25"/>
        <v>0</v>
      </c>
      <c r="EA736" s="1372"/>
      <c r="EB736" s="1372"/>
      <c r="EC736" s="1372"/>
      <c r="ED736" s="1372"/>
      <c r="EE736" s="1372">
        <f t="shared" si="26"/>
        <v>0</v>
      </c>
      <c r="EF736" s="1372"/>
      <c r="EG736" s="1372"/>
      <c r="EH736" s="1372"/>
      <c r="EI736" s="1372"/>
      <c r="EJ736" s="1372">
        <f t="shared" si="27"/>
        <v>0</v>
      </c>
      <c r="EK736" s="1372"/>
      <c r="EL736" s="1372"/>
      <c r="EM736" s="1372"/>
      <c r="EN736" s="1372"/>
      <c r="EO736" s="1372">
        <f t="shared" si="28"/>
        <v>0</v>
      </c>
      <c r="EP736" s="1372"/>
      <c r="EQ736" s="1372"/>
      <c r="ER736" s="1372"/>
      <c r="ES736" s="1372"/>
      <c r="ET736" s="1372">
        <f t="shared" si="29"/>
        <v>0</v>
      </c>
      <c r="EU736" s="1372"/>
      <c r="EV736" s="1372"/>
      <c r="EW736" s="1372"/>
      <c r="EX736" s="1372"/>
      <c r="EZ736" s="1355" t="str">
        <f t="shared" si="30"/>
        <v/>
      </c>
      <c r="FA736" s="1356"/>
      <c r="FB736" s="1356"/>
      <c r="FC736" s="1356"/>
      <c r="FD736" s="1357"/>
      <c r="FE736" s="1355" t="str">
        <f t="shared" si="31"/>
        <v/>
      </c>
      <c r="FF736" s="1356"/>
      <c r="FG736" s="1356"/>
      <c r="FH736" s="1356"/>
      <c r="FI736" s="1357"/>
      <c r="FJ736" s="1355" t="str">
        <f t="shared" si="32"/>
        <v/>
      </c>
      <c r="FK736" s="1356"/>
      <c r="FL736" s="1356"/>
      <c r="FM736" s="1356"/>
      <c r="FN736" s="1357"/>
      <c r="FO736" s="1355" t="str">
        <f t="shared" si="33"/>
        <v/>
      </c>
      <c r="FP736" s="1356"/>
      <c r="FQ736" s="1356"/>
      <c r="FR736" s="1356"/>
      <c r="FS736" s="1357"/>
      <c r="FT736" s="1355" t="str">
        <f t="shared" si="34"/>
        <v/>
      </c>
      <c r="FU736" s="1356"/>
      <c r="FV736" s="1356"/>
      <c r="FW736" s="1356"/>
      <c r="FX736" s="1357"/>
      <c r="FY736" s="1355" t="str">
        <f t="shared" si="35"/>
        <v/>
      </c>
      <c r="FZ736" s="1356"/>
      <c r="GA736" s="1356"/>
      <c r="GB736" s="1356"/>
      <c r="GC736" s="1357"/>
    </row>
    <row r="737" spans="1:185" ht="12.9" customHeight="1">
      <c r="B737" s="1359"/>
      <c r="C737" s="1360"/>
      <c r="D737" s="1360"/>
      <c r="E737" s="1360"/>
      <c r="F737" s="1361"/>
      <c r="G737" s="1368"/>
      <c r="H737" s="1369"/>
      <c r="I737" s="1369"/>
      <c r="J737" s="1370"/>
      <c r="K737" s="1596"/>
      <c r="L737" s="1597"/>
      <c r="M737" s="1597"/>
      <c r="N737" s="1598"/>
      <c r="O737" s="1470"/>
      <c r="P737" s="1471"/>
      <c r="Q737" s="1471"/>
      <c r="R737" s="1471"/>
      <c r="S737" s="1472"/>
      <c r="T737" s="1470"/>
      <c r="U737" s="1471"/>
      <c r="V737" s="1471"/>
      <c r="W737" s="1472"/>
      <c r="X737" s="1362">
        <f t="shared" si="8"/>
        <v>0</v>
      </c>
      <c r="Y737" s="1363"/>
      <c r="Z737" s="1363"/>
      <c r="AA737" s="1363"/>
      <c r="AB737" s="1364"/>
      <c r="AC737" s="1605"/>
      <c r="AD737" s="1606"/>
      <c r="AE737" s="1606"/>
      <c r="AF737" s="1606"/>
      <c r="AG737" s="1607"/>
      <c r="AH737" s="1365" t="str">
        <f t="shared" si="36"/>
        <v/>
      </c>
      <c r="AI737" s="1366"/>
      <c r="AJ737" s="1367"/>
      <c r="AK737" s="1359" t="s">
        <v>592</v>
      </c>
      <c r="AL737" s="1360"/>
      <c r="AM737" s="1360"/>
      <c r="AN737" s="1360"/>
      <c r="AO737" s="1361"/>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5">
        <f t="shared" si="37"/>
        <v>0</v>
      </c>
      <c r="CH737" s="1357"/>
      <c r="CI737" s="1339">
        <f t="shared" si="38"/>
        <v>0</v>
      </c>
      <c r="CJ737" s="1341"/>
      <c r="CK737" s="1355">
        <f t="shared" si="16"/>
        <v>0</v>
      </c>
      <c r="CL737" s="1357"/>
      <c r="CM737" s="1339">
        <f t="shared" si="17"/>
        <v>0</v>
      </c>
      <c r="CN737" s="1341"/>
      <c r="CO737" s="3"/>
      <c r="CP737" s="1332">
        <f t="shared" si="18"/>
        <v>0</v>
      </c>
      <c r="CQ737" s="1333"/>
      <c r="CR737" s="1333"/>
      <c r="CS737" s="1333"/>
      <c r="CT737" s="1334"/>
      <c r="CU737" s="1358">
        <f t="shared" si="19"/>
        <v>0</v>
      </c>
      <c r="CV737" s="1358"/>
      <c r="CW737" s="1358"/>
      <c r="CX737" s="1358"/>
      <c r="CY737" s="1358"/>
      <c r="CZ737" s="1358">
        <f t="shared" si="20"/>
        <v>0</v>
      </c>
      <c r="DA737" s="1358"/>
      <c r="DB737" s="1358"/>
      <c r="DC737" s="1358"/>
      <c r="DD737" s="1358"/>
      <c r="DE737" s="1358">
        <f t="shared" si="21"/>
        <v>0</v>
      </c>
      <c r="DF737" s="1358"/>
      <c r="DG737" s="1358"/>
      <c r="DH737" s="1358"/>
      <c r="DI737" s="1358"/>
      <c r="DJ737" s="1358">
        <f t="shared" si="22"/>
        <v>0</v>
      </c>
      <c r="DK737" s="1358"/>
      <c r="DL737" s="1358"/>
      <c r="DM737" s="1358"/>
      <c r="DN737" s="1358"/>
      <c r="DO737" s="1358">
        <f t="shared" si="23"/>
        <v>0</v>
      </c>
      <c r="DP737" s="1358"/>
      <c r="DQ737" s="1358"/>
      <c r="DR737" s="1358"/>
      <c r="DS737" s="1358"/>
      <c r="DT737" s="6"/>
      <c r="DU737" s="1372">
        <f t="shared" si="24"/>
        <v>0</v>
      </c>
      <c r="DV737" s="1372"/>
      <c r="DW737" s="1372"/>
      <c r="DX737" s="1372"/>
      <c r="DY737" s="1372"/>
      <c r="DZ737" s="1372">
        <f t="shared" si="25"/>
        <v>0</v>
      </c>
      <c r="EA737" s="1372"/>
      <c r="EB737" s="1372"/>
      <c r="EC737" s="1372"/>
      <c r="ED737" s="1372"/>
      <c r="EE737" s="1372">
        <f t="shared" si="26"/>
        <v>0</v>
      </c>
      <c r="EF737" s="1372"/>
      <c r="EG737" s="1372"/>
      <c r="EH737" s="1372"/>
      <c r="EI737" s="1372"/>
      <c r="EJ737" s="1372">
        <f t="shared" si="27"/>
        <v>0</v>
      </c>
      <c r="EK737" s="1372"/>
      <c r="EL737" s="1372"/>
      <c r="EM737" s="1372"/>
      <c r="EN737" s="1372"/>
      <c r="EO737" s="1372">
        <f t="shared" si="28"/>
        <v>0</v>
      </c>
      <c r="EP737" s="1372"/>
      <c r="EQ737" s="1372"/>
      <c r="ER737" s="1372"/>
      <c r="ES737" s="1372"/>
      <c r="ET737" s="1372">
        <f t="shared" si="29"/>
        <v>0</v>
      </c>
      <c r="EU737" s="1372"/>
      <c r="EV737" s="1372"/>
      <c r="EW737" s="1372"/>
      <c r="EX737" s="1372"/>
      <c r="EZ737" s="1355" t="str">
        <f t="shared" si="30"/>
        <v/>
      </c>
      <c r="FA737" s="1356"/>
      <c r="FB737" s="1356"/>
      <c r="FC737" s="1356"/>
      <c r="FD737" s="1357"/>
      <c r="FE737" s="1355" t="str">
        <f t="shared" si="31"/>
        <v/>
      </c>
      <c r="FF737" s="1356"/>
      <c r="FG737" s="1356"/>
      <c r="FH737" s="1356"/>
      <c r="FI737" s="1357"/>
      <c r="FJ737" s="1355" t="str">
        <f t="shared" si="32"/>
        <v/>
      </c>
      <c r="FK737" s="1356"/>
      <c r="FL737" s="1356"/>
      <c r="FM737" s="1356"/>
      <c r="FN737" s="1357"/>
      <c r="FO737" s="1355" t="str">
        <f t="shared" si="33"/>
        <v/>
      </c>
      <c r="FP737" s="1356"/>
      <c r="FQ737" s="1356"/>
      <c r="FR737" s="1356"/>
      <c r="FS737" s="1357"/>
      <c r="FT737" s="1355" t="str">
        <f t="shared" si="34"/>
        <v/>
      </c>
      <c r="FU737" s="1356"/>
      <c r="FV737" s="1356"/>
      <c r="FW737" s="1356"/>
      <c r="FX737" s="1357"/>
      <c r="FY737" s="1355" t="str">
        <f t="shared" si="35"/>
        <v/>
      </c>
      <c r="FZ737" s="1356"/>
      <c r="GA737" s="1356"/>
      <c r="GB737" s="1356"/>
      <c r="GC737" s="1357"/>
    </row>
    <row r="738" spans="1:185" ht="12.9" customHeight="1">
      <c r="B738" s="1359"/>
      <c r="C738" s="1360"/>
      <c r="D738" s="1360"/>
      <c r="E738" s="1360"/>
      <c r="F738" s="1361"/>
      <c r="G738" s="1368"/>
      <c r="H738" s="1369"/>
      <c r="I738" s="1369"/>
      <c r="J738" s="1370"/>
      <c r="K738" s="1596"/>
      <c r="L738" s="1597"/>
      <c r="M738" s="1597"/>
      <c r="N738" s="1598"/>
      <c r="O738" s="1470"/>
      <c r="P738" s="1471"/>
      <c r="Q738" s="1471"/>
      <c r="R738" s="1471"/>
      <c r="S738" s="1472"/>
      <c r="T738" s="1470"/>
      <c r="U738" s="1471"/>
      <c r="V738" s="1471"/>
      <c r="W738" s="1472"/>
      <c r="X738" s="1362">
        <f t="shared" si="8"/>
        <v>0</v>
      </c>
      <c r="Y738" s="1363"/>
      <c r="Z738" s="1363"/>
      <c r="AA738" s="1363"/>
      <c r="AB738" s="1364"/>
      <c r="AC738" s="1605"/>
      <c r="AD738" s="1606"/>
      <c r="AE738" s="1606"/>
      <c r="AF738" s="1606"/>
      <c r="AG738" s="1607"/>
      <c r="AH738" s="1365" t="str">
        <f t="shared" si="36"/>
        <v/>
      </c>
      <c r="AI738" s="1366"/>
      <c r="AJ738" s="1367"/>
      <c r="AK738" s="1359" t="s">
        <v>592</v>
      </c>
      <c r="AL738" s="1360"/>
      <c r="AM738" s="1360"/>
      <c r="AN738" s="1360"/>
      <c r="AO738" s="1361"/>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5">
        <f t="shared" si="37"/>
        <v>0</v>
      </c>
      <c r="CH738" s="1357"/>
      <c r="CI738" s="1339">
        <f t="shared" si="38"/>
        <v>0</v>
      </c>
      <c r="CJ738" s="1341"/>
      <c r="CK738" s="1355">
        <f t="shared" si="16"/>
        <v>0</v>
      </c>
      <c r="CL738" s="1357"/>
      <c r="CM738" s="1339">
        <f t="shared" si="17"/>
        <v>0</v>
      </c>
      <c r="CN738" s="1341"/>
      <c r="CO738" s="3"/>
      <c r="CP738" s="1332">
        <f t="shared" si="18"/>
        <v>0</v>
      </c>
      <c r="CQ738" s="1333"/>
      <c r="CR738" s="1333"/>
      <c r="CS738" s="1333"/>
      <c r="CT738" s="1334"/>
      <c r="CU738" s="1358">
        <f t="shared" si="19"/>
        <v>0</v>
      </c>
      <c r="CV738" s="1358"/>
      <c r="CW738" s="1358"/>
      <c r="CX738" s="1358"/>
      <c r="CY738" s="1358"/>
      <c r="CZ738" s="1358">
        <f t="shared" si="20"/>
        <v>0</v>
      </c>
      <c r="DA738" s="1358"/>
      <c r="DB738" s="1358"/>
      <c r="DC738" s="1358"/>
      <c r="DD738" s="1358"/>
      <c r="DE738" s="1358">
        <f t="shared" si="21"/>
        <v>0</v>
      </c>
      <c r="DF738" s="1358"/>
      <c r="DG738" s="1358"/>
      <c r="DH738" s="1358"/>
      <c r="DI738" s="1358"/>
      <c r="DJ738" s="1358">
        <f t="shared" si="22"/>
        <v>0</v>
      </c>
      <c r="DK738" s="1358"/>
      <c r="DL738" s="1358"/>
      <c r="DM738" s="1358"/>
      <c r="DN738" s="1358"/>
      <c r="DO738" s="1358">
        <f t="shared" si="23"/>
        <v>0</v>
      </c>
      <c r="DP738" s="1358"/>
      <c r="DQ738" s="1358"/>
      <c r="DR738" s="1358"/>
      <c r="DS738" s="1358"/>
      <c r="DT738" s="6"/>
      <c r="DU738" s="1372">
        <f t="shared" si="24"/>
        <v>0</v>
      </c>
      <c r="DV738" s="1372"/>
      <c r="DW738" s="1372"/>
      <c r="DX738" s="1372"/>
      <c r="DY738" s="1372"/>
      <c r="DZ738" s="1372">
        <f t="shared" si="25"/>
        <v>0</v>
      </c>
      <c r="EA738" s="1372"/>
      <c r="EB738" s="1372"/>
      <c r="EC738" s="1372"/>
      <c r="ED738" s="1372"/>
      <c r="EE738" s="1372">
        <f t="shared" si="26"/>
        <v>0</v>
      </c>
      <c r="EF738" s="1372"/>
      <c r="EG738" s="1372"/>
      <c r="EH738" s="1372"/>
      <c r="EI738" s="1372"/>
      <c r="EJ738" s="1372">
        <f t="shared" si="27"/>
        <v>0</v>
      </c>
      <c r="EK738" s="1372"/>
      <c r="EL738" s="1372"/>
      <c r="EM738" s="1372"/>
      <c r="EN738" s="1372"/>
      <c r="EO738" s="1372">
        <f t="shared" si="28"/>
        <v>0</v>
      </c>
      <c r="EP738" s="1372"/>
      <c r="EQ738" s="1372"/>
      <c r="ER738" s="1372"/>
      <c r="ES738" s="1372"/>
      <c r="ET738" s="1372">
        <f t="shared" si="29"/>
        <v>0</v>
      </c>
      <c r="EU738" s="1372"/>
      <c r="EV738" s="1372"/>
      <c r="EW738" s="1372"/>
      <c r="EX738" s="1372"/>
      <c r="EZ738" s="1355" t="str">
        <f t="shared" si="30"/>
        <v/>
      </c>
      <c r="FA738" s="1356"/>
      <c r="FB738" s="1356"/>
      <c r="FC738" s="1356"/>
      <c r="FD738" s="1357"/>
      <c r="FE738" s="1355" t="str">
        <f t="shared" si="31"/>
        <v/>
      </c>
      <c r="FF738" s="1356"/>
      <c r="FG738" s="1356"/>
      <c r="FH738" s="1356"/>
      <c r="FI738" s="1357"/>
      <c r="FJ738" s="1355" t="str">
        <f t="shared" si="32"/>
        <v/>
      </c>
      <c r="FK738" s="1356"/>
      <c r="FL738" s="1356"/>
      <c r="FM738" s="1356"/>
      <c r="FN738" s="1357"/>
      <c r="FO738" s="1355" t="str">
        <f t="shared" si="33"/>
        <v/>
      </c>
      <c r="FP738" s="1356"/>
      <c r="FQ738" s="1356"/>
      <c r="FR738" s="1356"/>
      <c r="FS738" s="1357"/>
      <c r="FT738" s="1355" t="str">
        <f t="shared" si="34"/>
        <v/>
      </c>
      <c r="FU738" s="1356"/>
      <c r="FV738" s="1356"/>
      <c r="FW738" s="1356"/>
      <c r="FX738" s="1357"/>
      <c r="FY738" s="1355" t="str">
        <f t="shared" si="35"/>
        <v/>
      </c>
      <c r="FZ738" s="1356"/>
      <c r="GA738" s="1356"/>
      <c r="GB738" s="1356"/>
      <c r="GC738" s="1357"/>
    </row>
    <row r="739" spans="1:185" ht="12.9" customHeight="1">
      <c r="B739" s="1359"/>
      <c r="C739" s="1360"/>
      <c r="D739" s="1360"/>
      <c r="E739" s="1360"/>
      <c r="F739" s="1361"/>
      <c r="G739" s="1368"/>
      <c r="H739" s="1369"/>
      <c r="I739" s="1369"/>
      <c r="J739" s="1370"/>
      <c r="K739" s="1596"/>
      <c r="L739" s="1597"/>
      <c r="M739" s="1597"/>
      <c r="N739" s="1598"/>
      <c r="O739" s="1470"/>
      <c r="P739" s="1471"/>
      <c r="Q739" s="1471"/>
      <c r="R739" s="1471"/>
      <c r="S739" s="1472"/>
      <c r="T739" s="1470"/>
      <c r="U739" s="1471"/>
      <c r="V739" s="1471"/>
      <c r="W739" s="1472"/>
      <c r="X739" s="1362">
        <f t="shared" si="8"/>
        <v>0</v>
      </c>
      <c r="Y739" s="1363"/>
      <c r="Z739" s="1363"/>
      <c r="AA739" s="1363"/>
      <c r="AB739" s="1364"/>
      <c r="AC739" s="1605"/>
      <c r="AD739" s="1606"/>
      <c r="AE739" s="1606"/>
      <c r="AF739" s="1606"/>
      <c r="AG739" s="1607"/>
      <c r="AH739" s="1365" t="str">
        <f t="shared" si="36"/>
        <v/>
      </c>
      <c r="AI739" s="1366"/>
      <c r="AJ739" s="1367"/>
      <c r="AK739" s="1359" t="s">
        <v>592</v>
      </c>
      <c r="AL739" s="1360"/>
      <c r="AM739" s="1360"/>
      <c r="AN739" s="1360"/>
      <c r="AO739" s="1361"/>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5">
        <f t="shared" si="37"/>
        <v>0</v>
      </c>
      <c r="CH739" s="1357"/>
      <c r="CI739" s="1339">
        <f t="shared" si="38"/>
        <v>0</v>
      </c>
      <c r="CJ739" s="1341"/>
      <c r="CK739" s="1355">
        <f t="shared" si="16"/>
        <v>0</v>
      </c>
      <c r="CL739" s="1357"/>
      <c r="CM739" s="1339">
        <f t="shared" si="17"/>
        <v>0</v>
      </c>
      <c r="CN739" s="1341"/>
      <c r="CO739" s="3"/>
      <c r="CP739" s="1332">
        <f t="shared" si="18"/>
        <v>0</v>
      </c>
      <c r="CQ739" s="1333"/>
      <c r="CR739" s="1333"/>
      <c r="CS739" s="1333"/>
      <c r="CT739" s="1334"/>
      <c r="CU739" s="1358">
        <f t="shared" si="19"/>
        <v>0</v>
      </c>
      <c r="CV739" s="1358"/>
      <c r="CW739" s="1358"/>
      <c r="CX739" s="1358"/>
      <c r="CY739" s="1358"/>
      <c r="CZ739" s="1358">
        <f t="shared" si="20"/>
        <v>0</v>
      </c>
      <c r="DA739" s="1358"/>
      <c r="DB739" s="1358"/>
      <c r="DC739" s="1358"/>
      <c r="DD739" s="1358"/>
      <c r="DE739" s="1358">
        <f t="shared" si="21"/>
        <v>0</v>
      </c>
      <c r="DF739" s="1358"/>
      <c r="DG739" s="1358"/>
      <c r="DH739" s="1358"/>
      <c r="DI739" s="1358"/>
      <c r="DJ739" s="1358">
        <f t="shared" si="22"/>
        <v>0</v>
      </c>
      <c r="DK739" s="1358"/>
      <c r="DL739" s="1358"/>
      <c r="DM739" s="1358"/>
      <c r="DN739" s="1358"/>
      <c r="DO739" s="1358">
        <f t="shared" si="23"/>
        <v>0</v>
      </c>
      <c r="DP739" s="1358"/>
      <c r="DQ739" s="1358"/>
      <c r="DR739" s="1358"/>
      <c r="DS739" s="1358"/>
      <c r="DT739" s="6"/>
      <c r="DU739" s="1372">
        <f t="shared" si="24"/>
        <v>0</v>
      </c>
      <c r="DV739" s="1372"/>
      <c r="DW739" s="1372"/>
      <c r="DX739" s="1372"/>
      <c r="DY739" s="1372"/>
      <c r="DZ739" s="1372">
        <f t="shared" si="25"/>
        <v>0</v>
      </c>
      <c r="EA739" s="1372"/>
      <c r="EB739" s="1372"/>
      <c r="EC739" s="1372"/>
      <c r="ED739" s="1372"/>
      <c r="EE739" s="1372">
        <f t="shared" si="26"/>
        <v>0</v>
      </c>
      <c r="EF739" s="1372"/>
      <c r="EG739" s="1372"/>
      <c r="EH739" s="1372"/>
      <c r="EI739" s="1372"/>
      <c r="EJ739" s="1372">
        <f t="shared" si="27"/>
        <v>0</v>
      </c>
      <c r="EK739" s="1372"/>
      <c r="EL739" s="1372"/>
      <c r="EM739" s="1372"/>
      <c r="EN739" s="1372"/>
      <c r="EO739" s="1372">
        <f t="shared" si="28"/>
        <v>0</v>
      </c>
      <c r="EP739" s="1372"/>
      <c r="EQ739" s="1372"/>
      <c r="ER739" s="1372"/>
      <c r="ES739" s="1372"/>
      <c r="ET739" s="1372">
        <f t="shared" si="29"/>
        <v>0</v>
      </c>
      <c r="EU739" s="1372"/>
      <c r="EV739" s="1372"/>
      <c r="EW739" s="1372"/>
      <c r="EX739" s="1372"/>
      <c r="EZ739" s="1355" t="str">
        <f t="shared" si="30"/>
        <v/>
      </c>
      <c r="FA739" s="1356"/>
      <c r="FB739" s="1356"/>
      <c r="FC739" s="1356"/>
      <c r="FD739" s="1357"/>
      <c r="FE739" s="1355" t="str">
        <f t="shared" si="31"/>
        <v/>
      </c>
      <c r="FF739" s="1356"/>
      <c r="FG739" s="1356"/>
      <c r="FH739" s="1356"/>
      <c r="FI739" s="1357"/>
      <c r="FJ739" s="1355" t="str">
        <f t="shared" si="32"/>
        <v/>
      </c>
      <c r="FK739" s="1356"/>
      <c r="FL739" s="1356"/>
      <c r="FM739" s="1356"/>
      <c r="FN739" s="1357"/>
      <c r="FO739" s="1355" t="str">
        <f t="shared" si="33"/>
        <v/>
      </c>
      <c r="FP739" s="1356"/>
      <c r="FQ739" s="1356"/>
      <c r="FR739" s="1356"/>
      <c r="FS739" s="1357"/>
      <c r="FT739" s="1355" t="str">
        <f t="shared" si="34"/>
        <v/>
      </c>
      <c r="FU739" s="1356"/>
      <c r="FV739" s="1356"/>
      <c r="FW739" s="1356"/>
      <c r="FX739" s="1357"/>
      <c r="FY739" s="1355" t="str">
        <f t="shared" si="35"/>
        <v/>
      </c>
      <c r="FZ739" s="1356"/>
      <c r="GA739" s="1356"/>
      <c r="GB739" s="1356"/>
      <c r="GC739" s="1357"/>
    </row>
    <row r="740" spans="1:185" ht="12.9" customHeight="1">
      <c r="B740" s="1359"/>
      <c r="C740" s="1360"/>
      <c r="D740" s="1360"/>
      <c r="E740" s="1360"/>
      <c r="F740" s="1361"/>
      <c r="G740" s="1368"/>
      <c r="H740" s="1369"/>
      <c r="I740" s="1369"/>
      <c r="J740" s="1370"/>
      <c r="K740" s="1596"/>
      <c r="L740" s="1597"/>
      <c r="M740" s="1597"/>
      <c r="N740" s="1598"/>
      <c r="O740" s="1470"/>
      <c r="P740" s="1471"/>
      <c r="Q740" s="1471"/>
      <c r="R740" s="1471"/>
      <c r="S740" s="1472"/>
      <c r="T740" s="1470"/>
      <c r="U740" s="1471"/>
      <c r="V740" s="1471"/>
      <c r="W740" s="1472"/>
      <c r="X740" s="1362">
        <f t="shared" si="8"/>
        <v>0</v>
      </c>
      <c r="Y740" s="1363"/>
      <c r="Z740" s="1363"/>
      <c r="AA740" s="1363"/>
      <c r="AB740" s="1364"/>
      <c r="AC740" s="1605"/>
      <c r="AD740" s="1606"/>
      <c r="AE740" s="1606"/>
      <c r="AF740" s="1606"/>
      <c r="AG740" s="1607"/>
      <c r="AH740" s="1365" t="str">
        <f t="shared" si="36"/>
        <v/>
      </c>
      <c r="AI740" s="1366"/>
      <c r="AJ740" s="1367"/>
      <c r="AK740" s="1359" t="s">
        <v>592</v>
      </c>
      <c r="AL740" s="1360"/>
      <c r="AM740" s="1360"/>
      <c r="AN740" s="1360"/>
      <c r="AO740" s="1361"/>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5">
        <f t="shared" si="37"/>
        <v>0</v>
      </c>
      <c r="CH740" s="1357"/>
      <c r="CI740" s="1339">
        <f t="shared" si="38"/>
        <v>0</v>
      </c>
      <c r="CJ740" s="1341"/>
      <c r="CK740" s="1355">
        <f t="shared" si="16"/>
        <v>0</v>
      </c>
      <c r="CL740" s="1357"/>
      <c r="CM740" s="1339">
        <f t="shared" si="17"/>
        <v>0</v>
      </c>
      <c r="CN740" s="1341"/>
      <c r="CO740" s="3"/>
      <c r="CP740" s="1332">
        <f t="shared" si="18"/>
        <v>0</v>
      </c>
      <c r="CQ740" s="1333"/>
      <c r="CR740" s="1333"/>
      <c r="CS740" s="1333"/>
      <c r="CT740" s="1334"/>
      <c r="CU740" s="1358">
        <f t="shared" si="19"/>
        <v>0</v>
      </c>
      <c r="CV740" s="1358"/>
      <c r="CW740" s="1358"/>
      <c r="CX740" s="1358"/>
      <c r="CY740" s="1358"/>
      <c r="CZ740" s="1358">
        <f t="shared" si="20"/>
        <v>0</v>
      </c>
      <c r="DA740" s="1358"/>
      <c r="DB740" s="1358"/>
      <c r="DC740" s="1358"/>
      <c r="DD740" s="1358"/>
      <c r="DE740" s="1358">
        <f t="shared" si="21"/>
        <v>0</v>
      </c>
      <c r="DF740" s="1358"/>
      <c r="DG740" s="1358"/>
      <c r="DH740" s="1358"/>
      <c r="DI740" s="1358"/>
      <c r="DJ740" s="1358">
        <f t="shared" si="22"/>
        <v>0</v>
      </c>
      <c r="DK740" s="1358"/>
      <c r="DL740" s="1358"/>
      <c r="DM740" s="1358"/>
      <c r="DN740" s="1358"/>
      <c r="DO740" s="1358">
        <f t="shared" si="23"/>
        <v>0</v>
      </c>
      <c r="DP740" s="1358"/>
      <c r="DQ740" s="1358"/>
      <c r="DR740" s="1358"/>
      <c r="DS740" s="1358"/>
      <c r="DT740" s="6"/>
      <c r="DU740" s="1372">
        <f t="shared" si="24"/>
        <v>0</v>
      </c>
      <c r="DV740" s="1372"/>
      <c r="DW740" s="1372"/>
      <c r="DX740" s="1372"/>
      <c r="DY740" s="1372"/>
      <c r="DZ740" s="1372">
        <f t="shared" si="25"/>
        <v>0</v>
      </c>
      <c r="EA740" s="1372"/>
      <c r="EB740" s="1372"/>
      <c r="EC740" s="1372"/>
      <c r="ED740" s="1372"/>
      <c r="EE740" s="1372">
        <f t="shared" si="26"/>
        <v>0</v>
      </c>
      <c r="EF740" s="1372"/>
      <c r="EG740" s="1372"/>
      <c r="EH740" s="1372"/>
      <c r="EI740" s="1372"/>
      <c r="EJ740" s="1372">
        <f t="shared" si="27"/>
        <v>0</v>
      </c>
      <c r="EK740" s="1372"/>
      <c r="EL740" s="1372"/>
      <c r="EM740" s="1372"/>
      <c r="EN740" s="1372"/>
      <c r="EO740" s="1372">
        <f t="shared" si="28"/>
        <v>0</v>
      </c>
      <c r="EP740" s="1372"/>
      <c r="EQ740" s="1372"/>
      <c r="ER740" s="1372"/>
      <c r="ES740" s="1372"/>
      <c r="ET740" s="1372">
        <f t="shared" si="29"/>
        <v>0</v>
      </c>
      <c r="EU740" s="1372"/>
      <c r="EV740" s="1372"/>
      <c r="EW740" s="1372"/>
      <c r="EX740" s="1372"/>
      <c r="EZ740" s="1355" t="str">
        <f t="shared" si="30"/>
        <v/>
      </c>
      <c r="FA740" s="1356"/>
      <c r="FB740" s="1356"/>
      <c r="FC740" s="1356"/>
      <c r="FD740" s="1357"/>
      <c r="FE740" s="1355" t="str">
        <f t="shared" si="31"/>
        <v/>
      </c>
      <c r="FF740" s="1356"/>
      <c r="FG740" s="1356"/>
      <c r="FH740" s="1356"/>
      <c r="FI740" s="1357"/>
      <c r="FJ740" s="1355" t="str">
        <f t="shared" si="32"/>
        <v/>
      </c>
      <c r="FK740" s="1356"/>
      <c r="FL740" s="1356"/>
      <c r="FM740" s="1356"/>
      <c r="FN740" s="1357"/>
      <c r="FO740" s="1355" t="str">
        <f t="shared" si="33"/>
        <v/>
      </c>
      <c r="FP740" s="1356"/>
      <c r="FQ740" s="1356"/>
      <c r="FR740" s="1356"/>
      <c r="FS740" s="1357"/>
      <c r="FT740" s="1355" t="str">
        <f t="shared" si="34"/>
        <v/>
      </c>
      <c r="FU740" s="1356"/>
      <c r="FV740" s="1356"/>
      <c r="FW740" s="1356"/>
      <c r="FX740" s="1357"/>
      <c r="FY740" s="1355" t="str">
        <f t="shared" si="35"/>
        <v/>
      </c>
      <c r="FZ740" s="1356"/>
      <c r="GA740" s="1356"/>
      <c r="GB740" s="1356"/>
      <c r="GC740" s="1357"/>
    </row>
    <row r="741" spans="1:185" ht="12.9" customHeight="1">
      <c r="B741" s="1359"/>
      <c r="C741" s="1360"/>
      <c r="D741" s="1360"/>
      <c r="E741" s="1360"/>
      <c r="F741" s="1361"/>
      <c r="G741" s="1368"/>
      <c r="H741" s="1369"/>
      <c r="I741" s="1369"/>
      <c r="J741" s="1370"/>
      <c r="K741" s="1596"/>
      <c r="L741" s="1597"/>
      <c r="M741" s="1597"/>
      <c r="N741" s="1598"/>
      <c r="O741" s="1470"/>
      <c r="P741" s="1471"/>
      <c r="Q741" s="1471"/>
      <c r="R741" s="1471"/>
      <c r="S741" s="1472"/>
      <c r="T741" s="1470"/>
      <c r="U741" s="1471"/>
      <c r="V741" s="1471"/>
      <c r="W741" s="1472"/>
      <c r="X741" s="1362">
        <f t="shared" si="8"/>
        <v>0</v>
      </c>
      <c r="Y741" s="1363"/>
      <c r="Z741" s="1363"/>
      <c r="AA741" s="1363"/>
      <c r="AB741" s="1364"/>
      <c r="AC741" s="1605"/>
      <c r="AD741" s="1606"/>
      <c r="AE741" s="1606"/>
      <c r="AF741" s="1606"/>
      <c r="AG741" s="1607"/>
      <c r="AH741" s="1365" t="str">
        <f t="shared" si="36"/>
        <v/>
      </c>
      <c r="AI741" s="1366"/>
      <c r="AJ741" s="1367"/>
      <c r="AK741" s="1359" t="s">
        <v>592</v>
      </c>
      <c r="AL741" s="1360"/>
      <c r="AM741" s="1360"/>
      <c r="AN741" s="1360"/>
      <c r="AO741" s="1361"/>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5">
        <f t="shared" si="37"/>
        <v>0</v>
      </c>
      <c r="CH741" s="1357"/>
      <c r="CI741" s="1339">
        <f t="shared" si="38"/>
        <v>0</v>
      </c>
      <c r="CJ741" s="1341"/>
      <c r="CK741" s="1355">
        <f t="shared" si="16"/>
        <v>0</v>
      </c>
      <c r="CL741" s="1357"/>
      <c r="CM741" s="1339">
        <f t="shared" si="17"/>
        <v>0</v>
      </c>
      <c r="CN741" s="1341"/>
      <c r="CO741" s="3"/>
      <c r="CP741" s="1332">
        <f t="shared" si="18"/>
        <v>0</v>
      </c>
      <c r="CQ741" s="1333"/>
      <c r="CR741" s="1333"/>
      <c r="CS741" s="1333"/>
      <c r="CT741" s="1334"/>
      <c r="CU741" s="1358">
        <f t="shared" si="19"/>
        <v>0</v>
      </c>
      <c r="CV741" s="1358"/>
      <c r="CW741" s="1358"/>
      <c r="CX741" s="1358"/>
      <c r="CY741" s="1358"/>
      <c r="CZ741" s="1358">
        <f t="shared" si="20"/>
        <v>0</v>
      </c>
      <c r="DA741" s="1358"/>
      <c r="DB741" s="1358"/>
      <c r="DC741" s="1358"/>
      <c r="DD741" s="1358"/>
      <c r="DE741" s="1358">
        <f t="shared" si="21"/>
        <v>0</v>
      </c>
      <c r="DF741" s="1358"/>
      <c r="DG741" s="1358"/>
      <c r="DH741" s="1358"/>
      <c r="DI741" s="1358"/>
      <c r="DJ741" s="1358">
        <f t="shared" si="22"/>
        <v>0</v>
      </c>
      <c r="DK741" s="1358"/>
      <c r="DL741" s="1358"/>
      <c r="DM741" s="1358"/>
      <c r="DN741" s="1358"/>
      <c r="DO741" s="1358">
        <f t="shared" si="23"/>
        <v>0</v>
      </c>
      <c r="DP741" s="1358"/>
      <c r="DQ741" s="1358"/>
      <c r="DR741" s="1358"/>
      <c r="DS741" s="1358"/>
      <c r="DT741" s="6"/>
      <c r="DU741" s="1372">
        <f t="shared" si="24"/>
        <v>0</v>
      </c>
      <c r="DV741" s="1372"/>
      <c r="DW741" s="1372"/>
      <c r="DX741" s="1372"/>
      <c r="DY741" s="1372"/>
      <c r="DZ741" s="1372">
        <f t="shared" si="25"/>
        <v>0</v>
      </c>
      <c r="EA741" s="1372"/>
      <c r="EB741" s="1372"/>
      <c r="EC741" s="1372"/>
      <c r="ED741" s="1372"/>
      <c r="EE741" s="1372">
        <f t="shared" si="26"/>
        <v>0</v>
      </c>
      <c r="EF741" s="1372"/>
      <c r="EG741" s="1372"/>
      <c r="EH741" s="1372"/>
      <c r="EI741" s="1372"/>
      <c r="EJ741" s="1372">
        <f t="shared" si="27"/>
        <v>0</v>
      </c>
      <c r="EK741" s="1372"/>
      <c r="EL741" s="1372"/>
      <c r="EM741" s="1372"/>
      <c r="EN741" s="1372"/>
      <c r="EO741" s="1372">
        <f t="shared" si="28"/>
        <v>0</v>
      </c>
      <c r="EP741" s="1372"/>
      <c r="EQ741" s="1372"/>
      <c r="ER741" s="1372"/>
      <c r="ES741" s="1372"/>
      <c r="ET741" s="1372">
        <f t="shared" si="29"/>
        <v>0</v>
      </c>
      <c r="EU741" s="1372"/>
      <c r="EV741" s="1372"/>
      <c r="EW741" s="1372"/>
      <c r="EX741" s="1372"/>
      <c r="EZ741" s="1355" t="str">
        <f t="shared" si="30"/>
        <v/>
      </c>
      <c r="FA741" s="1356"/>
      <c r="FB741" s="1356"/>
      <c r="FC741" s="1356"/>
      <c r="FD741" s="1357"/>
      <c r="FE741" s="1355" t="str">
        <f t="shared" si="31"/>
        <v/>
      </c>
      <c r="FF741" s="1356"/>
      <c r="FG741" s="1356"/>
      <c r="FH741" s="1356"/>
      <c r="FI741" s="1357"/>
      <c r="FJ741" s="1355" t="str">
        <f t="shared" si="32"/>
        <v/>
      </c>
      <c r="FK741" s="1356"/>
      <c r="FL741" s="1356"/>
      <c r="FM741" s="1356"/>
      <c r="FN741" s="1357"/>
      <c r="FO741" s="1355" t="str">
        <f t="shared" si="33"/>
        <v/>
      </c>
      <c r="FP741" s="1356"/>
      <c r="FQ741" s="1356"/>
      <c r="FR741" s="1356"/>
      <c r="FS741" s="1357"/>
      <c r="FT741" s="1355" t="str">
        <f t="shared" si="34"/>
        <v/>
      </c>
      <c r="FU741" s="1356"/>
      <c r="FV741" s="1356"/>
      <c r="FW741" s="1356"/>
      <c r="FX741" s="1357"/>
      <c r="FY741" s="1355" t="str">
        <f t="shared" si="35"/>
        <v/>
      </c>
      <c r="FZ741" s="1356"/>
      <c r="GA741" s="1356"/>
      <c r="GB741" s="1356"/>
      <c r="GC741" s="1357"/>
    </row>
    <row r="742" spans="1:185" ht="12.9" customHeight="1">
      <c r="B742" s="1359"/>
      <c r="C742" s="1360"/>
      <c r="D742" s="1360"/>
      <c r="E742" s="1360"/>
      <c r="F742" s="1361"/>
      <c r="G742" s="1368"/>
      <c r="H742" s="1369"/>
      <c r="I742" s="1369"/>
      <c r="J742" s="1370"/>
      <c r="K742" s="1596"/>
      <c r="L742" s="1597"/>
      <c r="M742" s="1597"/>
      <c r="N742" s="1598"/>
      <c r="O742" s="1470"/>
      <c r="P742" s="1471"/>
      <c r="Q742" s="1471"/>
      <c r="R742" s="1471"/>
      <c r="S742" s="1472"/>
      <c r="T742" s="1470"/>
      <c r="U742" s="1471"/>
      <c r="V742" s="1471"/>
      <c r="W742" s="1472"/>
      <c r="X742" s="1362">
        <f t="shared" ref="X742:X751" si="39">O742+T742</f>
        <v>0</v>
      </c>
      <c r="Y742" s="1363"/>
      <c r="Z742" s="1363"/>
      <c r="AA742" s="1363"/>
      <c r="AB742" s="1364"/>
      <c r="AC742" s="1605"/>
      <c r="AD742" s="1606"/>
      <c r="AE742" s="1606"/>
      <c r="AF742" s="1606"/>
      <c r="AG742" s="1607"/>
      <c r="AH742" s="1365" t="str">
        <f t="shared" si="36"/>
        <v/>
      </c>
      <c r="AI742" s="1366"/>
      <c r="AJ742" s="1367"/>
      <c r="AK742" s="1359" t="s">
        <v>592</v>
      </c>
      <c r="AL742" s="1360"/>
      <c r="AM742" s="1360"/>
      <c r="AN742" s="1360"/>
      <c r="AO742" s="1361"/>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5">
        <f t="shared" si="37"/>
        <v>0</v>
      </c>
      <c r="CH742" s="1357"/>
      <c r="CI742" s="1339">
        <f t="shared" si="38"/>
        <v>0</v>
      </c>
      <c r="CJ742" s="1341"/>
      <c r="CK742" s="1355">
        <f t="shared" si="16"/>
        <v>0</v>
      </c>
      <c r="CL742" s="1357"/>
      <c r="CM742" s="1339">
        <f t="shared" si="17"/>
        <v>0</v>
      </c>
      <c r="CN742" s="1341"/>
      <c r="CO742" s="3"/>
      <c r="CP742" s="1332">
        <f t="shared" si="18"/>
        <v>0</v>
      </c>
      <c r="CQ742" s="1333"/>
      <c r="CR742" s="1333"/>
      <c r="CS742" s="1333"/>
      <c r="CT742" s="1334"/>
      <c r="CU742" s="1358">
        <f t="shared" si="19"/>
        <v>0</v>
      </c>
      <c r="CV742" s="1358"/>
      <c r="CW742" s="1358"/>
      <c r="CX742" s="1358"/>
      <c r="CY742" s="1358"/>
      <c r="CZ742" s="1358">
        <f t="shared" si="20"/>
        <v>0</v>
      </c>
      <c r="DA742" s="1358"/>
      <c r="DB742" s="1358"/>
      <c r="DC742" s="1358"/>
      <c r="DD742" s="1358"/>
      <c r="DE742" s="1358">
        <f t="shared" si="21"/>
        <v>0</v>
      </c>
      <c r="DF742" s="1358"/>
      <c r="DG742" s="1358"/>
      <c r="DH742" s="1358"/>
      <c r="DI742" s="1358"/>
      <c r="DJ742" s="1358">
        <f t="shared" si="22"/>
        <v>0</v>
      </c>
      <c r="DK742" s="1358"/>
      <c r="DL742" s="1358"/>
      <c r="DM742" s="1358"/>
      <c r="DN742" s="1358"/>
      <c r="DO742" s="1358">
        <f t="shared" si="23"/>
        <v>0</v>
      </c>
      <c r="DP742" s="1358"/>
      <c r="DQ742" s="1358"/>
      <c r="DR742" s="1358"/>
      <c r="DS742" s="1358"/>
      <c r="DT742" s="6"/>
      <c r="DU742" s="1372">
        <f t="shared" si="24"/>
        <v>0</v>
      </c>
      <c r="DV742" s="1372"/>
      <c r="DW742" s="1372"/>
      <c r="DX742" s="1372"/>
      <c r="DY742" s="1372"/>
      <c r="DZ742" s="1372">
        <f t="shared" si="25"/>
        <v>0</v>
      </c>
      <c r="EA742" s="1372"/>
      <c r="EB742" s="1372"/>
      <c r="EC742" s="1372"/>
      <c r="ED742" s="1372"/>
      <c r="EE742" s="1372">
        <f t="shared" si="26"/>
        <v>0</v>
      </c>
      <c r="EF742" s="1372"/>
      <c r="EG742" s="1372"/>
      <c r="EH742" s="1372"/>
      <c r="EI742" s="1372"/>
      <c r="EJ742" s="1372">
        <f t="shared" si="27"/>
        <v>0</v>
      </c>
      <c r="EK742" s="1372"/>
      <c r="EL742" s="1372"/>
      <c r="EM742" s="1372"/>
      <c r="EN742" s="1372"/>
      <c r="EO742" s="1372">
        <f t="shared" si="28"/>
        <v>0</v>
      </c>
      <c r="EP742" s="1372"/>
      <c r="EQ742" s="1372"/>
      <c r="ER742" s="1372"/>
      <c r="ES742" s="1372"/>
      <c r="ET742" s="1372">
        <f t="shared" si="29"/>
        <v>0</v>
      </c>
      <c r="EU742" s="1372"/>
      <c r="EV742" s="1372"/>
      <c r="EW742" s="1372"/>
      <c r="EX742" s="1372"/>
      <c r="EZ742" s="1355" t="str">
        <f t="shared" si="30"/>
        <v/>
      </c>
      <c r="FA742" s="1356"/>
      <c r="FB742" s="1356"/>
      <c r="FC742" s="1356"/>
      <c r="FD742" s="1357"/>
      <c r="FE742" s="1355" t="str">
        <f t="shared" si="31"/>
        <v/>
      </c>
      <c r="FF742" s="1356"/>
      <c r="FG742" s="1356"/>
      <c r="FH742" s="1356"/>
      <c r="FI742" s="1357"/>
      <c r="FJ742" s="1355" t="str">
        <f t="shared" si="32"/>
        <v/>
      </c>
      <c r="FK742" s="1356"/>
      <c r="FL742" s="1356"/>
      <c r="FM742" s="1356"/>
      <c r="FN742" s="1357"/>
      <c r="FO742" s="1355" t="str">
        <f t="shared" si="33"/>
        <v/>
      </c>
      <c r="FP742" s="1356"/>
      <c r="FQ742" s="1356"/>
      <c r="FR742" s="1356"/>
      <c r="FS742" s="1357"/>
      <c r="FT742" s="1355" t="str">
        <f t="shared" si="34"/>
        <v/>
      </c>
      <c r="FU742" s="1356"/>
      <c r="FV742" s="1356"/>
      <c r="FW742" s="1356"/>
      <c r="FX742" s="1357"/>
      <c r="FY742" s="1355" t="str">
        <f t="shared" si="35"/>
        <v/>
      </c>
      <c r="FZ742" s="1356"/>
      <c r="GA742" s="1356"/>
      <c r="GB742" s="1356"/>
      <c r="GC742" s="1357"/>
    </row>
    <row r="743" spans="1:185" s="3" customFormat="1" ht="12.9" customHeight="1">
      <c r="A743"/>
      <c r="B743" s="1359"/>
      <c r="C743" s="1360"/>
      <c r="D743" s="1360"/>
      <c r="E743" s="1360"/>
      <c r="F743" s="1361"/>
      <c r="G743" s="1368"/>
      <c r="H743" s="1369"/>
      <c r="I743" s="1369"/>
      <c r="J743" s="1370"/>
      <c r="K743" s="1596"/>
      <c r="L743" s="1597"/>
      <c r="M743" s="1597"/>
      <c r="N743" s="1598"/>
      <c r="O743" s="1470"/>
      <c r="P743" s="1471"/>
      <c r="Q743" s="1471"/>
      <c r="R743" s="1471"/>
      <c r="S743" s="1472"/>
      <c r="T743" s="1470"/>
      <c r="U743" s="1471"/>
      <c r="V743" s="1471"/>
      <c r="W743" s="1472"/>
      <c r="X743" s="1362">
        <f t="shared" si="39"/>
        <v>0</v>
      </c>
      <c r="Y743" s="1363"/>
      <c r="Z743" s="1363"/>
      <c r="AA743" s="1363"/>
      <c r="AB743" s="1364"/>
      <c r="AC743" s="1605"/>
      <c r="AD743" s="1606"/>
      <c r="AE743" s="1606"/>
      <c r="AF743" s="1606"/>
      <c r="AG743" s="1607"/>
      <c r="AH743" s="1365" t="str">
        <f t="shared" si="36"/>
        <v/>
      </c>
      <c r="AI743" s="1366"/>
      <c r="AJ743" s="1367"/>
      <c r="AK743" s="1359" t="s">
        <v>592</v>
      </c>
      <c r="AL743" s="1360"/>
      <c r="AM743" s="1360"/>
      <c r="AN743" s="1360"/>
      <c r="AO743" s="1361"/>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5">
        <f t="shared" si="37"/>
        <v>0</v>
      </c>
      <c r="CH743" s="1357"/>
      <c r="CI743" s="1339">
        <f t="shared" si="38"/>
        <v>0</v>
      </c>
      <c r="CJ743" s="1341"/>
      <c r="CK743" s="1355">
        <f t="shared" si="16"/>
        <v>0</v>
      </c>
      <c r="CL743" s="1357"/>
      <c r="CM743" s="1339">
        <f t="shared" si="17"/>
        <v>0</v>
      </c>
      <c r="CN743" s="1341"/>
      <c r="CP743" s="1332">
        <f t="shared" si="18"/>
        <v>0</v>
      </c>
      <c r="CQ743" s="1333"/>
      <c r="CR743" s="1333"/>
      <c r="CS743" s="1333"/>
      <c r="CT743" s="1334"/>
      <c r="CU743" s="1358">
        <f t="shared" si="19"/>
        <v>0</v>
      </c>
      <c r="CV743" s="1358"/>
      <c r="CW743" s="1358"/>
      <c r="CX743" s="1358"/>
      <c r="CY743" s="1358"/>
      <c r="CZ743" s="1358">
        <f t="shared" si="20"/>
        <v>0</v>
      </c>
      <c r="DA743" s="1358"/>
      <c r="DB743" s="1358"/>
      <c r="DC743" s="1358"/>
      <c r="DD743" s="1358"/>
      <c r="DE743" s="1358">
        <f t="shared" si="21"/>
        <v>0</v>
      </c>
      <c r="DF743" s="1358"/>
      <c r="DG743" s="1358"/>
      <c r="DH743" s="1358"/>
      <c r="DI743" s="1358"/>
      <c r="DJ743" s="1358">
        <f t="shared" si="22"/>
        <v>0</v>
      </c>
      <c r="DK743" s="1358"/>
      <c r="DL743" s="1358"/>
      <c r="DM743" s="1358"/>
      <c r="DN743" s="1358"/>
      <c r="DO743" s="1358">
        <f t="shared" si="23"/>
        <v>0</v>
      </c>
      <c r="DP743" s="1358"/>
      <c r="DQ743" s="1358"/>
      <c r="DR743" s="1358"/>
      <c r="DS743" s="1358"/>
      <c r="DT743" s="6"/>
      <c r="DU743" s="1372">
        <f t="shared" si="24"/>
        <v>0</v>
      </c>
      <c r="DV743" s="1372"/>
      <c r="DW743" s="1372"/>
      <c r="DX743" s="1372"/>
      <c r="DY743" s="1372"/>
      <c r="DZ743" s="1372">
        <f t="shared" si="25"/>
        <v>0</v>
      </c>
      <c r="EA743" s="1372"/>
      <c r="EB743" s="1372"/>
      <c r="EC743" s="1372"/>
      <c r="ED743" s="1372"/>
      <c r="EE743" s="1372">
        <f t="shared" si="26"/>
        <v>0</v>
      </c>
      <c r="EF743" s="1372"/>
      <c r="EG743" s="1372"/>
      <c r="EH743" s="1372"/>
      <c r="EI743" s="1372"/>
      <c r="EJ743" s="1372">
        <f t="shared" si="27"/>
        <v>0</v>
      </c>
      <c r="EK743" s="1372"/>
      <c r="EL743" s="1372"/>
      <c r="EM743" s="1372"/>
      <c r="EN743" s="1372"/>
      <c r="EO743" s="1372">
        <f t="shared" si="28"/>
        <v>0</v>
      </c>
      <c r="EP743" s="1372"/>
      <c r="EQ743" s="1372"/>
      <c r="ER743" s="1372"/>
      <c r="ES743" s="1372"/>
      <c r="ET743" s="1372">
        <f t="shared" si="29"/>
        <v>0</v>
      </c>
      <c r="EU743" s="1372"/>
      <c r="EV743" s="1372"/>
      <c r="EW743" s="1372"/>
      <c r="EX743" s="1372"/>
      <c r="EY743"/>
      <c r="EZ743" s="1355" t="str">
        <f t="shared" si="30"/>
        <v/>
      </c>
      <c r="FA743" s="1356"/>
      <c r="FB743" s="1356"/>
      <c r="FC743" s="1356"/>
      <c r="FD743" s="1357"/>
      <c r="FE743" s="1355" t="str">
        <f t="shared" si="31"/>
        <v/>
      </c>
      <c r="FF743" s="1356"/>
      <c r="FG743" s="1356"/>
      <c r="FH743" s="1356"/>
      <c r="FI743" s="1357"/>
      <c r="FJ743" s="1355" t="str">
        <f t="shared" si="32"/>
        <v/>
      </c>
      <c r="FK743" s="1356"/>
      <c r="FL743" s="1356"/>
      <c r="FM743" s="1356"/>
      <c r="FN743" s="1357"/>
      <c r="FO743" s="1355" t="str">
        <f t="shared" si="33"/>
        <v/>
      </c>
      <c r="FP743" s="1356"/>
      <c r="FQ743" s="1356"/>
      <c r="FR743" s="1356"/>
      <c r="FS743" s="1357"/>
      <c r="FT743" s="1355" t="str">
        <f t="shared" si="34"/>
        <v/>
      </c>
      <c r="FU743" s="1356"/>
      <c r="FV743" s="1356"/>
      <c r="FW743" s="1356"/>
      <c r="FX743" s="1357"/>
      <c r="FY743" s="1355" t="str">
        <f t="shared" si="35"/>
        <v/>
      </c>
      <c r="FZ743" s="1356"/>
      <c r="GA743" s="1356"/>
      <c r="GB743" s="1356"/>
      <c r="GC743" s="1357"/>
    </row>
    <row r="744" spans="1:185" ht="12.9" customHeight="1">
      <c r="B744" s="1359"/>
      <c r="C744" s="1360"/>
      <c r="D744" s="1360"/>
      <c r="E744" s="1360"/>
      <c r="F744" s="1361"/>
      <c r="G744" s="1368"/>
      <c r="H744" s="1369"/>
      <c r="I744" s="1369"/>
      <c r="J744" s="1370"/>
      <c r="K744" s="1596"/>
      <c r="L744" s="1597"/>
      <c r="M744" s="1597"/>
      <c r="N744" s="1598"/>
      <c r="O744" s="1470"/>
      <c r="P744" s="1471"/>
      <c r="Q744" s="1471"/>
      <c r="R744" s="1471"/>
      <c r="S744" s="1472"/>
      <c r="T744" s="1470"/>
      <c r="U744" s="1471"/>
      <c r="V744" s="1471"/>
      <c r="W744" s="1472"/>
      <c r="X744" s="1362">
        <f t="shared" si="39"/>
        <v>0</v>
      </c>
      <c r="Y744" s="1363"/>
      <c r="Z744" s="1363"/>
      <c r="AA744" s="1363"/>
      <c r="AB744" s="1364"/>
      <c r="AC744" s="1605"/>
      <c r="AD744" s="1606"/>
      <c r="AE744" s="1606"/>
      <c r="AF744" s="1606"/>
      <c r="AG744" s="1607"/>
      <c r="AH744" s="1365" t="str">
        <f t="shared" si="36"/>
        <v/>
      </c>
      <c r="AI744" s="1366"/>
      <c r="AJ744" s="1367"/>
      <c r="AK744" s="1359" t="s">
        <v>592</v>
      </c>
      <c r="AL744" s="1360"/>
      <c r="AM744" s="1360"/>
      <c r="AN744" s="1360"/>
      <c r="AO744" s="1361"/>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5">
        <f t="shared" si="37"/>
        <v>0</v>
      </c>
      <c r="CH744" s="1357"/>
      <c r="CI744" s="1339">
        <f t="shared" si="38"/>
        <v>0</v>
      </c>
      <c r="CJ744" s="1341"/>
      <c r="CK744" s="1355">
        <f t="shared" si="16"/>
        <v>0</v>
      </c>
      <c r="CL744" s="1357"/>
      <c r="CM744" s="1339">
        <f t="shared" si="17"/>
        <v>0</v>
      </c>
      <c r="CN744" s="1341"/>
      <c r="CO744" s="3"/>
      <c r="CP744" s="1332">
        <f t="shared" si="18"/>
        <v>0</v>
      </c>
      <c r="CQ744" s="1333"/>
      <c r="CR744" s="1333"/>
      <c r="CS744" s="1333"/>
      <c r="CT744" s="1334"/>
      <c r="CU744" s="1358">
        <f t="shared" si="19"/>
        <v>0</v>
      </c>
      <c r="CV744" s="1358"/>
      <c r="CW744" s="1358"/>
      <c r="CX744" s="1358"/>
      <c r="CY744" s="1358"/>
      <c r="CZ744" s="1358">
        <f t="shared" si="20"/>
        <v>0</v>
      </c>
      <c r="DA744" s="1358"/>
      <c r="DB744" s="1358"/>
      <c r="DC744" s="1358"/>
      <c r="DD744" s="1358"/>
      <c r="DE744" s="1358">
        <f t="shared" si="21"/>
        <v>0</v>
      </c>
      <c r="DF744" s="1358"/>
      <c r="DG744" s="1358"/>
      <c r="DH744" s="1358"/>
      <c r="DI744" s="1358"/>
      <c r="DJ744" s="1358">
        <f t="shared" si="22"/>
        <v>0</v>
      </c>
      <c r="DK744" s="1358"/>
      <c r="DL744" s="1358"/>
      <c r="DM744" s="1358"/>
      <c r="DN744" s="1358"/>
      <c r="DO744" s="1358">
        <f t="shared" si="23"/>
        <v>0</v>
      </c>
      <c r="DP744" s="1358"/>
      <c r="DQ744" s="1358"/>
      <c r="DR744" s="1358"/>
      <c r="DS744" s="1358"/>
      <c r="DT744" s="6"/>
      <c r="DU744" s="1372">
        <f t="shared" si="24"/>
        <v>0</v>
      </c>
      <c r="DV744" s="1372"/>
      <c r="DW744" s="1372"/>
      <c r="DX744" s="1372"/>
      <c r="DY744" s="1372"/>
      <c r="DZ744" s="1372">
        <f t="shared" si="25"/>
        <v>0</v>
      </c>
      <c r="EA744" s="1372"/>
      <c r="EB744" s="1372"/>
      <c r="EC744" s="1372"/>
      <c r="ED744" s="1372"/>
      <c r="EE744" s="1372">
        <f t="shared" si="26"/>
        <v>0</v>
      </c>
      <c r="EF744" s="1372"/>
      <c r="EG744" s="1372"/>
      <c r="EH744" s="1372"/>
      <c r="EI744" s="1372"/>
      <c r="EJ744" s="1372">
        <f t="shared" si="27"/>
        <v>0</v>
      </c>
      <c r="EK744" s="1372"/>
      <c r="EL744" s="1372"/>
      <c r="EM744" s="1372"/>
      <c r="EN744" s="1372"/>
      <c r="EO744" s="1372">
        <f t="shared" si="28"/>
        <v>0</v>
      </c>
      <c r="EP744" s="1372"/>
      <c r="EQ744" s="1372"/>
      <c r="ER744" s="1372"/>
      <c r="ES744" s="1372"/>
      <c r="ET744" s="1372">
        <f t="shared" si="29"/>
        <v>0</v>
      </c>
      <c r="EU744" s="1372"/>
      <c r="EV744" s="1372"/>
      <c r="EW744" s="1372"/>
      <c r="EX744" s="1372"/>
      <c r="EZ744" s="1355" t="str">
        <f t="shared" si="30"/>
        <v/>
      </c>
      <c r="FA744" s="1356"/>
      <c r="FB744" s="1356"/>
      <c r="FC744" s="1356"/>
      <c r="FD744" s="1357"/>
      <c r="FE744" s="1355" t="str">
        <f t="shared" si="31"/>
        <v/>
      </c>
      <c r="FF744" s="1356"/>
      <c r="FG744" s="1356"/>
      <c r="FH744" s="1356"/>
      <c r="FI744" s="1357"/>
      <c r="FJ744" s="1355" t="str">
        <f t="shared" si="32"/>
        <v/>
      </c>
      <c r="FK744" s="1356"/>
      <c r="FL744" s="1356"/>
      <c r="FM744" s="1356"/>
      <c r="FN744" s="1357"/>
      <c r="FO744" s="1355" t="str">
        <f t="shared" si="33"/>
        <v/>
      </c>
      <c r="FP744" s="1356"/>
      <c r="FQ744" s="1356"/>
      <c r="FR744" s="1356"/>
      <c r="FS744" s="1357"/>
      <c r="FT744" s="1355" t="str">
        <f t="shared" si="34"/>
        <v/>
      </c>
      <c r="FU744" s="1356"/>
      <c r="FV744" s="1356"/>
      <c r="FW744" s="1356"/>
      <c r="FX744" s="1357"/>
      <c r="FY744" s="1355" t="str">
        <f t="shared" si="35"/>
        <v/>
      </c>
      <c r="FZ744" s="1356"/>
      <c r="GA744" s="1356"/>
      <c r="GB744" s="1356"/>
      <c r="GC744" s="1357"/>
    </row>
    <row r="745" spans="1:185" ht="12.9" customHeight="1">
      <c r="B745" s="1359"/>
      <c r="C745" s="1360"/>
      <c r="D745" s="1360"/>
      <c r="E745" s="1360"/>
      <c r="F745" s="1361"/>
      <c r="G745" s="1368"/>
      <c r="H745" s="1369"/>
      <c r="I745" s="1369"/>
      <c r="J745" s="1370"/>
      <c r="K745" s="1596"/>
      <c r="L745" s="1597"/>
      <c r="M745" s="1597"/>
      <c r="N745" s="1598"/>
      <c r="O745" s="1470"/>
      <c r="P745" s="1471"/>
      <c r="Q745" s="1471"/>
      <c r="R745" s="1471"/>
      <c r="S745" s="1472"/>
      <c r="T745" s="1470"/>
      <c r="U745" s="1471"/>
      <c r="V745" s="1471"/>
      <c r="W745" s="1472"/>
      <c r="X745" s="1362">
        <f t="shared" si="39"/>
        <v>0</v>
      </c>
      <c r="Y745" s="1363"/>
      <c r="Z745" s="1363"/>
      <c r="AA745" s="1363"/>
      <c r="AB745" s="1364"/>
      <c r="AC745" s="1605"/>
      <c r="AD745" s="1606"/>
      <c r="AE745" s="1606"/>
      <c r="AF745" s="1606"/>
      <c r="AG745" s="1607"/>
      <c r="AH745" s="1365" t="str">
        <f t="shared" si="36"/>
        <v/>
      </c>
      <c r="AI745" s="1366"/>
      <c r="AJ745" s="1367"/>
      <c r="AK745" s="1359" t="s">
        <v>592</v>
      </c>
      <c r="AL745" s="1360"/>
      <c r="AM745" s="1360"/>
      <c r="AN745" s="1360"/>
      <c r="AO745" s="1361"/>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5">
        <f t="shared" si="37"/>
        <v>0</v>
      </c>
      <c r="CH745" s="1357"/>
      <c r="CI745" s="1339">
        <f t="shared" si="38"/>
        <v>0</v>
      </c>
      <c r="CJ745" s="1341"/>
      <c r="CK745" s="1355">
        <f t="shared" si="16"/>
        <v>0</v>
      </c>
      <c r="CL745" s="1357"/>
      <c r="CM745" s="1339">
        <f t="shared" si="17"/>
        <v>0</v>
      </c>
      <c r="CN745" s="1341"/>
      <c r="CO745" s="3"/>
      <c r="CP745" s="1332">
        <f t="shared" si="18"/>
        <v>0</v>
      </c>
      <c r="CQ745" s="1333"/>
      <c r="CR745" s="1333"/>
      <c r="CS745" s="1333"/>
      <c r="CT745" s="1334"/>
      <c r="CU745" s="1358">
        <f t="shared" si="19"/>
        <v>0</v>
      </c>
      <c r="CV745" s="1358"/>
      <c r="CW745" s="1358"/>
      <c r="CX745" s="1358"/>
      <c r="CY745" s="1358"/>
      <c r="CZ745" s="1358">
        <f t="shared" si="20"/>
        <v>0</v>
      </c>
      <c r="DA745" s="1358"/>
      <c r="DB745" s="1358"/>
      <c r="DC745" s="1358"/>
      <c r="DD745" s="1358"/>
      <c r="DE745" s="1358">
        <f t="shared" si="21"/>
        <v>0</v>
      </c>
      <c r="DF745" s="1358"/>
      <c r="DG745" s="1358"/>
      <c r="DH745" s="1358"/>
      <c r="DI745" s="1358"/>
      <c r="DJ745" s="1358">
        <f t="shared" si="22"/>
        <v>0</v>
      </c>
      <c r="DK745" s="1358"/>
      <c r="DL745" s="1358"/>
      <c r="DM745" s="1358"/>
      <c r="DN745" s="1358"/>
      <c r="DO745" s="1358">
        <f t="shared" si="23"/>
        <v>0</v>
      </c>
      <c r="DP745" s="1358"/>
      <c r="DQ745" s="1358"/>
      <c r="DR745" s="1358"/>
      <c r="DS745" s="1358"/>
      <c r="DT745" s="6"/>
      <c r="DU745" s="1372">
        <f t="shared" si="24"/>
        <v>0</v>
      </c>
      <c r="DV745" s="1372"/>
      <c r="DW745" s="1372"/>
      <c r="DX745" s="1372"/>
      <c r="DY745" s="1372"/>
      <c r="DZ745" s="1372">
        <f t="shared" si="25"/>
        <v>0</v>
      </c>
      <c r="EA745" s="1372"/>
      <c r="EB745" s="1372"/>
      <c r="EC745" s="1372"/>
      <c r="ED745" s="1372"/>
      <c r="EE745" s="1372">
        <f t="shared" si="26"/>
        <v>0</v>
      </c>
      <c r="EF745" s="1372"/>
      <c r="EG745" s="1372"/>
      <c r="EH745" s="1372"/>
      <c r="EI745" s="1372"/>
      <c r="EJ745" s="1372">
        <f t="shared" si="27"/>
        <v>0</v>
      </c>
      <c r="EK745" s="1372"/>
      <c r="EL745" s="1372"/>
      <c r="EM745" s="1372"/>
      <c r="EN745" s="1372"/>
      <c r="EO745" s="1372">
        <f t="shared" si="28"/>
        <v>0</v>
      </c>
      <c r="EP745" s="1372"/>
      <c r="EQ745" s="1372"/>
      <c r="ER745" s="1372"/>
      <c r="ES745" s="1372"/>
      <c r="ET745" s="1372">
        <f t="shared" si="29"/>
        <v>0</v>
      </c>
      <c r="EU745" s="1372"/>
      <c r="EV745" s="1372"/>
      <c r="EW745" s="1372"/>
      <c r="EX745" s="1372"/>
      <c r="EZ745" s="1355" t="str">
        <f t="shared" si="30"/>
        <v/>
      </c>
      <c r="FA745" s="1356"/>
      <c r="FB745" s="1356"/>
      <c r="FC745" s="1356"/>
      <c r="FD745" s="1357"/>
      <c r="FE745" s="1355" t="str">
        <f t="shared" si="31"/>
        <v/>
      </c>
      <c r="FF745" s="1356"/>
      <c r="FG745" s="1356"/>
      <c r="FH745" s="1356"/>
      <c r="FI745" s="1357"/>
      <c r="FJ745" s="1355" t="str">
        <f t="shared" si="32"/>
        <v/>
      </c>
      <c r="FK745" s="1356"/>
      <c r="FL745" s="1356"/>
      <c r="FM745" s="1356"/>
      <c r="FN745" s="1357"/>
      <c r="FO745" s="1355" t="str">
        <f t="shared" si="33"/>
        <v/>
      </c>
      <c r="FP745" s="1356"/>
      <c r="FQ745" s="1356"/>
      <c r="FR745" s="1356"/>
      <c r="FS745" s="1357"/>
      <c r="FT745" s="1355" t="str">
        <f t="shared" si="34"/>
        <v/>
      </c>
      <c r="FU745" s="1356"/>
      <c r="FV745" s="1356"/>
      <c r="FW745" s="1356"/>
      <c r="FX745" s="1357"/>
      <c r="FY745" s="1355" t="str">
        <f t="shared" si="35"/>
        <v/>
      </c>
      <c r="FZ745" s="1356"/>
      <c r="GA745" s="1356"/>
      <c r="GB745" s="1356"/>
      <c r="GC745" s="1357"/>
    </row>
    <row r="746" spans="1:185" ht="12.9" customHeight="1">
      <c r="B746" s="1359"/>
      <c r="C746" s="1360"/>
      <c r="D746" s="1360"/>
      <c r="E746" s="1360"/>
      <c r="F746" s="1361"/>
      <c r="G746" s="1368"/>
      <c r="H746" s="1369"/>
      <c r="I746" s="1369"/>
      <c r="J746" s="1370"/>
      <c r="K746" s="1596"/>
      <c r="L746" s="1597"/>
      <c r="M746" s="1597"/>
      <c r="N746" s="1598"/>
      <c r="O746" s="1470"/>
      <c r="P746" s="1471"/>
      <c r="Q746" s="1471"/>
      <c r="R746" s="1471"/>
      <c r="S746" s="1472"/>
      <c r="T746" s="1470"/>
      <c r="U746" s="1471"/>
      <c r="V746" s="1471"/>
      <c r="W746" s="1472"/>
      <c r="X746" s="1362">
        <f t="shared" si="39"/>
        <v>0</v>
      </c>
      <c r="Y746" s="1363"/>
      <c r="Z746" s="1363"/>
      <c r="AA746" s="1363"/>
      <c r="AB746" s="1364"/>
      <c r="AC746" s="1605"/>
      <c r="AD746" s="1606"/>
      <c r="AE746" s="1606"/>
      <c r="AF746" s="1606"/>
      <c r="AG746" s="1607"/>
      <c r="AH746" s="1365" t="str">
        <f t="shared" si="36"/>
        <v/>
      </c>
      <c r="AI746" s="1366"/>
      <c r="AJ746" s="1367"/>
      <c r="AK746" s="1359" t="s">
        <v>592</v>
      </c>
      <c r="AL746" s="1360"/>
      <c r="AM746" s="1360"/>
      <c r="AN746" s="1360"/>
      <c r="AO746" s="1361"/>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5">
        <f t="shared" si="37"/>
        <v>0</v>
      </c>
      <c r="CH746" s="1357"/>
      <c r="CI746" s="1339">
        <f t="shared" si="38"/>
        <v>0</v>
      </c>
      <c r="CJ746" s="1341"/>
      <c r="CK746" s="1355">
        <f t="shared" si="16"/>
        <v>0</v>
      </c>
      <c r="CL746" s="1357"/>
      <c r="CM746" s="1339">
        <f t="shared" si="17"/>
        <v>0</v>
      </c>
      <c r="CN746" s="1341"/>
      <c r="CO746" s="3"/>
      <c r="CP746" s="1332">
        <f t="shared" si="18"/>
        <v>0</v>
      </c>
      <c r="CQ746" s="1333"/>
      <c r="CR746" s="1333"/>
      <c r="CS746" s="1333"/>
      <c r="CT746" s="1334"/>
      <c r="CU746" s="1358">
        <f t="shared" si="19"/>
        <v>0</v>
      </c>
      <c r="CV746" s="1358"/>
      <c r="CW746" s="1358"/>
      <c r="CX746" s="1358"/>
      <c r="CY746" s="1358"/>
      <c r="CZ746" s="1358">
        <f t="shared" si="20"/>
        <v>0</v>
      </c>
      <c r="DA746" s="1358"/>
      <c r="DB746" s="1358"/>
      <c r="DC746" s="1358"/>
      <c r="DD746" s="1358"/>
      <c r="DE746" s="1358">
        <f t="shared" si="21"/>
        <v>0</v>
      </c>
      <c r="DF746" s="1358"/>
      <c r="DG746" s="1358"/>
      <c r="DH746" s="1358"/>
      <c r="DI746" s="1358"/>
      <c r="DJ746" s="1358">
        <f t="shared" si="22"/>
        <v>0</v>
      </c>
      <c r="DK746" s="1358"/>
      <c r="DL746" s="1358"/>
      <c r="DM746" s="1358"/>
      <c r="DN746" s="1358"/>
      <c r="DO746" s="1358">
        <f t="shared" si="23"/>
        <v>0</v>
      </c>
      <c r="DP746" s="1358"/>
      <c r="DQ746" s="1358"/>
      <c r="DR746" s="1358"/>
      <c r="DS746" s="1358"/>
      <c r="DT746" s="6"/>
      <c r="DU746" s="1372">
        <f t="shared" si="24"/>
        <v>0</v>
      </c>
      <c r="DV746" s="1372"/>
      <c r="DW746" s="1372"/>
      <c r="DX746" s="1372"/>
      <c r="DY746" s="1372"/>
      <c r="DZ746" s="1372">
        <f t="shared" si="25"/>
        <v>0</v>
      </c>
      <c r="EA746" s="1372"/>
      <c r="EB746" s="1372"/>
      <c r="EC746" s="1372"/>
      <c r="ED746" s="1372"/>
      <c r="EE746" s="1372">
        <f t="shared" si="26"/>
        <v>0</v>
      </c>
      <c r="EF746" s="1372"/>
      <c r="EG746" s="1372"/>
      <c r="EH746" s="1372"/>
      <c r="EI746" s="1372"/>
      <c r="EJ746" s="1372">
        <f t="shared" si="27"/>
        <v>0</v>
      </c>
      <c r="EK746" s="1372"/>
      <c r="EL746" s="1372"/>
      <c r="EM746" s="1372"/>
      <c r="EN746" s="1372"/>
      <c r="EO746" s="1372">
        <f t="shared" si="28"/>
        <v>0</v>
      </c>
      <c r="EP746" s="1372"/>
      <c r="EQ746" s="1372"/>
      <c r="ER746" s="1372"/>
      <c r="ES746" s="1372"/>
      <c r="ET746" s="1372">
        <f t="shared" si="29"/>
        <v>0</v>
      </c>
      <c r="EU746" s="1372"/>
      <c r="EV746" s="1372"/>
      <c r="EW746" s="1372"/>
      <c r="EX746" s="1372"/>
      <c r="EZ746" s="1355" t="str">
        <f t="shared" si="30"/>
        <v/>
      </c>
      <c r="FA746" s="1356"/>
      <c r="FB746" s="1356"/>
      <c r="FC746" s="1356"/>
      <c r="FD746" s="1357"/>
      <c r="FE746" s="1355" t="str">
        <f t="shared" si="31"/>
        <v/>
      </c>
      <c r="FF746" s="1356"/>
      <c r="FG746" s="1356"/>
      <c r="FH746" s="1356"/>
      <c r="FI746" s="1357"/>
      <c r="FJ746" s="1355" t="str">
        <f t="shared" si="32"/>
        <v/>
      </c>
      <c r="FK746" s="1356"/>
      <c r="FL746" s="1356"/>
      <c r="FM746" s="1356"/>
      <c r="FN746" s="1357"/>
      <c r="FO746" s="1355" t="str">
        <f t="shared" si="33"/>
        <v/>
      </c>
      <c r="FP746" s="1356"/>
      <c r="FQ746" s="1356"/>
      <c r="FR746" s="1356"/>
      <c r="FS746" s="1357"/>
      <c r="FT746" s="1355" t="str">
        <f t="shared" si="34"/>
        <v/>
      </c>
      <c r="FU746" s="1356"/>
      <c r="FV746" s="1356"/>
      <c r="FW746" s="1356"/>
      <c r="FX746" s="1357"/>
      <c r="FY746" s="1355" t="str">
        <f t="shared" si="35"/>
        <v/>
      </c>
      <c r="FZ746" s="1356"/>
      <c r="GA746" s="1356"/>
      <c r="GB746" s="1356"/>
      <c r="GC746" s="1357"/>
    </row>
    <row r="747" spans="1:185" ht="12.9" customHeight="1">
      <c r="B747" s="1359"/>
      <c r="C747" s="1360"/>
      <c r="D747" s="1360"/>
      <c r="E747" s="1360"/>
      <c r="F747" s="1361"/>
      <c r="G747" s="1368"/>
      <c r="H747" s="1369"/>
      <c r="I747" s="1369"/>
      <c r="J747" s="1370"/>
      <c r="K747" s="1596"/>
      <c r="L747" s="1597"/>
      <c r="M747" s="1597"/>
      <c r="N747" s="1598"/>
      <c r="O747" s="1470"/>
      <c r="P747" s="1471"/>
      <c r="Q747" s="1471"/>
      <c r="R747" s="1471"/>
      <c r="S747" s="1472"/>
      <c r="T747" s="1470"/>
      <c r="U747" s="1471"/>
      <c r="V747" s="1471"/>
      <c r="W747" s="1472"/>
      <c r="X747" s="1362">
        <f t="shared" si="39"/>
        <v>0</v>
      </c>
      <c r="Y747" s="1363"/>
      <c r="Z747" s="1363"/>
      <c r="AA747" s="1363"/>
      <c r="AB747" s="1364"/>
      <c r="AC747" s="1605"/>
      <c r="AD747" s="1606"/>
      <c r="AE747" s="1606"/>
      <c r="AF747" s="1606"/>
      <c r="AG747" s="1607"/>
      <c r="AH747" s="1365" t="str">
        <f t="shared" si="36"/>
        <v/>
      </c>
      <c r="AI747" s="1366"/>
      <c r="AJ747" s="1367"/>
      <c r="AK747" s="1359" t="s">
        <v>592</v>
      </c>
      <c r="AL747" s="1360"/>
      <c r="AM747" s="1360"/>
      <c r="AN747" s="1360"/>
      <c r="AO747" s="1361"/>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5">
        <f t="shared" si="37"/>
        <v>0</v>
      </c>
      <c r="CH747" s="1357"/>
      <c r="CI747" s="1339">
        <f t="shared" si="38"/>
        <v>0</v>
      </c>
      <c r="CJ747" s="1341"/>
      <c r="CK747" s="1355">
        <f t="shared" si="16"/>
        <v>0</v>
      </c>
      <c r="CL747" s="1357"/>
      <c r="CM747" s="1339">
        <f t="shared" si="17"/>
        <v>0</v>
      </c>
      <c r="CN747" s="1341"/>
      <c r="CO747" s="3"/>
      <c r="CP747" s="1332">
        <f t="shared" si="18"/>
        <v>0</v>
      </c>
      <c r="CQ747" s="1333"/>
      <c r="CR747" s="1333"/>
      <c r="CS747" s="1333"/>
      <c r="CT747" s="1334"/>
      <c r="CU747" s="1358">
        <f t="shared" si="19"/>
        <v>0</v>
      </c>
      <c r="CV747" s="1358"/>
      <c r="CW747" s="1358"/>
      <c r="CX747" s="1358"/>
      <c r="CY747" s="1358"/>
      <c r="CZ747" s="1358">
        <f t="shared" si="20"/>
        <v>0</v>
      </c>
      <c r="DA747" s="1358"/>
      <c r="DB747" s="1358"/>
      <c r="DC747" s="1358"/>
      <c r="DD747" s="1358"/>
      <c r="DE747" s="1358">
        <f t="shared" si="21"/>
        <v>0</v>
      </c>
      <c r="DF747" s="1358"/>
      <c r="DG747" s="1358"/>
      <c r="DH747" s="1358"/>
      <c r="DI747" s="1358"/>
      <c r="DJ747" s="1358">
        <f t="shared" si="22"/>
        <v>0</v>
      </c>
      <c r="DK747" s="1358"/>
      <c r="DL747" s="1358"/>
      <c r="DM747" s="1358"/>
      <c r="DN747" s="1358"/>
      <c r="DO747" s="1358">
        <f t="shared" si="23"/>
        <v>0</v>
      </c>
      <c r="DP747" s="1358"/>
      <c r="DQ747" s="1358"/>
      <c r="DR747" s="1358"/>
      <c r="DS747" s="1358"/>
      <c r="DT747" s="6"/>
      <c r="DU747" s="1372">
        <f t="shared" si="24"/>
        <v>0</v>
      </c>
      <c r="DV747" s="1372"/>
      <c r="DW747" s="1372"/>
      <c r="DX747" s="1372"/>
      <c r="DY747" s="1372"/>
      <c r="DZ747" s="1372">
        <f t="shared" si="25"/>
        <v>0</v>
      </c>
      <c r="EA747" s="1372"/>
      <c r="EB747" s="1372"/>
      <c r="EC747" s="1372"/>
      <c r="ED747" s="1372"/>
      <c r="EE747" s="1372">
        <f t="shared" si="26"/>
        <v>0</v>
      </c>
      <c r="EF747" s="1372"/>
      <c r="EG747" s="1372"/>
      <c r="EH747" s="1372"/>
      <c r="EI747" s="1372"/>
      <c r="EJ747" s="1372">
        <f t="shared" si="27"/>
        <v>0</v>
      </c>
      <c r="EK747" s="1372"/>
      <c r="EL747" s="1372"/>
      <c r="EM747" s="1372"/>
      <c r="EN747" s="1372"/>
      <c r="EO747" s="1372">
        <f t="shared" si="28"/>
        <v>0</v>
      </c>
      <c r="EP747" s="1372"/>
      <c r="EQ747" s="1372"/>
      <c r="ER747" s="1372"/>
      <c r="ES747" s="1372"/>
      <c r="ET747" s="1372">
        <f t="shared" si="29"/>
        <v>0</v>
      </c>
      <c r="EU747" s="1372"/>
      <c r="EV747" s="1372"/>
      <c r="EW747" s="1372"/>
      <c r="EX747" s="1372"/>
      <c r="EZ747" s="1355" t="str">
        <f t="shared" si="30"/>
        <v/>
      </c>
      <c r="FA747" s="1356"/>
      <c r="FB747" s="1356"/>
      <c r="FC747" s="1356"/>
      <c r="FD747" s="1357"/>
      <c r="FE747" s="1355" t="str">
        <f t="shared" si="31"/>
        <v/>
      </c>
      <c r="FF747" s="1356"/>
      <c r="FG747" s="1356"/>
      <c r="FH747" s="1356"/>
      <c r="FI747" s="1357"/>
      <c r="FJ747" s="1355" t="str">
        <f t="shared" si="32"/>
        <v/>
      </c>
      <c r="FK747" s="1356"/>
      <c r="FL747" s="1356"/>
      <c r="FM747" s="1356"/>
      <c r="FN747" s="1357"/>
      <c r="FO747" s="1355" t="str">
        <f t="shared" si="33"/>
        <v/>
      </c>
      <c r="FP747" s="1356"/>
      <c r="FQ747" s="1356"/>
      <c r="FR747" s="1356"/>
      <c r="FS747" s="1357"/>
      <c r="FT747" s="1355" t="str">
        <f t="shared" si="34"/>
        <v/>
      </c>
      <c r="FU747" s="1356"/>
      <c r="FV747" s="1356"/>
      <c r="FW747" s="1356"/>
      <c r="FX747" s="1357"/>
      <c r="FY747" s="1355" t="str">
        <f t="shared" si="35"/>
        <v/>
      </c>
      <c r="FZ747" s="1356"/>
      <c r="GA747" s="1356"/>
      <c r="GB747" s="1356"/>
      <c r="GC747" s="1357"/>
    </row>
    <row r="748" spans="1:185" s="3" customFormat="1" ht="12.9" customHeight="1">
      <c r="A748"/>
      <c r="B748" s="1359"/>
      <c r="C748" s="1360"/>
      <c r="D748" s="1360"/>
      <c r="E748" s="1360"/>
      <c r="F748" s="1361"/>
      <c r="G748" s="1368"/>
      <c r="H748" s="1369"/>
      <c r="I748" s="1369"/>
      <c r="J748" s="1370"/>
      <c r="K748" s="1596"/>
      <c r="L748" s="1597"/>
      <c r="M748" s="1597"/>
      <c r="N748" s="1598"/>
      <c r="O748" s="1470"/>
      <c r="P748" s="1471"/>
      <c r="Q748" s="1471"/>
      <c r="R748" s="1471"/>
      <c r="S748" s="1472"/>
      <c r="T748" s="1470"/>
      <c r="U748" s="1471"/>
      <c r="V748" s="1471"/>
      <c r="W748" s="1472"/>
      <c r="X748" s="1362">
        <f t="shared" si="39"/>
        <v>0</v>
      </c>
      <c r="Y748" s="1363"/>
      <c r="Z748" s="1363"/>
      <c r="AA748" s="1363"/>
      <c r="AB748" s="1364"/>
      <c r="AC748" s="1605"/>
      <c r="AD748" s="1606"/>
      <c r="AE748" s="1606"/>
      <c r="AF748" s="1606"/>
      <c r="AG748" s="1607"/>
      <c r="AH748" s="1365" t="str">
        <f t="shared" si="36"/>
        <v/>
      </c>
      <c r="AI748" s="1366"/>
      <c r="AJ748" s="1367"/>
      <c r="AK748" s="1359" t="s">
        <v>592</v>
      </c>
      <c r="AL748" s="1360"/>
      <c r="AM748" s="1360"/>
      <c r="AN748" s="1360"/>
      <c r="AO748" s="1361"/>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5">
        <f t="shared" si="37"/>
        <v>0</v>
      </c>
      <c r="CH748" s="1357"/>
      <c r="CI748" s="1339">
        <f t="shared" si="38"/>
        <v>0</v>
      </c>
      <c r="CJ748" s="1341"/>
      <c r="CK748" s="1355">
        <f t="shared" si="16"/>
        <v>0</v>
      </c>
      <c r="CL748" s="1357"/>
      <c r="CM748" s="1339">
        <f t="shared" si="17"/>
        <v>0</v>
      </c>
      <c r="CN748" s="1341"/>
      <c r="CP748" s="1332">
        <f t="shared" si="18"/>
        <v>0</v>
      </c>
      <c r="CQ748" s="1333"/>
      <c r="CR748" s="1333"/>
      <c r="CS748" s="1333"/>
      <c r="CT748" s="1334"/>
      <c r="CU748" s="1358">
        <f t="shared" si="19"/>
        <v>0</v>
      </c>
      <c r="CV748" s="1358"/>
      <c r="CW748" s="1358"/>
      <c r="CX748" s="1358"/>
      <c r="CY748" s="1358"/>
      <c r="CZ748" s="1358">
        <f t="shared" si="20"/>
        <v>0</v>
      </c>
      <c r="DA748" s="1358"/>
      <c r="DB748" s="1358"/>
      <c r="DC748" s="1358"/>
      <c r="DD748" s="1358"/>
      <c r="DE748" s="1358">
        <f t="shared" si="21"/>
        <v>0</v>
      </c>
      <c r="DF748" s="1358"/>
      <c r="DG748" s="1358"/>
      <c r="DH748" s="1358"/>
      <c r="DI748" s="1358"/>
      <c r="DJ748" s="1358">
        <f t="shared" si="22"/>
        <v>0</v>
      </c>
      <c r="DK748" s="1358"/>
      <c r="DL748" s="1358"/>
      <c r="DM748" s="1358"/>
      <c r="DN748" s="1358"/>
      <c r="DO748" s="1358">
        <f t="shared" si="23"/>
        <v>0</v>
      </c>
      <c r="DP748" s="1358"/>
      <c r="DQ748" s="1358"/>
      <c r="DR748" s="1358"/>
      <c r="DS748" s="1358"/>
      <c r="DT748" s="6"/>
      <c r="DU748" s="1372">
        <f t="shared" si="24"/>
        <v>0</v>
      </c>
      <c r="DV748" s="1372"/>
      <c r="DW748" s="1372"/>
      <c r="DX748" s="1372"/>
      <c r="DY748" s="1372"/>
      <c r="DZ748" s="1372">
        <f t="shared" si="25"/>
        <v>0</v>
      </c>
      <c r="EA748" s="1372"/>
      <c r="EB748" s="1372"/>
      <c r="EC748" s="1372"/>
      <c r="ED748" s="1372"/>
      <c r="EE748" s="1372">
        <f t="shared" si="26"/>
        <v>0</v>
      </c>
      <c r="EF748" s="1372"/>
      <c r="EG748" s="1372"/>
      <c r="EH748" s="1372"/>
      <c r="EI748" s="1372"/>
      <c r="EJ748" s="1372">
        <f t="shared" si="27"/>
        <v>0</v>
      </c>
      <c r="EK748" s="1372"/>
      <c r="EL748" s="1372"/>
      <c r="EM748" s="1372"/>
      <c r="EN748" s="1372"/>
      <c r="EO748" s="1372">
        <f t="shared" si="28"/>
        <v>0</v>
      </c>
      <c r="EP748" s="1372"/>
      <c r="EQ748" s="1372"/>
      <c r="ER748" s="1372"/>
      <c r="ES748" s="1372"/>
      <c r="ET748" s="1372">
        <f t="shared" si="29"/>
        <v>0</v>
      </c>
      <c r="EU748" s="1372"/>
      <c r="EV748" s="1372"/>
      <c r="EW748" s="1372"/>
      <c r="EX748" s="1372"/>
      <c r="EY748"/>
      <c r="EZ748" s="1355" t="str">
        <f t="shared" si="30"/>
        <v/>
      </c>
      <c r="FA748" s="1356"/>
      <c r="FB748" s="1356"/>
      <c r="FC748" s="1356"/>
      <c r="FD748" s="1357"/>
      <c r="FE748" s="1355" t="str">
        <f t="shared" si="31"/>
        <v/>
      </c>
      <c r="FF748" s="1356"/>
      <c r="FG748" s="1356"/>
      <c r="FH748" s="1356"/>
      <c r="FI748" s="1357"/>
      <c r="FJ748" s="1355" t="str">
        <f t="shared" si="32"/>
        <v/>
      </c>
      <c r="FK748" s="1356"/>
      <c r="FL748" s="1356"/>
      <c r="FM748" s="1356"/>
      <c r="FN748" s="1357"/>
      <c r="FO748" s="1355" t="str">
        <f t="shared" si="33"/>
        <v/>
      </c>
      <c r="FP748" s="1356"/>
      <c r="FQ748" s="1356"/>
      <c r="FR748" s="1356"/>
      <c r="FS748" s="1357"/>
      <c r="FT748" s="1355" t="str">
        <f t="shared" si="34"/>
        <v/>
      </c>
      <c r="FU748" s="1356"/>
      <c r="FV748" s="1356"/>
      <c r="FW748" s="1356"/>
      <c r="FX748" s="1357"/>
      <c r="FY748" s="1355" t="str">
        <f t="shared" si="35"/>
        <v/>
      </c>
      <c r="FZ748" s="1356"/>
      <c r="GA748" s="1356"/>
      <c r="GB748" s="1356"/>
      <c r="GC748" s="1357"/>
    </row>
    <row r="749" spans="1:185" s="3" customFormat="1" ht="12.9" customHeight="1">
      <c r="A749"/>
      <c r="B749" s="1359"/>
      <c r="C749" s="1360"/>
      <c r="D749" s="1360"/>
      <c r="E749" s="1360"/>
      <c r="F749" s="1361"/>
      <c r="G749" s="1368"/>
      <c r="H749" s="1369"/>
      <c r="I749" s="1369"/>
      <c r="J749" s="1370"/>
      <c r="K749" s="1596"/>
      <c r="L749" s="1597"/>
      <c r="M749" s="1597"/>
      <c r="N749" s="1598"/>
      <c r="O749" s="1470"/>
      <c r="P749" s="1471"/>
      <c r="Q749" s="1471"/>
      <c r="R749" s="1471"/>
      <c r="S749" s="1472"/>
      <c r="T749" s="1470"/>
      <c r="U749" s="1471"/>
      <c r="V749" s="1471"/>
      <c r="W749" s="1472"/>
      <c r="X749" s="1362">
        <f t="shared" si="39"/>
        <v>0</v>
      </c>
      <c r="Y749" s="1363"/>
      <c r="Z749" s="1363"/>
      <c r="AA749" s="1363"/>
      <c r="AB749" s="1364"/>
      <c r="AC749" s="1605"/>
      <c r="AD749" s="1606"/>
      <c r="AE749" s="1606"/>
      <c r="AF749" s="1606"/>
      <c r="AG749" s="1607"/>
      <c r="AH749" s="1365" t="str">
        <f t="shared" si="36"/>
        <v/>
      </c>
      <c r="AI749" s="1366"/>
      <c r="AJ749" s="1367"/>
      <c r="AK749" s="1359" t="s">
        <v>592</v>
      </c>
      <c r="AL749" s="1360"/>
      <c r="AM749" s="1360"/>
      <c r="AN749" s="1360"/>
      <c r="AO749" s="1361"/>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5">
        <f t="shared" si="37"/>
        <v>0</v>
      </c>
      <c r="CH749" s="1357"/>
      <c r="CI749" s="1339">
        <f t="shared" si="38"/>
        <v>0</v>
      </c>
      <c r="CJ749" s="1341"/>
      <c r="CK749" s="1355">
        <f t="shared" si="16"/>
        <v>0</v>
      </c>
      <c r="CL749" s="1357"/>
      <c r="CM749" s="1339">
        <f t="shared" si="17"/>
        <v>0</v>
      </c>
      <c r="CN749" s="1341"/>
      <c r="CP749" s="1332">
        <f t="shared" si="18"/>
        <v>0</v>
      </c>
      <c r="CQ749" s="1333"/>
      <c r="CR749" s="1333"/>
      <c r="CS749" s="1333"/>
      <c r="CT749" s="1334"/>
      <c r="CU749" s="1358">
        <f t="shared" si="19"/>
        <v>0</v>
      </c>
      <c r="CV749" s="1358"/>
      <c r="CW749" s="1358"/>
      <c r="CX749" s="1358"/>
      <c r="CY749" s="1358"/>
      <c r="CZ749" s="1358">
        <f t="shared" si="20"/>
        <v>0</v>
      </c>
      <c r="DA749" s="1358"/>
      <c r="DB749" s="1358"/>
      <c r="DC749" s="1358"/>
      <c r="DD749" s="1358"/>
      <c r="DE749" s="1358">
        <f t="shared" si="21"/>
        <v>0</v>
      </c>
      <c r="DF749" s="1358"/>
      <c r="DG749" s="1358"/>
      <c r="DH749" s="1358"/>
      <c r="DI749" s="1358"/>
      <c r="DJ749" s="1358">
        <f t="shared" si="22"/>
        <v>0</v>
      </c>
      <c r="DK749" s="1358"/>
      <c r="DL749" s="1358"/>
      <c r="DM749" s="1358"/>
      <c r="DN749" s="1358"/>
      <c r="DO749" s="1358">
        <f t="shared" si="23"/>
        <v>0</v>
      </c>
      <c r="DP749" s="1358"/>
      <c r="DQ749" s="1358"/>
      <c r="DR749" s="1358"/>
      <c r="DS749" s="1358"/>
      <c r="DT749" s="6"/>
      <c r="DU749" s="1372">
        <f t="shared" si="24"/>
        <v>0</v>
      </c>
      <c r="DV749" s="1372"/>
      <c r="DW749" s="1372"/>
      <c r="DX749" s="1372"/>
      <c r="DY749" s="1372"/>
      <c r="DZ749" s="1372">
        <f t="shared" si="25"/>
        <v>0</v>
      </c>
      <c r="EA749" s="1372"/>
      <c r="EB749" s="1372"/>
      <c r="EC749" s="1372"/>
      <c r="ED749" s="1372"/>
      <c r="EE749" s="1372">
        <f t="shared" si="26"/>
        <v>0</v>
      </c>
      <c r="EF749" s="1372"/>
      <c r="EG749" s="1372"/>
      <c r="EH749" s="1372"/>
      <c r="EI749" s="1372"/>
      <c r="EJ749" s="1372">
        <f t="shared" si="27"/>
        <v>0</v>
      </c>
      <c r="EK749" s="1372"/>
      <c r="EL749" s="1372"/>
      <c r="EM749" s="1372"/>
      <c r="EN749" s="1372"/>
      <c r="EO749" s="1372">
        <f t="shared" si="28"/>
        <v>0</v>
      </c>
      <c r="EP749" s="1372"/>
      <c r="EQ749" s="1372"/>
      <c r="ER749" s="1372"/>
      <c r="ES749" s="1372"/>
      <c r="ET749" s="1372">
        <f t="shared" si="29"/>
        <v>0</v>
      </c>
      <c r="EU749" s="1372"/>
      <c r="EV749" s="1372"/>
      <c r="EW749" s="1372"/>
      <c r="EX749" s="1372"/>
      <c r="EY749"/>
      <c r="EZ749" s="1355" t="str">
        <f t="shared" si="30"/>
        <v/>
      </c>
      <c r="FA749" s="1356"/>
      <c r="FB749" s="1356"/>
      <c r="FC749" s="1356"/>
      <c r="FD749" s="1357"/>
      <c r="FE749" s="1355" t="str">
        <f t="shared" si="31"/>
        <v/>
      </c>
      <c r="FF749" s="1356"/>
      <c r="FG749" s="1356"/>
      <c r="FH749" s="1356"/>
      <c r="FI749" s="1357"/>
      <c r="FJ749" s="1355" t="str">
        <f t="shared" si="32"/>
        <v/>
      </c>
      <c r="FK749" s="1356"/>
      <c r="FL749" s="1356"/>
      <c r="FM749" s="1356"/>
      <c r="FN749" s="1357"/>
      <c r="FO749" s="1355" t="str">
        <f t="shared" si="33"/>
        <v/>
      </c>
      <c r="FP749" s="1356"/>
      <c r="FQ749" s="1356"/>
      <c r="FR749" s="1356"/>
      <c r="FS749" s="1357"/>
      <c r="FT749" s="1355" t="str">
        <f t="shared" si="34"/>
        <v/>
      </c>
      <c r="FU749" s="1356"/>
      <c r="FV749" s="1356"/>
      <c r="FW749" s="1356"/>
      <c r="FX749" s="1357"/>
      <c r="FY749" s="1355" t="str">
        <f t="shared" si="35"/>
        <v/>
      </c>
      <c r="FZ749" s="1356"/>
      <c r="GA749" s="1356"/>
      <c r="GB749" s="1356"/>
      <c r="GC749" s="1357"/>
    </row>
    <row r="750" spans="1:185" s="3" customFormat="1" ht="12.9" customHeight="1">
      <c r="A750"/>
      <c r="B750" s="1359"/>
      <c r="C750" s="1360"/>
      <c r="D750" s="1360"/>
      <c r="E750" s="1360"/>
      <c r="F750" s="1361"/>
      <c r="G750" s="1368"/>
      <c r="H750" s="1369"/>
      <c r="I750" s="1369"/>
      <c r="J750" s="1370"/>
      <c r="K750" s="1596"/>
      <c r="L750" s="1597"/>
      <c r="M750" s="1597"/>
      <c r="N750" s="1598"/>
      <c r="O750" s="1470"/>
      <c r="P750" s="1471"/>
      <c r="Q750" s="1471"/>
      <c r="R750" s="1471"/>
      <c r="S750" s="1472"/>
      <c r="T750" s="1470"/>
      <c r="U750" s="1471"/>
      <c r="V750" s="1471"/>
      <c r="W750" s="1472"/>
      <c r="X750" s="1362">
        <f t="shared" si="39"/>
        <v>0</v>
      </c>
      <c r="Y750" s="1363"/>
      <c r="Z750" s="1363"/>
      <c r="AA750" s="1363"/>
      <c r="AB750" s="1364"/>
      <c r="AC750" s="1605"/>
      <c r="AD750" s="1606"/>
      <c r="AE750" s="1606"/>
      <c r="AF750" s="1606"/>
      <c r="AG750" s="1607"/>
      <c r="AH750" s="1365" t="str">
        <f t="shared" si="36"/>
        <v/>
      </c>
      <c r="AI750" s="1366"/>
      <c r="AJ750" s="1367"/>
      <c r="AK750" s="1359" t="s">
        <v>592</v>
      </c>
      <c r="AL750" s="1360"/>
      <c r="AM750" s="1360"/>
      <c r="AN750" s="1360"/>
      <c r="AO750" s="136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5">
        <f t="shared" si="37"/>
        <v>0</v>
      </c>
      <c r="CH750" s="1357"/>
      <c r="CI750" s="1339">
        <f t="shared" si="38"/>
        <v>0</v>
      </c>
      <c r="CJ750" s="1341"/>
      <c r="CK750" s="1355">
        <f t="shared" si="16"/>
        <v>0</v>
      </c>
      <c r="CL750" s="1357"/>
      <c r="CM750" s="1339">
        <f t="shared" si="17"/>
        <v>0</v>
      </c>
      <c r="CN750" s="1341"/>
      <c r="CP750" s="1332">
        <f t="shared" si="18"/>
        <v>0</v>
      </c>
      <c r="CQ750" s="1333"/>
      <c r="CR750" s="1333"/>
      <c r="CS750" s="1333"/>
      <c r="CT750" s="1334"/>
      <c r="CU750" s="1358">
        <f t="shared" si="19"/>
        <v>0</v>
      </c>
      <c r="CV750" s="1358"/>
      <c r="CW750" s="1358"/>
      <c r="CX750" s="1358"/>
      <c r="CY750" s="1358"/>
      <c r="CZ750" s="1358">
        <f t="shared" si="20"/>
        <v>0</v>
      </c>
      <c r="DA750" s="1358"/>
      <c r="DB750" s="1358"/>
      <c r="DC750" s="1358"/>
      <c r="DD750" s="1358"/>
      <c r="DE750" s="1358">
        <f t="shared" si="21"/>
        <v>0</v>
      </c>
      <c r="DF750" s="1358"/>
      <c r="DG750" s="1358"/>
      <c r="DH750" s="1358"/>
      <c r="DI750" s="1358"/>
      <c r="DJ750" s="1358">
        <f t="shared" si="22"/>
        <v>0</v>
      </c>
      <c r="DK750" s="1358"/>
      <c r="DL750" s="1358"/>
      <c r="DM750" s="1358"/>
      <c r="DN750" s="1358"/>
      <c r="DO750" s="1358">
        <f t="shared" si="23"/>
        <v>0</v>
      </c>
      <c r="DP750" s="1358"/>
      <c r="DQ750" s="1358"/>
      <c r="DR750" s="1358"/>
      <c r="DS750" s="1358"/>
      <c r="DT750" s="6"/>
      <c r="DU750" s="1372">
        <f t="shared" si="24"/>
        <v>0</v>
      </c>
      <c r="DV750" s="1372"/>
      <c r="DW750" s="1372"/>
      <c r="DX750" s="1372"/>
      <c r="DY750" s="1372"/>
      <c r="DZ750" s="1372">
        <f t="shared" si="25"/>
        <v>0</v>
      </c>
      <c r="EA750" s="1372"/>
      <c r="EB750" s="1372"/>
      <c r="EC750" s="1372"/>
      <c r="ED750" s="1372"/>
      <c r="EE750" s="1372">
        <f t="shared" si="26"/>
        <v>0</v>
      </c>
      <c r="EF750" s="1372"/>
      <c r="EG750" s="1372"/>
      <c r="EH750" s="1372"/>
      <c r="EI750" s="1372"/>
      <c r="EJ750" s="1372">
        <f t="shared" si="27"/>
        <v>0</v>
      </c>
      <c r="EK750" s="1372"/>
      <c r="EL750" s="1372"/>
      <c r="EM750" s="1372"/>
      <c r="EN750" s="1372"/>
      <c r="EO750" s="1372">
        <f t="shared" si="28"/>
        <v>0</v>
      </c>
      <c r="EP750" s="1372"/>
      <c r="EQ750" s="1372"/>
      <c r="ER750" s="1372"/>
      <c r="ES750" s="1372"/>
      <c r="ET750" s="1372">
        <f t="shared" si="29"/>
        <v>0</v>
      </c>
      <c r="EU750" s="1372"/>
      <c r="EV750" s="1372"/>
      <c r="EW750" s="1372"/>
      <c r="EX750" s="1372"/>
      <c r="EY750"/>
      <c r="EZ750" s="1355" t="str">
        <f t="shared" si="30"/>
        <v/>
      </c>
      <c r="FA750" s="1356"/>
      <c r="FB750" s="1356"/>
      <c r="FC750" s="1356"/>
      <c r="FD750" s="1357"/>
      <c r="FE750" s="1355" t="str">
        <f t="shared" si="31"/>
        <v/>
      </c>
      <c r="FF750" s="1356"/>
      <c r="FG750" s="1356"/>
      <c r="FH750" s="1356"/>
      <c r="FI750" s="1357"/>
      <c r="FJ750" s="1355" t="str">
        <f t="shared" si="32"/>
        <v/>
      </c>
      <c r="FK750" s="1356"/>
      <c r="FL750" s="1356"/>
      <c r="FM750" s="1356"/>
      <c r="FN750" s="1357"/>
      <c r="FO750" s="1355" t="str">
        <f t="shared" si="33"/>
        <v/>
      </c>
      <c r="FP750" s="1356"/>
      <c r="FQ750" s="1356"/>
      <c r="FR750" s="1356"/>
      <c r="FS750" s="1357"/>
      <c r="FT750" s="1355" t="str">
        <f t="shared" si="34"/>
        <v/>
      </c>
      <c r="FU750" s="1356"/>
      <c r="FV750" s="1356"/>
      <c r="FW750" s="1356"/>
      <c r="FX750" s="1357"/>
      <c r="FY750" s="1355" t="str">
        <f t="shared" si="35"/>
        <v/>
      </c>
      <c r="FZ750" s="1356"/>
      <c r="GA750" s="1356"/>
      <c r="GB750" s="1356"/>
      <c r="GC750" s="1357"/>
    </row>
    <row r="751" spans="1:185" s="3" customFormat="1" ht="12.9" customHeight="1">
      <c r="A751"/>
      <c r="B751" s="1359"/>
      <c r="C751" s="1360"/>
      <c r="D751" s="1360"/>
      <c r="E751" s="1360"/>
      <c r="F751" s="1361"/>
      <c r="G751" s="1368"/>
      <c r="H751" s="1369"/>
      <c r="I751" s="1369"/>
      <c r="J751" s="1370"/>
      <c r="K751" s="1596"/>
      <c r="L751" s="1597"/>
      <c r="M751" s="1597"/>
      <c r="N751" s="1598"/>
      <c r="O751" s="1470"/>
      <c r="P751" s="1471"/>
      <c r="Q751" s="1471"/>
      <c r="R751" s="1471"/>
      <c r="S751" s="1472"/>
      <c r="T751" s="1470"/>
      <c r="U751" s="1471"/>
      <c r="V751" s="1471"/>
      <c r="W751" s="1472"/>
      <c r="X751" s="1362">
        <f t="shared" si="39"/>
        <v>0</v>
      </c>
      <c r="Y751" s="1363"/>
      <c r="Z751" s="1363"/>
      <c r="AA751" s="1363"/>
      <c r="AB751" s="1364"/>
      <c r="AC751" s="1605"/>
      <c r="AD751" s="1606"/>
      <c r="AE751" s="1606"/>
      <c r="AF751" s="1606"/>
      <c r="AG751" s="1607"/>
      <c r="AH751" s="1365" t="str">
        <f t="shared" si="36"/>
        <v/>
      </c>
      <c r="AI751" s="1366"/>
      <c r="AJ751" s="1367"/>
      <c r="AK751" s="1359" t="s">
        <v>592</v>
      </c>
      <c r="AL751" s="1360"/>
      <c r="AM751" s="1360"/>
      <c r="AN751" s="1360"/>
      <c r="AO751" s="136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5">
        <f t="shared" si="37"/>
        <v>0</v>
      </c>
      <c r="CH751" s="1357"/>
      <c r="CI751" s="1339">
        <f t="shared" si="38"/>
        <v>0</v>
      </c>
      <c r="CJ751" s="1341"/>
      <c r="CK751" s="1355">
        <f t="shared" si="16"/>
        <v>0</v>
      </c>
      <c r="CL751" s="1357"/>
      <c r="CM751" s="1339">
        <f t="shared" si="17"/>
        <v>0</v>
      </c>
      <c r="CN751" s="1341"/>
      <c r="CP751" s="1332">
        <f t="shared" si="18"/>
        <v>0</v>
      </c>
      <c r="CQ751" s="1333"/>
      <c r="CR751" s="1333"/>
      <c r="CS751" s="1333"/>
      <c r="CT751" s="1334"/>
      <c r="CU751" s="1358">
        <f t="shared" si="19"/>
        <v>0</v>
      </c>
      <c r="CV751" s="1358"/>
      <c r="CW751" s="1358"/>
      <c r="CX751" s="1358"/>
      <c r="CY751" s="1358"/>
      <c r="CZ751" s="1358">
        <f t="shared" si="20"/>
        <v>0</v>
      </c>
      <c r="DA751" s="1358"/>
      <c r="DB751" s="1358"/>
      <c r="DC751" s="1358"/>
      <c r="DD751" s="1358"/>
      <c r="DE751" s="1358">
        <f t="shared" si="21"/>
        <v>0</v>
      </c>
      <c r="DF751" s="1358"/>
      <c r="DG751" s="1358"/>
      <c r="DH751" s="1358"/>
      <c r="DI751" s="1358"/>
      <c r="DJ751" s="1358">
        <f t="shared" si="22"/>
        <v>0</v>
      </c>
      <c r="DK751" s="1358"/>
      <c r="DL751" s="1358"/>
      <c r="DM751" s="1358"/>
      <c r="DN751" s="1358"/>
      <c r="DO751" s="1358">
        <f t="shared" si="23"/>
        <v>0</v>
      </c>
      <c r="DP751" s="1358"/>
      <c r="DQ751" s="1358"/>
      <c r="DR751" s="1358"/>
      <c r="DS751" s="1358"/>
      <c r="DT751" s="6"/>
      <c r="DU751" s="1372">
        <f t="shared" si="24"/>
        <v>0</v>
      </c>
      <c r="DV751" s="1372"/>
      <c r="DW751" s="1372"/>
      <c r="DX751" s="1372"/>
      <c r="DY751" s="1372"/>
      <c r="DZ751" s="1372">
        <f t="shared" si="25"/>
        <v>0</v>
      </c>
      <c r="EA751" s="1372"/>
      <c r="EB751" s="1372"/>
      <c r="EC751" s="1372"/>
      <c r="ED751" s="1372"/>
      <c r="EE751" s="1372">
        <f t="shared" si="26"/>
        <v>0</v>
      </c>
      <c r="EF751" s="1372"/>
      <c r="EG751" s="1372"/>
      <c r="EH751" s="1372"/>
      <c r="EI751" s="1372"/>
      <c r="EJ751" s="1372">
        <f t="shared" si="27"/>
        <v>0</v>
      </c>
      <c r="EK751" s="1372"/>
      <c r="EL751" s="1372"/>
      <c r="EM751" s="1372"/>
      <c r="EN751" s="1372"/>
      <c r="EO751" s="1372">
        <f t="shared" si="28"/>
        <v>0</v>
      </c>
      <c r="EP751" s="1372"/>
      <c r="EQ751" s="1372"/>
      <c r="ER751" s="1372"/>
      <c r="ES751" s="1372"/>
      <c r="ET751" s="1372">
        <f t="shared" si="29"/>
        <v>0</v>
      </c>
      <c r="EU751" s="1372"/>
      <c r="EV751" s="1372"/>
      <c r="EW751" s="1372"/>
      <c r="EX751" s="1372"/>
      <c r="EY751"/>
      <c r="EZ751" s="1355" t="str">
        <f t="shared" si="30"/>
        <v/>
      </c>
      <c r="FA751" s="1356"/>
      <c r="FB751" s="1356"/>
      <c r="FC751" s="1356"/>
      <c r="FD751" s="1357"/>
      <c r="FE751" s="1355" t="str">
        <f t="shared" si="31"/>
        <v/>
      </c>
      <c r="FF751" s="1356"/>
      <c r="FG751" s="1356"/>
      <c r="FH751" s="1356"/>
      <c r="FI751" s="1357"/>
      <c r="FJ751" s="1355" t="str">
        <f t="shared" si="32"/>
        <v/>
      </c>
      <c r="FK751" s="1356"/>
      <c r="FL751" s="1356"/>
      <c r="FM751" s="1356"/>
      <c r="FN751" s="1357"/>
      <c r="FO751" s="1355" t="str">
        <f t="shared" si="33"/>
        <v/>
      </c>
      <c r="FP751" s="1356"/>
      <c r="FQ751" s="1356"/>
      <c r="FR751" s="1356"/>
      <c r="FS751" s="1357"/>
      <c r="FT751" s="1355" t="str">
        <f t="shared" si="34"/>
        <v/>
      </c>
      <c r="FU751" s="1356"/>
      <c r="FV751" s="1356"/>
      <c r="FW751" s="1356"/>
      <c r="FX751" s="1357"/>
      <c r="FY751" s="1355" t="str">
        <f t="shared" si="35"/>
        <v/>
      </c>
      <c r="FZ751" s="1356"/>
      <c r="GA751" s="1356"/>
      <c r="GB751" s="1356"/>
      <c r="GC751" s="1357"/>
    </row>
    <row r="752" spans="1:185" s="3" customFormat="1" ht="12.9" customHeight="1">
      <c r="A752"/>
      <c r="B752" s="1359"/>
      <c r="C752" s="1360"/>
      <c r="D752" s="1360"/>
      <c r="E752" s="1360"/>
      <c r="F752" s="1361"/>
      <c r="G752" s="1368"/>
      <c r="H752" s="1369"/>
      <c r="I752" s="1369"/>
      <c r="J752" s="1370"/>
      <c r="K752" s="1596"/>
      <c r="L752" s="1597"/>
      <c r="M752" s="1597"/>
      <c r="N752" s="1598"/>
      <c r="O752" s="1470"/>
      <c r="P752" s="1471"/>
      <c r="Q752" s="1471"/>
      <c r="R752" s="1471"/>
      <c r="S752" s="1472"/>
      <c r="T752" s="1470"/>
      <c r="U752" s="1471"/>
      <c r="V752" s="1471"/>
      <c r="W752" s="1472"/>
      <c r="X752" s="1362">
        <f>O752+T752</f>
        <v>0</v>
      </c>
      <c r="Y752" s="1363"/>
      <c r="Z752" s="1363"/>
      <c r="AA752" s="1363"/>
      <c r="AB752" s="1364"/>
      <c r="AC752" s="1605"/>
      <c r="AD752" s="1606"/>
      <c r="AE752" s="1606"/>
      <c r="AF752" s="1606"/>
      <c r="AG752" s="1607"/>
      <c r="AH752" s="1365" t="str">
        <f t="shared" si="36"/>
        <v/>
      </c>
      <c r="AI752" s="1366"/>
      <c r="AJ752" s="1367"/>
      <c r="AK752" s="1359" t="s">
        <v>592</v>
      </c>
      <c r="AL752" s="1360"/>
      <c r="AM752" s="1360"/>
      <c r="AN752" s="1360"/>
      <c r="AO752" s="136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5">
        <f t="shared" si="37"/>
        <v>0</v>
      </c>
      <c r="CH752" s="1357"/>
      <c r="CI752" s="1339">
        <f t="shared" si="38"/>
        <v>0</v>
      </c>
      <c r="CJ752" s="1341"/>
      <c r="CK752" s="1355">
        <f t="shared" si="16"/>
        <v>0</v>
      </c>
      <c r="CL752" s="1357"/>
      <c r="CM752" s="1339">
        <f t="shared" si="17"/>
        <v>0</v>
      </c>
      <c r="CN752" s="1341"/>
      <c r="CP752" s="1332">
        <f t="shared" si="18"/>
        <v>0</v>
      </c>
      <c r="CQ752" s="1333"/>
      <c r="CR752" s="1333"/>
      <c r="CS752" s="1333"/>
      <c r="CT752" s="1334"/>
      <c r="CU752" s="1358">
        <f t="shared" si="19"/>
        <v>0</v>
      </c>
      <c r="CV752" s="1358"/>
      <c r="CW752" s="1358"/>
      <c r="CX752" s="1358"/>
      <c r="CY752" s="1358"/>
      <c r="CZ752" s="1358">
        <f t="shared" si="20"/>
        <v>0</v>
      </c>
      <c r="DA752" s="1358"/>
      <c r="DB752" s="1358"/>
      <c r="DC752" s="1358"/>
      <c r="DD752" s="1358"/>
      <c r="DE752" s="1358">
        <f t="shared" si="21"/>
        <v>0</v>
      </c>
      <c r="DF752" s="1358"/>
      <c r="DG752" s="1358"/>
      <c r="DH752" s="1358"/>
      <c r="DI752" s="1358"/>
      <c r="DJ752" s="1358">
        <f t="shared" si="22"/>
        <v>0</v>
      </c>
      <c r="DK752" s="1358"/>
      <c r="DL752" s="1358"/>
      <c r="DM752" s="1358"/>
      <c r="DN752" s="1358"/>
      <c r="DO752" s="1358">
        <f t="shared" si="23"/>
        <v>0</v>
      </c>
      <c r="DP752" s="1358"/>
      <c r="DQ752" s="1358"/>
      <c r="DR752" s="1358"/>
      <c r="DS752" s="1358"/>
      <c r="DT752" s="6"/>
      <c r="DU752" s="1372">
        <f t="shared" si="24"/>
        <v>0</v>
      </c>
      <c r="DV752" s="1372"/>
      <c r="DW752" s="1372"/>
      <c r="DX752" s="1372"/>
      <c r="DY752" s="1372"/>
      <c r="DZ752" s="1372">
        <f t="shared" si="25"/>
        <v>0</v>
      </c>
      <c r="EA752" s="1372"/>
      <c r="EB752" s="1372"/>
      <c r="EC752" s="1372"/>
      <c r="ED752" s="1372"/>
      <c r="EE752" s="1372">
        <f t="shared" si="26"/>
        <v>0</v>
      </c>
      <c r="EF752" s="1372"/>
      <c r="EG752" s="1372"/>
      <c r="EH752" s="1372"/>
      <c r="EI752" s="1372"/>
      <c r="EJ752" s="1372">
        <f t="shared" si="27"/>
        <v>0</v>
      </c>
      <c r="EK752" s="1372"/>
      <c r="EL752" s="1372"/>
      <c r="EM752" s="1372"/>
      <c r="EN752" s="1372"/>
      <c r="EO752" s="1372">
        <f t="shared" si="28"/>
        <v>0</v>
      </c>
      <c r="EP752" s="1372"/>
      <c r="EQ752" s="1372"/>
      <c r="ER752" s="1372"/>
      <c r="ES752" s="1372"/>
      <c r="ET752" s="1372">
        <f t="shared" si="29"/>
        <v>0</v>
      </c>
      <c r="EU752" s="1372"/>
      <c r="EV752" s="1372"/>
      <c r="EW752" s="1372"/>
      <c r="EX752" s="1372"/>
      <c r="EY752"/>
      <c r="EZ752" s="1355" t="str">
        <f t="shared" si="30"/>
        <v/>
      </c>
      <c r="FA752" s="1356"/>
      <c r="FB752" s="1356"/>
      <c r="FC752" s="1356"/>
      <c r="FD752" s="1357"/>
      <c r="FE752" s="1355" t="str">
        <f t="shared" si="31"/>
        <v/>
      </c>
      <c r="FF752" s="1356"/>
      <c r="FG752" s="1356"/>
      <c r="FH752" s="1356"/>
      <c r="FI752" s="1357"/>
      <c r="FJ752" s="1355" t="str">
        <f t="shared" si="32"/>
        <v/>
      </c>
      <c r="FK752" s="1356"/>
      <c r="FL752" s="1356"/>
      <c r="FM752" s="1356"/>
      <c r="FN752" s="1357"/>
      <c r="FO752" s="1355" t="str">
        <f t="shared" si="33"/>
        <v/>
      </c>
      <c r="FP752" s="1356"/>
      <c r="FQ752" s="1356"/>
      <c r="FR752" s="1356"/>
      <c r="FS752" s="1357"/>
      <c r="FT752" s="1355" t="str">
        <f t="shared" si="34"/>
        <v/>
      </c>
      <c r="FU752" s="1356"/>
      <c r="FV752" s="1356"/>
      <c r="FW752" s="1356"/>
      <c r="FX752" s="1357"/>
      <c r="FY752" s="1355" t="str">
        <f t="shared" si="35"/>
        <v/>
      </c>
      <c r="FZ752" s="1356"/>
      <c r="GA752" s="1356"/>
      <c r="GB752" s="1356"/>
      <c r="GC752" s="1357"/>
    </row>
    <row r="753" spans="1:185" s="3" customFormat="1" ht="12.9" customHeight="1">
      <c r="A753"/>
      <c r="B753" s="1439" t="s">
        <v>125</v>
      </c>
      <c r="C753" s="1440"/>
      <c r="D753" s="1440"/>
      <c r="E753" s="1440"/>
      <c r="F753" s="1442"/>
      <c r="G753" s="1719">
        <f>SUM(G718:G752)</f>
        <v>119</v>
      </c>
      <c r="H753" s="1720"/>
      <c r="I753" s="1720"/>
      <c r="J753" s="1721"/>
      <c r="K753" s="902" t="s">
        <v>124</v>
      </c>
      <c r="L753" s="5"/>
      <c r="M753" s="5"/>
      <c r="N753" s="46"/>
      <c r="O753" s="1362">
        <f>SUMPRODUCT(G718:G752,O718:O752)</f>
        <v>124198</v>
      </c>
      <c r="P753" s="1363"/>
      <c r="Q753" s="1363"/>
      <c r="R753" s="1363"/>
      <c r="S753" s="1364"/>
      <c r="T753"/>
      <c r="U753"/>
      <c r="V753"/>
      <c r="W753"/>
      <c r="X753" s="904" t="s">
        <v>901</v>
      </c>
      <c r="Y753" s="903"/>
      <c r="Z753" s="903"/>
      <c r="AA753" s="903"/>
      <c r="AB753" s="905"/>
      <c r="AC753" s="1609">
        <f>BH753</f>
        <v>0.59999999999999987</v>
      </c>
      <c r="AD753" s="1610"/>
      <c r="AE753" s="1610"/>
      <c r="AF753" s="1610"/>
      <c r="AG753" s="1611"/>
      <c r="AH753" s="1609">
        <f>IFERROR(BU753,"")</f>
        <v>0.48088787897300228</v>
      </c>
      <c r="AI753" s="1610"/>
      <c r="AJ753" s="1611"/>
      <c r="AK753"/>
      <c r="AL753"/>
      <c r="AM753"/>
      <c r="AN753"/>
      <c r="AO753"/>
      <c r="AP753" s="205"/>
      <c r="AQ753" s="205"/>
      <c r="AR753" s="205"/>
      <c r="AS753" s="205"/>
      <c r="AT753"/>
      <c r="AU753"/>
      <c r="AV753"/>
      <c r="AW753"/>
      <c r="AX753"/>
      <c r="AY753"/>
      <c r="AZ753" s="34"/>
      <c r="BA753" s="34"/>
      <c r="BB753" s="34"/>
      <c r="BC753" s="34"/>
      <c r="BE753" s="290" t="s">
        <v>900</v>
      </c>
      <c r="BF753" s="299">
        <f>SUM(BF718:BF752)</f>
        <v>119</v>
      </c>
      <c r="BG753" s="300">
        <f>SUM(BG718:BG752)</f>
        <v>1</v>
      </c>
      <c r="BH753" s="300">
        <f>SUM(BH718:BH752)</f>
        <v>0.59999999999999987</v>
      </c>
      <c r="BI753"/>
      <c r="BJ753"/>
      <c r="BK753"/>
      <c r="BL753"/>
      <c r="BO753"/>
      <c r="BP753"/>
      <c r="BQ753"/>
      <c r="BR753"/>
      <c r="BS753" s="859">
        <f>SUM(BS718:BS752)</f>
        <v>119</v>
      </c>
      <c r="BT753" s="300">
        <f>SUM(BT718:BT752)</f>
        <v>1</v>
      </c>
      <c r="BU753" s="300">
        <f>SUM(BU718:BU752)</f>
        <v>0.48088787897300228</v>
      </c>
      <c r="CI753" s="1355">
        <f>SUM(CI718:CJ752)</f>
        <v>18</v>
      </c>
      <c r="CJ753" s="1357"/>
      <c r="CM753" s="1355">
        <f>SUM(CM718:CN752)</f>
        <v>14</v>
      </c>
      <c r="CN753" s="1357"/>
      <c r="CP753" s="1355">
        <f>SUM(CP718:CT752)</f>
        <v>0</v>
      </c>
      <c r="CQ753" s="1356"/>
      <c r="CR753" s="1356"/>
      <c r="CS753" s="1356"/>
      <c r="CT753" s="1357"/>
      <c r="CU753" s="1371">
        <f>SUM(CU718:CY752)</f>
        <v>32</v>
      </c>
      <c r="CV753" s="1371"/>
      <c r="CW753" s="1371"/>
      <c r="CX753" s="1371"/>
      <c r="CY753" s="1371"/>
      <c r="CZ753" s="1371">
        <f>SUM(CZ718:DD752)</f>
        <v>56</v>
      </c>
      <c r="DA753" s="1371"/>
      <c r="DB753" s="1371"/>
      <c r="DC753" s="1371"/>
      <c r="DD753" s="1371"/>
      <c r="DE753" s="1371">
        <f>SUM(DE718:DI752)</f>
        <v>27</v>
      </c>
      <c r="DF753" s="1371"/>
      <c r="DG753" s="1371"/>
      <c r="DH753" s="1371"/>
      <c r="DI753" s="1371"/>
      <c r="DJ753" s="1371">
        <f>SUM(DJ718:DN752)</f>
        <v>4</v>
      </c>
      <c r="DK753" s="1371"/>
      <c r="DL753" s="1371"/>
      <c r="DM753" s="1371"/>
      <c r="DN753" s="1371"/>
      <c r="DO753" s="1371">
        <f>SUM(DO718:DS752)</f>
        <v>0</v>
      </c>
      <c r="DP753" s="1371"/>
      <c r="DQ753" s="1371"/>
      <c r="DR753" s="1371"/>
      <c r="DS753" s="1371"/>
      <c r="DT753" s="354"/>
      <c r="DU753" s="1371">
        <f>SUM(DU718:DY752)</f>
        <v>0</v>
      </c>
      <c r="DV753" s="1371"/>
      <c r="DW753" s="1371"/>
      <c r="DX753" s="1371"/>
      <c r="DY753" s="1371"/>
      <c r="DZ753" s="1371">
        <f>SUM(DZ718:ED752)</f>
        <v>4</v>
      </c>
      <c r="EA753" s="1371"/>
      <c r="EB753" s="1371"/>
      <c r="EC753" s="1371"/>
      <c r="ED753" s="1371"/>
      <c r="EE753" s="1371">
        <f>SUM(EE718:EI752)</f>
        <v>6</v>
      </c>
      <c r="EF753" s="1371"/>
      <c r="EG753" s="1371"/>
      <c r="EH753" s="1371"/>
      <c r="EI753" s="1371"/>
      <c r="EJ753" s="1371">
        <f>SUM(EJ718:EN752)</f>
        <v>3</v>
      </c>
      <c r="EK753" s="1371"/>
      <c r="EL753" s="1371"/>
      <c r="EM753" s="1371"/>
      <c r="EN753" s="1371"/>
      <c r="EO753" s="1371">
        <f>SUM(EO718:ES752)</f>
        <v>1</v>
      </c>
      <c r="EP753" s="1371"/>
      <c r="EQ753" s="1371"/>
      <c r="ER753" s="1371"/>
      <c r="ES753" s="1371"/>
      <c r="ET753" s="1371">
        <f>SUM(ET718:EX752)</f>
        <v>0</v>
      </c>
      <c r="EU753" s="1371"/>
      <c r="EV753" s="1371"/>
      <c r="EW753" s="1371"/>
      <c r="EX753" s="1371"/>
      <c r="EY753"/>
      <c r="EZ753" s="1371">
        <f>SUM(EZ718:FD752)</f>
        <v>0</v>
      </c>
      <c r="FA753" s="1371"/>
      <c r="FB753" s="1371"/>
      <c r="FC753" s="1371"/>
      <c r="FD753" s="1371"/>
      <c r="FE753" s="1371">
        <f>SUM(FE718:FI752)</f>
        <v>3510</v>
      </c>
      <c r="FF753" s="1371"/>
      <c r="FG753" s="1371"/>
      <c r="FH753" s="1371"/>
      <c r="FI753" s="1371"/>
      <c r="FJ753" s="1371">
        <f>SUM(FJ718:FN752)</f>
        <v>3339</v>
      </c>
      <c r="FK753" s="1371"/>
      <c r="FL753" s="1371"/>
      <c r="FM753" s="1371"/>
      <c r="FN753" s="1371"/>
      <c r="FO753" s="1371">
        <f>SUM(FO718:FS752)</f>
        <v>5185</v>
      </c>
      <c r="FP753" s="1371"/>
      <c r="FQ753" s="1371"/>
      <c r="FR753" s="1371"/>
      <c r="FS753" s="1371"/>
      <c r="FT753" s="1371">
        <f>SUM(FT718:FX752)</f>
        <v>2233</v>
      </c>
      <c r="FU753" s="1371"/>
      <c r="FV753" s="1371"/>
      <c r="FW753" s="1371"/>
      <c r="FX753" s="1371"/>
      <c r="FY753" s="1371">
        <f>SUM(FY718:GC752)</f>
        <v>0</v>
      </c>
      <c r="FZ753" s="1371"/>
      <c r="GA753" s="1371"/>
      <c r="GB753" s="1371"/>
      <c r="GC753" s="1371"/>
    </row>
    <row r="754" spans="1:185" s="3" customFormat="1" ht="12.9"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5">
        <f>CP753+CU753+CZ753+DE753+DJ753+DO753</f>
        <v>119</v>
      </c>
      <c r="DP754" s="1356"/>
      <c r="DQ754" s="1356"/>
      <c r="DR754" s="1356"/>
      <c r="DS754" s="135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32</v>
      </c>
      <c r="CZ755" s="3"/>
      <c r="DA755" s="3"/>
      <c r="DB755" s="3"/>
      <c r="DC755" s="3"/>
      <c r="DD755" s="861">
        <f>CZ753*2</f>
        <v>112</v>
      </c>
      <c r="DE755" s="3"/>
      <c r="DF755" s="3"/>
      <c r="DG755" s="3"/>
      <c r="DH755" s="3"/>
      <c r="DI755" s="861">
        <f>DE753*3</f>
        <v>81</v>
      </c>
      <c r="DJ755" s="3"/>
      <c r="DK755" s="3"/>
      <c r="DL755" s="3"/>
      <c r="DM755" s="3"/>
      <c r="DN755" s="861">
        <f>DJ753*4</f>
        <v>16</v>
      </c>
      <c r="DO755" s="3"/>
      <c r="DP755" s="3"/>
      <c r="DQ755" s="3"/>
      <c r="DR755" s="3"/>
      <c r="DS755" s="861">
        <f>DO753*5</f>
        <v>0</v>
      </c>
      <c r="DU755" s="861">
        <f>CT755+CY755+DD755+DI755+DN755+DS755</f>
        <v>241</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371">
        <f>DU755</f>
        <v>241</v>
      </c>
      <c r="P756" s="1371"/>
      <c r="Q756" s="1371"/>
      <c r="R756" s="1371"/>
      <c r="S756" s="969"/>
      <c r="T756" s="969"/>
      <c r="U756" s="118" t="s">
        <v>1893</v>
      </c>
      <c r="V756" s="1032"/>
      <c r="W756" s="1032"/>
      <c r="X756" s="1032"/>
      <c r="Y756" s="1033"/>
      <c r="Z756" s="1033"/>
      <c r="AA756" s="1033"/>
      <c r="AB756" s="1033"/>
      <c r="AC756" s="1032"/>
      <c r="AD756" s="1032"/>
      <c r="AE756" s="1032"/>
      <c r="AF756" s="1032"/>
      <c r="AG756" s="1715"/>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592</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6" t="s">
        <v>389</v>
      </c>
      <c r="K769" s="1497"/>
      <c r="L769" s="1497"/>
      <c r="M769" s="1497"/>
      <c r="N769" s="1498"/>
      <c r="O769" s="1594" t="s">
        <v>285</v>
      </c>
      <c r="P769" s="1594"/>
      <c r="Q769" s="1594"/>
      <c r="R769" s="1594"/>
      <c r="S769" s="1594"/>
      <c r="T769" s="1513" t="s">
        <v>1680</v>
      </c>
      <c r="U769" s="1514"/>
      <c r="V769" s="1514"/>
      <c r="W769" s="1515"/>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9"/>
      <c r="K770" s="1500"/>
      <c r="L770" s="1500"/>
      <c r="M770" s="1500"/>
      <c r="N770" s="1501"/>
      <c r="O770" s="1594"/>
      <c r="P770" s="1594"/>
      <c r="Q770" s="1594"/>
      <c r="R770" s="1594"/>
      <c r="S770" s="1594"/>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9"/>
      <c r="K771" s="1500"/>
      <c r="L771" s="1500"/>
      <c r="M771" s="1500"/>
      <c r="N771" s="1501"/>
      <c r="O771" s="1594"/>
      <c r="P771" s="1594"/>
      <c r="Q771" s="1594"/>
      <c r="R771" s="1594"/>
      <c r="S771" s="1594"/>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2"/>
      <c r="K772" s="1503"/>
      <c r="L772" s="1503"/>
      <c r="M772" s="1503"/>
      <c r="N772" s="1504"/>
      <c r="O772" s="1594"/>
      <c r="P772" s="1594"/>
      <c r="Q772" s="1594"/>
      <c r="R772" s="1594"/>
      <c r="S772" s="1594"/>
      <c r="T772" s="1602"/>
      <c r="U772" s="1603"/>
      <c r="V772" s="1603"/>
      <c r="W772" s="1604"/>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9" t="s">
        <v>164</v>
      </c>
      <c r="K773" s="1360"/>
      <c r="L773" s="1360"/>
      <c r="M773" s="1360"/>
      <c r="N773" s="1361"/>
      <c r="O773" s="1466">
        <v>1</v>
      </c>
      <c r="P773" s="1466"/>
      <c r="Q773" s="1466"/>
      <c r="R773" s="1466"/>
      <c r="S773" s="1466"/>
      <c r="T773" s="1596">
        <v>1068</v>
      </c>
      <c r="U773" s="1597"/>
      <c r="V773" s="1597"/>
      <c r="W773" s="1598"/>
      <c r="X773" s="1470">
        <v>0</v>
      </c>
      <c r="Y773" s="1471"/>
      <c r="Z773" s="1471"/>
      <c r="AA773" s="1471"/>
      <c r="AB773" s="1472"/>
      <c r="AC773" s="1362">
        <f>X773*O773</f>
        <v>0</v>
      </c>
      <c r="AD773" s="1363"/>
      <c r="AE773" s="1363"/>
      <c r="AF773" s="1363"/>
      <c r="AG773" s="136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8">
        <f>IF(J773="1 Bedroom",O773,0)</f>
        <v>0</v>
      </c>
      <c r="CV773" s="1358"/>
      <c r="CW773" s="1358"/>
      <c r="CX773" s="1358"/>
      <c r="CY773" s="1358"/>
      <c r="CZ773" s="1358">
        <f>IF(J773="2 Bedrooms",O773,0)</f>
        <v>0</v>
      </c>
      <c r="DA773" s="1358"/>
      <c r="DB773" s="1358"/>
      <c r="DC773" s="1358"/>
      <c r="DD773" s="1358"/>
      <c r="DE773" s="1358">
        <f>IF(J773="3 Bedrooms",O773,0)</f>
        <v>1</v>
      </c>
      <c r="DF773" s="1358"/>
      <c r="DG773" s="1358"/>
      <c r="DH773" s="1358"/>
      <c r="DI773" s="1358"/>
      <c r="DJ773" s="1358">
        <f>IF(J773="4 Bedrooms",O773,0)</f>
        <v>0</v>
      </c>
      <c r="DK773" s="1358"/>
      <c r="DL773" s="1358"/>
      <c r="DM773" s="1358"/>
      <c r="DN773" s="1358"/>
      <c r="DO773" s="1358">
        <f>IF(J773="5 Bedrooms",O773,0)</f>
        <v>0</v>
      </c>
      <c r="DP773" s="1358"/>
      <c r="DQ773" s="1358"/>
      <c r="DR773" s="1358"/>
      <c r="DS773" s="1358"/>
      <c r="DT773" s="6"/>
      <c r="DU773" s="3"/>
      <c r="DV773" s="3"/>
    </row>
    <row r="774" spans="1:126" ht="12.9" customHeight="1">
      <c r="J774" s="1359"/>
      <c r="K774" s="1360"/>
      <c r="L774" s="1360"/>
      <c r="M774" s="1360"/>
      <c r="N774" s="1361"/>
      <c r="O774" s="1466"/>
      <c r="P774" s="1466"/>
      <c r="Q774" s="1466"/>
      <c r="R774" s="1466"/>
      <c r="S774" s="1466"/>
      <c r="T774" s="1596"/>
      <c r="U774" s="1597"/>
      <c r="V774" s="1597"/>
      <c r="W774" s="1598"/>
      <c r="X774" s="1470"/>
      <c r="Y774" s="1471"/>
      <c r="Z774" s="1471"/>
      <c r="AA774" s="1471"/>
      <c r="AB774" s="1472"/>
      <c r="AC774" s="1362">
        <f>X774*O774</f>
        <v>0</v>
      </c>
      <c r="AD774" s="1363"/>
      <c r="AE774" s="1363"/>
      <c r="AF774" s="1363"/>
      <c r="AG774" s="136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8">
        <f>IF(J774="1 Bedroom",O774,0)</f>
        <v>0</v>
      </c>
      <c r="CV774" s="1358"/>
      <c r="CW774" s="1358"/>
      <c r="CX774" s="1358"/>
      <c r="CY774" s="1358"/>
      <c r="CZ774" s="1358">
        <f>IF(J774="2 Bedrooms",O774,0)</f>
        <v>0</v>
      </c>
      <c r="DA774" s="1358"/>
      <c r="DB774" s="1358"/>
      <c r="DC774" s="1358"/>
      <c r="DD774" s="1358"/>
      <c r="DE774" s="1358">
        <f>IF(J774="3 Bedrooms",O774,0)</f>
        <v>0</v>
      </c>
      <c r="DF774" s="1358"/>
      <c r="DG774" s="1358"/>
      <c r="DH774" s="1358"/>
      <c r="DI774" s="1358"/>
      <c r="DJ774" s="1358">
        <f>IF(J774="4 Bedrooms",O774,0)</f>
        <v>0</v>
      </c>
      <c r="DK774" s="1358"/>
      <c r="DL774" s="1358"/>
      <c r="DM774" s="1358"/>
      <c r="DN774" s="1358"/>
      <c r="DO774" s="1358">
        <f>IF(J774="5 Bedrooms",O774,0)</f>
        <v>0</v>
      </c>
      <c r="DP774" s="1358"/>
      <c r="DQ774" s="1358"/>
      <c r="DR774" s="1358"/>
      <c r="DS774" s="1358"/>
      <c r="DT774" s="6"/>
      <c r="DU774" s="3"/>
      <c r="DV774" s="3"/>
    </row>
    <row r="775" spans="1:126" ht="12.9" customHeight="1">
      <c r="J775" s="1359"/>
      <c r="K775" s="1360"/>
      <c r="L775" s="1360"/>
      <c r="M775" s="1360"/>
      <c r="N775" s="1361"/>
      <c r="O775" s="1466"/>
      <c r="P775" s="1466"/>
      <c r="Q775" s="1466"/>
      <c r="R775" s="1466"/>
      <c r="S775" s="1466"/>
      <c r="T775" s="1596"/>
      <c r="U775" s="1597"/>
      <c r="V775" s="1597"/>
      <c r="W775" s="1598"/>
      <c r="X775" s="1470"/>
      <c r="Y775" s="1471"/>
      <c r="Z775" s="1471"/>
      <c r="AA775" s="1471"/>
      <c r="AB775" s="1472"/>
      <c r="AC775" s="1362">
        <f>X775*O775</f>
        <v>0</v>
      </c>
      <c r="AD775" s="1363"/>
      <c r="AE775" s="1363"/>
      <c r="AF775" s="1363"/>
      <c r="AG775" s="136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8">
        <f>IF(J775="1 Bedroom",O775,0)</f>
        <v>0</v>
      </c>
      <c r="CV775" s="1358"/>
      <c r="CW775" s="1358"/>
      <c r="CX775" s="1358"/>
      <c r="CY775" s="1358"/>
      <c r="CZ775" s="1358">
        <f>IF(J775="2 Bedrooms",O775,0)</f>
        <v>0</v>
      </c>
      <c r="DA775" s="1358"/>
      <c r="DB775" s="1358"/>
      <c r="DC775" s="1358"/>
      <c r="DD775" s="1358"/>
      <c r="DE775" s="1358">
        <f>IF(J775="3 Bedrooms",O775,0)</f>
        <v>0</v>
      </c>
      <c r="DF775" s="1358"/>
      <c r="DG775" s="1358"/>
      <c r="DH775" s="1358"/>
      <c r="DI775" s="1358"/>
      <c r="DJ775" s="1358">
        <f>IF(J775="4 Bedrooms",O775,0)</f>
        <v>0</v>
      </c>
      <c r="DK775" s="1358"/>
      <c r="DL775" s="1358"/>
      <c r="DM775" s="1358"/>
      <c r="DN775" s="1358"/>
      <c r="DO775" s="1358">
        <f>IF(J775="5 Bedrooms",O775,0)</f>
        <v>0</v>
      </c>
      <c r="DP775" s="1358"/>
      <c r="DQ775" s="1358"/>
      <c r="DR775" s="1358"/>
      <c r="DS775" s="1358"/>
      <c r="DT775" s="1012"/>
    </row>
    <row r="776" spans="1:126" ht="12.9" customHeight="1">
      <c r="J776" s="1359"/>
      <c r="K776" s="1360"/>
      <c r="L776" s="1360"/>
      <c r="M776" s="1360"/>
      <c r="N776" s="1361"/>
      <c r="O776" s="1466"/>
      <c r="P776" s="1466"/>
      <c r="Q776" s="1466"/>
      <c r="R776" s="1466"/>
      <c r="S776" s="1466"/>
      <c r="T776" s="1596"/>
      <c r="U776" s="1597"/>
      <c r="V776" s="1597"/>
      <c r="W776" s="1598"/>
      <c r="X776" s="1470"/>
      <c r="Y776" s="1471"/>
      <c r="Z776" s="1471"/>
      <c r="AA776" s="1471"/>
      <c r="AB776" s="1472"/>
      <c r="AC776" s="1362">
        <f>X776*O776</f>
        <v>0</v>
      </c>
      <c r="AD776" s="1363"/>
      <c r="AE776" s="1363"/>
      <c r="AF776" s="1363"/>
      <c r="AG776" s="136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8">
        <f>IF(J776="1 Bedroom",O776,0)</f>
        <v>0</v>
      </c>
      <c r="CV776" s="1358"/>
      <c r="CW776" s="1358"/>
      <c r="CX776" s="1358"/>
      <c r="CY776" s="1358"/>
      <c r="CZ776" s="1358">
        <f>IF(J776="2 Bedrooms",O776,0)</f>
        <v>0</v>
      </c>
      <c r="DA776" s="1358"/>
      <c r="DB776" s="1358"/>
      <c r="DC776" s="1358"/>
      <c r="DD776" s="1358"/>
      <c r="DE776" s="1358">
        <f>IF(J776="3 Bedrooms",O776,0)</f>
        <v>0</v>
      </c>
      <c r="DF776" s="1358"/>
      <c r="DG776" s="1358"/>
      <c r="DH776" s="1358"/>
      <c r="DI776" s="1358"/>
      <c r="DJ776" s="1358">
        <f>IF(J776="4 Bedrooms",O776,0)</f>
        <v>0</v>
      </c>
      <c r="DK776" s="1358"/>
      <c r="DL776" s="1358"/>
      <c r="DM776" s="1358"/>
      <c r="DN776" s="1358"/>
      <c r="DO776" s="1358">
        <f>IF(J776="5 Bedrooms",O776,0)</f>
        <v>0</v>
      </c>
      <c r="DP776" s="1358"/>
      <c r="DQ776" s="1358"/>
      <c r="DR776" s="1358"/>
      <c r="DS776" s="1358"/>
    </row>
    <row r="777" spans="1:126" ht="12.9" customHeight="1">
      <c r="J777" s="1439" t="s">
        <v>125</v>
      </c>
      <c r="K777" s="1440"/>
      <c r="L777" s="1440"/>
      <c r="M777" s="1440"/>
      <c r="N777" s="1442"/>
      <c r="O777" s="1339">
        <f>SUM(O773:S776)</f>
        <v>1</v>
      </c>
      <c r="P777" s="1340"/>
      <c r="Q777" s="1340"/>
      <c r="R777" s="1340"/>
      <c r="S777" s="1341"/>
      <c r="X777" s="1439" t="s">
        <v>124</v>
      </c>
      <c r="Y777" s="1440"/>
      <c r="Z777" s="1440"/>
      <c r="AA777" s="1440"/>
      <c r="AB777" s="1442"/>
      <c r="AC777" s="1362">
        <f>SUM(AC773:AG776)</f>
        <v>0</v>
      </c>
      <c r="AD777" s="1363"/>
      <c r="AE777" s="1363"/>
      <c r="AF777" s="1363"/>
      <c r="AG777" s="136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9">
        <f>SUM(CP773:CT776)</f>
        <v>0</v>
      </c>
      <c r="CQ777" s="1340"/>
      <c r="CR777" s="1340"/>
      <c r="CS777" s="1340"/>
      <c r="CT777" s="1341"/>
      <c r="CU777" s="1342">
        <f>SUM(CU773:CY776)</f>
        <v>0</v>
      </c>
      <c r="CV777" s="1343"/>
      <c r="CW777" s="1343"/>
      <c r="CX777" s="1343"/>
      <c r="CY777" s="1344"/>
      <c r="CZ777" s="1342">
        <f>SUM(CZ773:DD776)</f>
        <v>0</v>
      </c>
      <c r="DA777" s="1343"/>
      <c r="DB777" s="1343"/>
      <c r="DC777" s="1343"/>
      <c r="DD777" s="1344"/>
      <c r="DE777" s="1342">
        <f>SUM(DE773:DI776)</f>
        <v>1</v>
      </c>
      <c r="DF777" s="1343"/>
      <c r="DG777" s="1343"/>
      <c r="DH777" s="1343"/>
      <c r="DI777" s="1344"/>
      <c r="DJ777" s="1342">
        <f>SUM(DJ773:DN776)</f>
        <v>0</v>
      </c>
      <c r="DK777" s="1343"/>
      <c r="DL777" s="1343"/>
      <c r="DM777" s="1343"/>
      <c r="DN777" s="1344"/>
      <c r="DO777" s="1342">
        <f>SUM(DO773:DS776)</f>
        <v>0</v>
      </c>
      <c r="DP777" s="1343"/>
      <c r="DQ777" s="1343"/>
      <c r="DR777" s="1343"/>
      <c r="DS777" s="1344"/>
      <c r="DU777" s="861">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 customHeight="1">
      <c r="B779" s="56"/>
      <c r="C779" s="56"/>
      <c r="D779" s="56"/>
      <c r="E779" s="56"/>
      <c r="F779" s="56"/>
      <c r="G779" s="6"/>
      <c r="H779" s="6"/>
      <c r="I779" s="6"/>
      <c r="J779" s="1394" t="s">
        <v>670</v>
      </c>
      <c r="K779" s="139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6" t="s">
        <v>389</v>
      </c>
      <c r="K783" s="1497"/>
      <c r="L783" s="1497"/>
      <c r="M783" s="1497"/>
      <c r="N783" s="1498"/>
      <c r="O783" s="1594" t="s">
        <v>285</v>
      </c>
      <c r="P783" s="1594"/>
      <c r="Q783" s="1594"/>
      <c r="R783" s="1594"/>
      <c r="S783" s="1594"/>
      <c r="T783" s="1513" t="s">
        <v>1680</v>
      </c>
      <c r="U783" s="1514"/>
      <c r="V783" s="1514"/>
      <c r="W783" s="1515"/>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9"/>
      <c r="K784" s="1500"/>
      <c r="L784" s="1500"/>
      <c r="M784" s="1500"/>
      <c r="N784" s="1501"/>
      <c r="O784" s="1594"/>
      <c r="P784" s="1594"/>
      <c r="Q784" s="1594"/>
      <c r="R784" s="1594"/>
      <c r="S784" s="1594"/>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9"/>
      <c r="K785" s="1500"/>
      <c r="L785" s="1500"/>
      <c r="M785" s="1500"/>
      <c r="N785" s="1501"/>
      <c r="O785" s="1594"/>
      <c r="P785" s="1594"/>
      <c r="Q785" s="1594"/>
      <c r="R785" s="1594"/>
      <c r="S785" s="1594"/>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2"/>
      <c r="K786" s="1503"/>
      <c r="L786" s="1503"/>
      <c r="M786" s="1503"/>
      <c r="N786" s="1504"/>
      <c r="O786" s="1594"/>
      <c r="P786" s="1594"/>
      <c r="Q786" s="1594"/>
      <c r="R786" s="1594"/>
      <c r="S786" s="1594"/>
      <c r="T786" s="1602"/>
      <c r="U786" s="1603"/>
      <c r="V786" s="1603"/>
      <c r="W786" s="1604"/>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59"/>
      <c r="K787" s="1360"/>
      <c r="L787" s="1360"/>
      <c r="M787" s="1360"/>
      <c r="N787" s="1361"/>
      <c r="O787" s="1466"/>
      <c r="P787" s="1466"/>
      <c r="Q787" s="1466"/>
      <c r="R787" s="1466"/>
      <c r="S787" s="1466"/>
      <c r="T787" s="1596"/>
      <c r="U787" s="1597"/>
      <c r="V787" s="1597"/>
      <c r="W787" s="1598"/>
      <c r="X787" s="1470"/>
      <c r="Y787" s="1471"/>
      <c r="Z787" s="1471"/>
      <c r="AA787" s="1471"/>
      <c r="AB787" s="1472"/>
      <c r="AC787" s="1362">
        <f t="shared" ref="AC787:AC796" si="40">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 customHeight="1">
      <c r="A788"/>
      <c r="B788"/>
      <c r="C788"/>
      <c r="D788"/>
      <c r="E788"/>
      <c r="F788"/>
      <c r="G788"/>
      <c r="H788"/>
      <c r="I788"/>
      <c r="J788" s="1359"/>
      <c r="K788" s="1360"/>
      <c r="L788" s="1360"/>
      <c r="M788" s="1360"/>
      <c r="N788" s="1361"/>
      <c r="O788" s="1466"/>
      <c r="P788" s="1466"/>
      <c r="Q788" s="1466"/>
      <c r="R788" s="1466"/>
      <c r="S788" s="1466"/>
      <c r="T788" s="1596"/>
      <c r="U788" s="1597"/>
      <c r="V788" s="1597"/>
      <c r="W788" s="1598"/>
      <c r="X788" s="1470"/>
      <c r="Y788" s="1471"/>
      <c r="Z788" s="1471"/>
      <c r="AA788" s="1471"/>
      <c r="AB788" s="1472"/>
      <c r="AC788" s="1362">
        <f t="shared" si="40"/>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 customHeight="1">
      <c r="A789"/>
      <c r="B789"/>
      <c r="C789"/>
      <c r="D789"/>
      <c r="E789"/>
      <c r="F789"/>
      <c r="G789"/>
      <c r="H789"/>
      <c r="I789"/>
      <c r="J789" s="1359"/>
      <c r="K789" s="1360"/>
      <c r="L789" s="1360"/>
      <c r="M789" s="1360"/>
      <c r="N789" s="1361"/>
      <c r="O789" s="1466"/>
      <c r="P789" s="1466"/>
      <c r="Q789" s="1466"/>
      <c r="R789" s="1466"/>
      <c r="S789" s="1466"/>
      <c r="T789" s="1596"/>
      <c r="U789" s="1597"/>
      <c r="V789" s="1597"/>
      <c r="W789" s="1598"/>
      <c r="X789" s="1470"/>
      <c r="Y789" s="1471"/>
      <c r="Z789" s="1471"/>
      <c r="AA789" s="1471"/>
      <c r="AB789" s="1472"/>
      <c r="AC789" s="1362">
        <f t="shared" si="40"/>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 customHeight="1">
      <c r="A790"/>
      <c r="B790"/>
      <c r="C790"/>
      <c r="D790"/>
      <c r="E790"/>
      <c r="F790"/>
      <c r="G790"/>
      <c r="H790"/>
      <c r="I790"/>
      <c r="J790" s="1359"/>
      <c r="K790" s="1360"/>
      <c r="L790" s="1360"/>
      <c r="M790" s="1360"/>
      <c r="N790" s="1361"/>
      <c r="O790" s="1466"/>
      <c r="P790" s="1466"/>
      <c r="Q790" s="1466"/>
      <c r="R790" s="1466"/>
      <c r="S790" s="1466"/>
      <c r="T790" s="1596"/>
      <c r="U790" s="1597"/>
      <c r="V790" s="1597"/>
      <c r="W790" s="1598"/>
      <c r="X790" s="1470"/>
      <c r="Y790" s="1471"/>
      <c r="Z790" s="1471"/>
      <c r="AA790" s="1471"/>
      <c r="AB790" s="1472"/>
      <c r="AC790" s="1362">
        <f t="shared" si="40"/>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 customHeight="1">
      <c r="A791"/>
      <c r="B791"/>
      <c r="C791"/>
      <c r="D791"/>
      <c r="E791"/>
      <c r="F791"/>
      <c r="G791"/>
      <c r="H791"/>
      <c r="I791"/>
      <c r="J791" s="1359"/>
      <c r="K791" s="1360"/>
      <c r="L791" s="1360"/>
      <c r="M791" s="1360"/>
      <c r="N791" s="1361"/>
      <c r="O791" s="1466"/>
      <c r="P791" s="1466"/>
      <c r="Q791" s="1466"/>
      <c r="R791" s="1466"/>
      <c r="S791" s="1466"/>
      <c r="T791" s="1596"/>
      <c r="U791" s="1597"/>
      <c r="V791" s="1597"/>
      <c r="W791" s="1598"/>
      <c r="X791" s="1470"/>
      <c r="Y791" s="1471"/>
      <c r="Z791" s="1471"/>
      <c r="AA791" s="1471"/>
      <c r="AB791" s="1472"/>
      <c r="AC791" s="1362">
        <f t="shared" si="40"/>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 customHeight="1">
      <c r="A792"/>
      <c r="B792"/>
      <c r="C792"/>
      <c r="D792"/>
      <c r="E792"/>
      <c r="F792"/>
      <c r="G792"/>
      <c r="H792"/>
      <c r="I792"/>
      <c r="J792" s="1359"/>
      <c r="K792" s="1360"/>
      <c r="L792" s="1360"/>
      <c r="M792" s="1360"/>
      <c r="N792" s="1361"/>
      <c r="O792" s="1466"/>
      <c r="P792" s="1466"/>
      <c r="Q792" s="1466"/>
      <c r="R792" s="1466"/>
      <c r="S792" s="1466"/>
      <c r="T792" s="1596"/>
      <c r="U792" s="1597"/>
      <c r="V792" s="1597"/>
      <c r="W792" s="1598"/>
      <c r="X792" s="1470"/>
      <c r="Y792" s="1471"/>
      <c r="Z792" s="1471"/>
      <c r="AA792" s="1471"/>
      <c r="AB792" s="1472"/>
      <c r="AC792" s="1362">
        <f t="shared" si="40"/>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 customHeight="1">
      <c r="A793"/>
      <c r="B793"/>
      <c r="C793"/>
      <c r="D793"/>
      <c r="E793"/>
      <c r="F793"/>
      <c r="G793"/>
      <c r="H793"/>
      <c r="I793"/>
      <c r="J793" s="1359"/>
      <c r="K793" s="1360"/>
      <c r="L793" s="1360"/>
      <c r="M793" s="1360"/>
      <c r="N793" s="1361"/>
      <c r="O793" s="1466"/>
      <c r="P793" s="1466"/>
      <c r="Q793" s="1466"/>
      <c r="R793" s="1466"/>
      <c r="S793" s="1466"/>
      <c r="T793" s="1596"/>
      <c r="U793" s="1597"/>
      <c r="V793" s="1597"/>
      <c r="W793" s="1598"/>
      <c r="X793" s="1470"/>
      <c r="Y793" s="1471"/>
      <c r="Z793" s="1471"/>
      <c r="AA793" s="1471"/>
      <c r="AB793" s="1472"/>
      <c r="AC793" s="1362">
        <f t="shared" si="40"/>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 customHeight="1">
      <c r="A794"/>
      <c r="B794"/>
      <c r="C794"/>
      <c r="D794"/>
      <c r="E794"/>
      <c r="F794"/>
      <c r="G794"/>
      <c r="H794"/>
      <c r="I794"/>
      <c r="J794" s="1359"/>
      <c r="K794" s="1360"/>
      <c r="L794" s="1360"/>
      <c r="M794" s="1360"/>
      <c r="N794" s="1361"/>
      <c r="O794" s="1466"/>
      <c r="P794" s="1466"/>
      <c r="Q794" s="1466"/>
      <c r="R794" s="1466"/>
      <c r="S794" s="1466"/>
      <c r="T794" s="1596"/>
      <c r="U794" s="1597"/>
      <c r="V794" s="1597"/>
      <c r="W794" s="1598"/>
      <c r="X794" s="1470"/>
      <c r="Y794" s="1471"/>
      <c r="Z794" s="1471"/>
      <c r="AA794" s="1471"/>
      <c r="AB794" s="1472"/>
      <c r="AC794" s="1362">
        <f t="shared" si="40"/>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 customHeight="1">
      <c r="A795"/>
      <c r="B795"/>
      <c r="C795"/>
      <c r="D795"/>
      <c r="E795"/>
      <c r="F795"/>
      <c r="G795"/>
      <c r="H795"/>
      <c r="I795"/>
      <c r="J795" s="1359"/>
      <c r="K795" s="1360"/>
      <c r="L795" s="1360"/>
      <c r="M795" s="1360"/>
      <c r="N795" s="1361"/>
      <c r="O795" s="1466"/>
      <c r="P795" s="1466"/>
      <c r="Q795" s="1466"/>
      <c r="R795" s="1466"/>
      <c r="S795" s="1466"/>
      <c r="T795" s="1596"/>
      <c r="U795" s="1597"/>
      <c r="V795" s="1597"/>
      <c r="W795" s="1598"/>
      <c r="X795" s="1470"/>
      <c r="Y795" s="1471"/>
      <c r="Z795" s="1471"/>
      <c r="AA795" s="1471"/>
      <c r="AB795" s="1472"/>
      <c r="AC795" s="1362">
        <f t="shared" si="40"/>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 customHeight="1">
      <c r="A796"/>
      <c r="B796"/>
      <c r="C796"/>
      <c r="D796"/>
      <c r="E796"/>
      <c r="F796"/>
      <c r="G796"/>
      <c r="H796"/>
      <c r="I796"/>
      <c r="J796" s="1359"/>
      <c r="K796" s="1360"/>
      <c r="L796" s="1360"/>
      <c r="M796" s="1360"/>
      <c r="N796" s="1361"/>
      <c r="O796" s="1466"/>
      <c r="P796" s="1466"/>
      <c r="Q796" s="1466"/>
      <c r="R796" s="1466"/>
      <c r="S796" s="1466"/>
      <c r="T796" s="1596"/>
      <c r="U796" s="1597"/>
      <c r="V796" s="1597"/>
      <c r="W796" s="1598"/>
      <c r="X796" s="1470"/>
      <c r="Y796" s="1471"/>
      <c r="Z796" s="1471"/>
      <c r="AA796" s="1471"/>
      <c r="AB796" s="1472"/>
      <c r="AC796" s="1362">
        <f t="shared" si="40"/>
        <v>0</v>
      </c>
      <c r="AD796" s="1363"/>
      <c r="AE796" s="1363"/>
      <c r="AF796" s="1363"/>
      <c r="AG796" s="1364"/>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 customHeight="1">
      <c r="A797"/>
      <c r="B797"/>
      <c r="C797"/>
      <c r="D797"/>
      <c r="E797"/>
      <c r="F797"/>
      <c r="G797"/>
      <c r="H797"/>
      <c r="I797"/>
      <c r="J797" s="1439" t="s">
        <v>125</v>
      </c>
      <c r="K797" s="1440"/>
      <c r="L797" s="1440"/>
      <c r="M797" s="1440"/>
      <c r="N797" s="1442"/>
      <c r="O797" s="1616">
        <f>SUM(O787:S796)</f>
        <v>0</v>
      </c>
      <c r="P797" s="1616"/>
      <c r="Q797" s="1616"/>
      <c r="R797" s="1616"/>
      <c r="S797" s="1616"/>
      <c r="T797"/>
      <c r="U797"/>
      <c r="V797"/>
      <c r="W797"/>
      <c r="X797" s="902" t="s">
        <v>124</v>
      </c>
      <c r="Y797" s="11"/>
      <c r="Z797" s="11"/>
      <c r="AA797" s="11"/>
      <c r="AB797" s="909"/>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CP797" s="1339">
        <f>SUM(CP787:CT796)</f>
        <v>0</v>
      </c>
      <c r="CQ797" s="1340"/>
      <c r="CR797" s="1340"/>
      <c r="CS797" s="1340"/>
      <c r="CT797" s="1341"/>
      <c r="CU797" s="1342">
        <f>SUM(CU787:CY796)</f>
        <v>0</v>
      </c>
      <c r="CV797" s="1343"/>
      <c r="CW797" s="1343"/>
      <c r="CX797" s="1343"/>
      <c r="CY797" s="1344"/>
      <c r="CZ797" s="1342">
        <f>SUM(CZ787:DD796)</f>
        <v>0</v>
      </c>
      <c r="DA797" s="1343"/>
      <c r="DB797" s="1343"/>
      <c r="DC797" s="1343"/>
      <c r="DD797" s="1344"/>
      <c r="DE797" s="1342">
        <f>SUM(DE787:DI796)</f>
        <v>0</v>
      </c>
      <c r="DF797" s="1343"/>
      <c r="DG797" s="1343"/>
      <c r="DH797" s="1343"/>
      <c r="DI797" s="1344"/>
      <c r="DJ797" s="1342">
        <f>SUM(DJ787:DN796)</f>
        <v>0</v>
      </c>
      <c r="DK797" s="1343"/>
      <c r="DL797" s="1343"/>
      <c r="DM797" s="1343"/>
      <c r="DN797" s="1344"/>
      <c r="DO797" s="1342">
        <f>SUM(DO787:DS796)</f>
        <v>0</v>
      </c>
      <c r="DP797" s="1343"/>
      <c r="DQ797" s="1343"/>
      <c r="DR797" s="1343"/>
      <c r="DS797" s="1344"/>
      <c r="DT797" s="1012"/>
      <c r="DU797" s="1339">
        <f>SUM(DU787:DY796)</f>
        <v>0</v>
      </c>
      <c r="DV797" s="1340"/>
      <c r="DW797" s="1340"/>
      <c r="DX797" s="1340"/>
      <c r="DY797" s="1341"/>
      <c r="DZ797" s="1339">
        <f>SUM(DZ787:ED796)</f>
        <v>0</v>
      </c>
      <c r="EA797" s="1340"/>
      <c r="EB797" s="1340"/>
      <c r="EC797" s="1340"/>
      <c r="ED797" s="1341"/>
      <c r="EE797" s="1339">
        <f>SUM(EE787:EI796)</f>
        <v>0</v>
      </c>
      <c r="EF797" s="1340"/>
      <c r="EG797" s="1340"/>
      <c r="EH797" s="1340"/>
      <c r="EI797" s="1341"/>
      <c r="EJ797" s="1339">
        <f>SUM(EJ787:EN796)</f>
        <v>0</v>
      </c>
      <c r="EK797" s="1340"/>
      <c r="EL797" s="1340"/>
      <c r="EM797" s="1340"/>
      <c r="EN797" s="1341"/>
      <c r="EO797" s="1339">
        <f>SUM(EO787:ES796)</f>
        <v>0</v>
      </c>
      <c r="EP797" s="1340"/>
      <c r="EQ797" s="1340"/>
      <c r="ER797" s="1340"/>
      <c r="ES797" s="1341"/>
      <c r="ET797" s="1339">
        <f>SUM(ET787:EX796)</f>
        <v>0</v>
      </c>
      <c r="EU797" s="1340"/>
      <c r="EV797" s="1340"/>
      <c r="EW797" s="1340"/>
      <c r="EX797" s="1341"/>
    </row>
    <row r="798" spans="1:154" s="4" customFormat="1" ht="12.9" customHeight="1">
      <c r="A798"/>
      <c r="B798"/>
      <c r="C798" s="1378" t="str">
        <f>IF(O797&lt;&gt;AG438,"! Total market rate units in the Unit Mix Table above does not match the number of  market rate units on row #"&amp;TEXT(ROW(D438),"#"),"")</f>
        <v/>
      </c>
      <c r="D798" s="1378"/>
      <c r="E798" s="1378"/>
      <c r="F798" s="1378"/>
      <c r="G798" s="1378"/>
      <c r="H798" s="1378"/>
      <c r="I798" s="1378"/>
      <c r="J798" s="1378"/>
      <c r="K798" s="1378"/>
      <c r="L798" s="1378"/>
      <c r="M798" s="1378"/>
      <c r="N798" s="1378"/>
      <c r="O798" s="1378"/>
      <c r="P798" s="1378"/>
      <c r="Q798" s="1378"/>
      <c r="R798" s="1378"/>
      <c r="S798" s="1378"/>
      <c r="T798" s="1378"/>
      <c r="U798" s="1378"/>
      <c r="V798" s="1378"/>
      <c r="W798" s="1378"/>
      <c r="X798" s="1378"/>
      <c r="Y798" s="1378"/>
      <c r="Z798" s="1378"/>
      <c r="AA798" s="1378"/>
      <c r="AB798" s="1378"/>
      <c r="AC798" s="1378"/>
      <c r="AD798" s="1378"/>
      <c r="AE798" s="1378"/>
      <c r="AF798" s="1378"/>
      <c r="AG798" s="1378"/>
      <c r="AH798" s="1378"/>
      <c r="AI798" s="1378"/>
      <c r="AJ798" s="1378"/>
      <c r="AK798" s="1378"/>
      <c r="AL798" s="1378"/>
      <c r="AM798" s="1378"/>
      <c r="AN798" s="137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8"/>
      <c r="D799" s="1378"/>
      <c r="E799" s="1378"/>
      <c r="F799" s="1378"/>
      <c r="G799" s="1378"/>
      <c r="H799" s="1378"/>
      <c r="I799" s="1378"/>
      <c r="J799" s="1378"/>
      <c r="K799" s="1378"/>
      <c r="L799" s="1378"/>
      <c r="M799" s="1378"/>
      <c r="N799" s="1378"/>
      <c r="O799" s="1378"/>
      <c r="P799" s="1378"/>
      <c r="Q799" s="1378"/>
      <c r="R799" s="1378"/>
      <c r="S799" s="1378"/>
      <c r="T799" s="1378"/>
      <c r="U799" s="1378"/>
      <c r="V799" s="1378"/>
      <c r="W799" s="1378"/>
      <c r="X799" s="1378"/>
      <c r="Y799" s="1378"/>
      <c r="Z799" s="1378"/>
      <c r="AA799" s="1378"/>
      <c r="AB799" s="1378"/>
      <c r="AC799" s="1378"/>
      <c r="AD799" s="1378"/>
      <c r="AE799" s="1378"/>
      <c r="AF799" s="1378"/>
      <c r="AG799" s="1378"/>
      <c r="AH799" s="1378"/>
      <c r="AI799" s="1378"/>
      <c r="AJ799" s="1378"/>
      <c r="AK799" s="1378"/>
      <c r="AL799" s="1378"/>
      <c r="AM799" s="1378"/>
      <c r="AN799" s="137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52">
        <f>SUM(DU797:EX797)</f>
        <v>0</v>
      </c>
      <c r="EU799" s="1353"/>
      <c r="EV799" s="1353"/>
      <c r="EW799" s="1353"/>
      <c r="EX799" s="1354"/>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93">
        <f>O753+AC777+AC797</f>
        <v>124198</v>
      </c>
      <c r="Z800" s="1593"/>
      <c r="AA800" s="1593"/>
      <c r="AB800" s="1593"/>
      <c r="AC800" s="159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3">
        <f>(O753+AC777+AC797)*12</f>
        <v>1490376</v>
      </c>
      <c r="Z801" s="1593"/>
      <c r="AA801" s="1593"/>
      <c r="AB801" s="1593"/>
      <c r="AC801" s="159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2">
        <f>CP753+CP777+CP797</f>
        <v>0</v>
      </c>
      <c r="CQ802" s="1343"/>
      <c r="CR802" s="1343"/>
      <c r="CS802" s="1343"/>
      <c r="CT802" s="1344"/>
      <c r="CU802" s="1342">
        <f>CU753+CU777+CU797</f>
        <v>32</v>
      </c>
      <c r="CV802" s="1343"/>
      <c r="CW802" s="1343"/>
      <c r="CX802" s="1343"/>
      <c r="CY802" s="1344"/>
      <c r="CZ802" s="1342">
        <f>CZ753+CZ777+CZ797</f>
        <v>56</v>
      </c>
      <c r="DA802" s="1343"/>
      <c r="DB802" s="1343"/>
      <c r="DC802" s="1343"/>
      <c r="DD802" s="1344"/>
      <c r="DE802" s="1342">
        <f>DE753+DE777+DE797</f>
        <v>28</v>
      </c>
      <c r="DF802" s="1343"/>
      <c r="DG802" s="1343"/>
      <c r="DH802" s="1343"/>
      <c r="DI802" s="1344"/>
      <c r="DJ802" s="1342">
        <f>DJ753+DJ777+DJ797</f>
        <v>4</v>
      </c>
      <c r="DK802" s="1343"/>
      <c r="DL802" s="1343"/>
      <c r="DM802" s="1343"/>
      <c r="DN802" s="1344"/>
      <c r="DO802" s="1355">
        <f>DO797+DO777+DO753</f>
        <v>0</v>
      </c>
      <c r="DP802" s="1356"/>
      <c r="DQ802" s="1356"/>
      <c r="DR802" s="1356"/>
      <c r="DS802" s="1357"/>
      <c r="DT802" s="3"/>
      <c r="DU802" s="861">
        <f>DU755+DU800</f>
        <v>241</v>
      </c>
      <c r="DV802" s="57" t="s">
        <v>1864</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9"/>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4">
        <v>0</v>
      </c>
      <c r="AA808" s="1523"/>
      <c r="AB808" s="1523"/>
      <c r="AC808" s="1523"/>
      <c r="AD808" s="1523"/>
      <c r="AE808" s="161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25000</v>
      </c>
      <c r="AA813" s="1345"/>
      <c r="AB813" s="1345"/>
      <c r="AC813" s="1345"/>
      <c r="AD813" s="1345"/>
      <c r="AE813" s="134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45"/>
      <c r="AB814" s="1345"/>
      <c r="AC814" s="1345"/>
      <c r="AD814" s="1345"/>
      <c r="AE814" s="134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45"/>
      <c r="AB815" s="1345"/>
      <c r="AC815" s="1345"/>
      <c r="AD815" s="1345"/>
      <c r="AE815" s="134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35" t="s">
        <v>334</v>
      </c>
      <c r="Q816" s="1636"/>
      <c r="R816" s="1636"/>
      <c r="S816" s="1636"/>
      <c r="T816" s="1636"/>
      <c r="U816" s="1636"/>
      <c r="V816" s="1636"/>
      <c r="W816" s="1636"/>
      <c r="X816" s="1636"/>
      <c r="Y816" s="1637"/>
      <c r="Z816" s="1477"/>
      <c r="AA816" s="1345"/>
      <c r="AB816" s="1345"/>
      <c r="AC816" s="1345"/>
      <c r="AD816" s="1345"/>
      <c r="AE816" s="134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25000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1515376</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7" t="s">
        <v>126</v>
      </c>
      <c r="N823" s="1687"/>
      <c r="O823" s="1687"/>
      <c r="P823" s="1688"/>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608" t="s">
        <v>335</v>
      </c>
      <c r="AH823" s="1608"/>
      <c r="AI823" s="1608"/>
      <c r="AJ823" s="1608"/>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89"/>
      <c r="N824" s="1689"/>
      <c r="O824" s="1689"/>
      <c r="P824" s="1690"/>
      <c r="Q824" s="1613"/>
      <c r="R824" s="1613"/>
      <c r="S824" s="1613"/>
      <c r="T824" s="1613"/>
      <c r="U824" s="1613"/>
      <c r="V824" s="1613"/>
      <c r="W824" s="1613"/>
      <c r="X824" s="1613"/>
      <c r="Y824" s="1613"/>
      <c r="Z824" s="1613"/>
      <c r="AA824" s="1613"/>
      <c r="AB824" s="1613"/>
      <c r="AC824" s="1613"/>
      <c r="AD824" s="1613"/>
      <c r="AE824" s="1613"/>
      <c r="AF824" s="1613"/>
      <c r="AG824" s="1608"/>
      <c r="AH824" s="1608"/>
      <c r="AI824" s="1608"/>
      <c r="AJ824" s="1608"/>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95" t="s">
        <v>40</v>
      </c>
      <c r="D825" s="1485"/>
      <c r="E825" s="1485"/>
      <c r="F825" s="1485"/>
      <c r="G825" s="1485"/>
      <c r="H825" s="1485"/>
      <c r="I825" s="48"/>
      <c r="J825" s="48"/>
      <c r="K825" s="48"/>
      <c r="L825" s="49"/>
      <c r="M825" s="1592"/>
      <c r="N825" s="1592"/>
      <c r="O825" s="1592"/>
      <c r="P825" s="1592"/>
      <c r="Q825" s="1592"/>
      <c r="R825" s="1592"/>
      <c r="S825" s="1592"/>
      <c r="T825" s="1592"/>
      <c r="U825" s="1592"/>
      <c r="V825" s="1592"/>
      <c r="W825" s="1592"/>
      <c r="X825" s="1592"/>
      <c r="Y825" s="1592"/>
      <c r="Z825" s="1592"/>
      <c r="AA825" s="1592"/>
      <c r="AB825" s="1592"/>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6" t="s">
        <v>41</v>
      </c>
      <c r="D826" s="1443"/>
      <c r="E826" s="1443"/>
      <c r="F826" s="1443"/>
      <c r="G826" s="1443"/>
      <c r="H826" s="1443"/>
      <c r="I826" s="5"/>
      <c r="J826" s="5"/>
      <c r="K826" s="5"/>
      <c r="L826" s="46"/>
      <c r="M826" s="1592"/>
      <c r="N826" s="1592"/>
      <c r="O826" s="1592"/>
      <c r="P826" s="1592"/>
      <c r="Q826" s="1592"/>
      <c r="R826" s="1592"/>
      <c r="S826" s="1592"/>
      <c r="T826" s="1592"/>
      <c r="U826" s="1592"/>
      <c r="V826" s="1592"/>
      <c r="W826" s="1592"/>
      <c r="X826" s="1592"/>
      <c r="Y826" s="1592"/>
      <c r="Z826" s="1592"/>
      <c r="AA826" s="1592"/>
      <c r="AB826" s="1592"/>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6" t="s">
        <v>42</v>
      </c>
      <c r="D827" s="1443"/>
      <c r="E827" s="1443"/>
      <c r="F827" s="1443"/>
      <c r="G827" s="1443"/>
      <c r="H827" s="1443"/>
      <c r="I827" s="60"/>
      <c r="J827" s="60"/>
      <c r="K827" s="60"/>
      <c r="L827" s="61"/>
      <c r="M827" s="1592"/>
      <c r="N827" s="1592"/>
      <c r="O827" s="1592"/>
      <c r="P827" s="1592"/>
      <c r="Q827" s="1592"/>
      <c r="R827" s="1592"/>
      <c r="S827" s="1592"/>
      <c r="T827" s="1592"/>
      <c r="U827" s="1592"/>
      <c r="V827" s="1592"/>
      <c r="W827" s="1592"/>
      <c r="X827" s="1592"/>
      <c r="Y827" s="1592"/>
      <c r="Z827" s="1592"/>
      <c r="AA827" s="1592"/>
      <c r="AB827" s="1592"/>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6" t="s">
        <v>763</v>
      </c>
      <c r="D828" s="1443"/>
      <c r="E828" s="1443"/>
      <c r="F828" s="1443"/>
      <c r="G828" s="1443"/>
      <c r="H828" s="1443"/>
      <c r="I828" s="60"/>
      <c r="J828" s="60"/>
      <c r="K828" s="60"/>
      <c r="L828" s="61"/>
      <c r="M828" s="1592"/>
      <c r="N828" s="1592"/>
      <c r="O828" s="1592"/>
      <c r="P828" s="1592"/>
      <c r="Q828" s="1592"/>
      <c r="R828" s="1592"/>
      <c r="S828" s="1592"/>
      <c r="T828" s="1592"/>
      <c r="U828" s="1592"/>
      <c r="V828" s="1592"/>
      <c r="W828" s="1592"/>
      <c r="X828" s="1592"/>
      <c r="Y828" s="1592"/>
      <c r="Z828" s="1592"/>
      <c r="AA828" s="1592"/>
      <c r="AB828" s="1592"/>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6" t="s">
        <v>460</v>
      </c>
      <c r="D829" s="1443"/>
      <c r="E829" s="1443"/>
      <c r="F829" s="1443"/>
      <c r="G829" s="1443"/>
      <c r="H829" s="1443"/>
      <c r="I829" s="60"/>
      <c r="J829" s="60"/>
      <c r="K829" s="60"/>
      <c r="L829" s="61"/>
      <c r="M829" s="1592"/>
      <c r="N829" s="1592"/>
      <c r="O829" s="1592"/>
      <c r="P829" s="1592"/>
      <c r="Q829" s="1592"/>
      <c r="R829" s="1592"/>
      <c r="S829" s="1592"/>
      <c r="T829" s="1592"/>
      <c r="U829" s="1592"/>
      <c r="V829" s="1592"/>
      <c r="W829" s="1592"/>
      <c r="X829" s="1592"/>
      <c r="Y829" s="1592"/>
      <c r="Z829" s="1592"/>
      <c r="AA829" s="1592"/>
      <c r="AB829" s="1592"/>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2" t="s">
        <v>784</v>
      </c>
      <c r="D830" s="1443"/>
      <c r="E830" s="1443"/>
      <c r="F830" s="1443"/>
      <c r="G830" s="1443"/>
      <c r="H830" s="1443"/>
      <c r="I830" s="60"/>
      <c r="J830" s="60"/>
      <c r="K830" s="60"/>
      <c r="L830" s="61"/>
      <c r="M830" s="1592"/>
      <c r="N830" s="1592"/>
      <c r="O830" s="1592"/>
      <c r="P830" s="1592"/>
      <c r="Q830" s="1592"/>
      <c r="R830" s="1592"/>
      <c r="S830" s="1592"/>
      <c r="T830" s="1592"/>
      <c r="U830" s="1592"/>
      <c r="V830" s="1592"/>
      <c r="W830" s="1592"/>
      <c r="X830" s="1592"/>
      <c r="Y830" s="1592"/>
      <c r="Z830" s="1592"/>
      <c r="AA830" s="1592"/>
      <c r="AB830" s="1592"/>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35" t="s">
        <v>2702</v>
      </c>
      <c r="G831" s="1636"/>
      <c r="H831" s="1636"/>
      <c r="I831" s="1636"/>
      <c r="J831" s="1636"/>
      <c r="K831" s="1636"/>
      <c r="L831" s="1636"/>
      <c r="M831" s="1592"/>
      <c r="N831" s="1592"/>
      <c r="O831" s="1592"/>
      <c r="P831" s="1592"/>
      <c r="Q831" s="1592">
        <v>12</v>
      </c>
      <c r="R831" s="1592"/>
      <c r="S831" s="1592"/>
      <c r="T831" s="1592"/>
      <c r="U831" s="1592">
        <v>12</v>
      </c>
      <c r="V831" s="1592"/>
      <c r="W831" s="1592"/>
      <c r="X831" s="1592"/>
      <c r="Y831" s="1592">
        <v>12</v>
      </c>
      <c r="Z831" s="1592"/>
      <c r="AA831" s="1592"/>
      <c r="AB831" s="1592"/>
      <c r="AC831" s="1492">
        <v>12</v>
      </c>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39" t="s">
        <v>124</v>
      </c>
      <c r="D832" s="1440"/>
      <c r="E832" s="1440"/>
      <c r="F832" s="1440"/>
      <c r="G832" s="1440"/>
      <c r="H832" s="1440"/>
      <c r="I832" s="1440"/>
      <c r="J832" s="1440"/>
      <c r="K832" s="1440"/>
      <c r="L832" s="1442"/>
      <c r="M832" s="1642">
        <f>SUM(M825:P831)</f>
        <v>0</v>
      </c>
      <c r="N832" s="1642"/>
      <c r="O832" s="1642"/>
      <c r="P832" s="1642"/>
      <c r="Q832" s="1642">
        <f>SUM(Q825:T831)</f>
        <v>12</v>
      </c>
      <c r="R832" s="1642"/>
      <c r="S832" s="1642"/>
      <c r="T832" s="1642"/>
      <c r="U832" s="1642">
        <f>SUM(U825:X831)</f>
        <v>12</v>
      </c>
      <c r="V832" s="1642"/>
      <c r="W832" s="1642"/>
      <c r="X832" s="1642"/>
      <c r="Y832" s="1642">
        <f>SUM(Y825:AB831)</f>
        <v>12</v>
      </c>
      <c r="Z832" s="1642"/>
      <c r="AA832" s="1642"/>
      <c r="AB832" s="1642"/>
      <c r="AC832" s="1642">
        <f>SUM(AC825:AF831)</f>
        <v>12</v>
      </c>
      <c r="AD832" s="1642"/>
      <c r="AE832" s="1642"/>
      <c r="AF832" s="1642"/>
      <c r="AG832" s="1642">
        <f>SUM(AG825:AJ831)</f>
        <v>0</v>
      </c>
      <c r="AH832" s="1642"/>
      <c r="AI832" s="1642"/>
      <c r="AJ832" s="1642"/>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48" t="s">
        <v>2703</v>
      </c>
      <c r="D837" s="1649"/>
      <c r="E837" s="1649"/>
      <c r="F837" s="1649"/>
      <c r="G837" s="1649"/>
      <c r="H837" s="1649"/>
      <c r="I837" s="1649"/>
      <c r="J837" s="1649"/>
      <c r="K837" s="1649"/>
      <c r="L837" s="1649"/>
      <c r="M837" s="1649"/>
      <c r="N837" s="1649"/>
      <c r="O837" s="1649"/>
      <c r="P837" s="1649"/>
      <c r="Q837" s="1649"/>
      <c r="R837" s="1649"/>
      <c r="S837" s="1649"/>
      <c r="T837" s="1649"/>
      <c r="U837" s="1649"/>
      <c r="V837" s="1649"/>
      <c r="W837" s="1649"/>
      <c r="X837" s="1649"/>
      <c r="Y837" s="1649"/>
      <c r="Z837" s="1649"/>
      <c r="AA837" s="1649"/>
      <c r="AB837" s="1649"/>
      <c r="AC837" s="1649"/>
      <c r="AD837" s="1649"/>
      <c r="AE837" s="1649"/>
      <c r="AF837" s="1649"/>
      <c r="AG837" s="1649"/>
      <c r="AH837" s="1649"/>
      <c r="AI837" s="1649"/>
      <c r="AJ837" s="1650"/>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6"/>
      <c r="BJ841" s="1656"/>
      <c r="BK841" s="1656"/>
      <c r="BL841" s="1656"/>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31">
        <v>500</v>
      </c>
      <c r="X842" s="1631"/>
      <c r="Y842" s="1631"/>
      <c r="Z842" s="1631"/>
      <c r="AA842" s="1631"/>
      <c r="AB842" s="1631"/>
      <c r="AC842" s="1631"/>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31">
        <v>5000</v>
      </c>
      <c r="X843" s="1631"/>
      <c r="Y843" s="1631"/>
      <c r="Z843" s="1631"/>
      <c r="AA843" s="1631"/>
      <c r="AB843" s="1631"/>
      <c r="AC843" s="1631"/>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31">
        <v>10000</v>
      </c>
      <c r="X844" s="1631"/>
      <c r="Y844" s="1631"/>
      <c r="Z844" s="1631"/>
      <c r="AA844" s="1631"/>
      <c r="AB844" s="1631"/>
      <c r="AC844" s="1631"/>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31">
        <v>15000</v>
      </c>
      <c r="X845" s="1631"/>
      <c r="Y845" s="1631"/>
      <c r="Z845" s="1631"/>
      <c r="AA845" s="1631"/>
      <c r="AB845" s="1631"/>
      <c r="AC845" s="1631"/>
      <c r="AZ845" s="30"/>
      <c r="BA845" s="30"/>
      <c r="BB845" s="14"/>
      <c r="BC845" s="14"/>
      <c r="BD845" s="14"/>
      <c r="BE845" s="14"/>
      <c r="BF845" s="14"/>
      <c r="BG845" s="14"/>
      <c r="BH845" s="14"/>
      <c r="BI845" s="14"/>
      <c r="BJ845" s="14"/>
      <c r="BK845" s="14"/>
      <c r="BL845" s="14"/>
    </row>
    <row r="846" spans="1:64" ht="12.9" customHeight="1">
      <c r="J846" s="45" t="s">
        <v>170</v>
      </c>
      <c r="K846" s="5"/>
      <c r="L846" s="5"/>
      <c r="M846" s="1635" t="s">
        <v>334</v>
      </c>
      <c r="N846" s="1636"/>
      <c r="O846" s="1636"/>
      <c r="P846" s="1636"/>
      <c r="Q846" s="1636"/>
      <c r="R846" s="1636"/>
      <c r="S846" s="1636"/>
      <c r="T846" s="1636"/>
      <c r="U846" s="1636"/>
      <c r="V846" s="1637"/>
      <c r="W846" s="1631"/>
      <c r="X846" s="1631"/>
      <c r="Y846" s="1631"/>
      <c r="Z846" s="1631"/>
      <c r="AA846" s="1631"/>
      <c r="AB846" s="1631"/>
      <c r="AC846" s="1631"/>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4">
        <f>SUM(W842:W846)</f>
        <v>30500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6"/>
      <c r="BH848" s="1626"/>
      <c r="BI848" s="1626"/>
      <c r="BJ848" s="1626"/>
      <c r="BK848" s="1626"/>
      <c r="BL848" s="1626"/>
    </row>
    <row r="849" spans="3:55" ht="12.9" customHeight="1">
      <c r="C849" s="2" t="s">
        <v>344</v>
      </c>
      <c r="J849" s="1439" t="s">
        <v>345</v>
      </c>
      <c r="K849" s="1440"/>
      <c r="L849" s="1440"/>
      <c r="M849" s="1440"/>
      <c r="N849" s="1440"/>
      <c r="O849" s="1440"/>
      <c r="P849" s="1440"/>
      <c r="Q849" s="1440"/>
      <c r="R849" s="1440"/>
      <c r="S849" s="1440"/>
      <c r="T849" s="1440"/>
      <c r="U849" s="1440"/>
      <c r="V849" s="1442"/>
      <c r="W849" s="1477">
        <v>86376</v>
      </c>
      <c r="X849" s="1345"/>
      <c r="Y849" s="1345"/>
      <c r="Z849" s="1345"/>
      <c r="AA849" s="1345"/>
      <c r="AB849" s="1345"/>
      <c r="AC849" s="1346"/>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46"/>
      <c r="X851" s="1646"/>
      <c r="Y851" s="1646"/>
      <c r="Z851" s="1646"/>
      <c r="AA851" s="1646"/>
      <c r="AB851" s="1646"/>
      <c r="AC851" s="1646"/>
      <c r="AZ851" s="1612"/>
      <c r="BA851" s="1612"/>
      <c r="BB851" s="14"/>
      <c r="BC851" s="14"/>
    </row>
    <row r="852" spans="3:55" ht="12.9" customHeight="1">
      <c r="J852" s="45" t="s">
        <v>351</v>
      </c>
      <c r="K852" s="5"/>
      <c r="L852" s="5"/>
      <c r="M852" s="5"/>
      <c r="N852" s="5"/>
      <c r="O852" s="5"/>
      <c r="P852" s="5"/>
      <c r="Q852" s="5"/>
      <c r="R852" s="5"/>
      <c r="S852" s="5"/>
      <c r="T852" s="5"/>
      <c r="U852" s="5"/>
      <c r="V852" s="46"/>
      <c r="W852" s="1646"/>
      <c r="X852" s="1646"/>
      <c r="Y852" s="1646"/>
      <c r="Z852" s="1646"/>
      <c r="AA852" s="1646"/>
      <c r="AB852" s="1646"/>
      <c r="AC852" s="1646"/>
      <c r="AZ852" s="30"/>
      <c r="BA852" s="30"/>
      <c r="BB852" s="14"/>
      <c r="BC852" s="14"/>
    </row>
    <row r="853" spans="3:55" ht="12.9" customHeight="1">
      <c r="J853" s="45" t="s">
        <v>460</v>
      </c>
      <c r="K853" s="5"/>
      <c r="L853" s="5"/>
      <c r="M853" s="5"/>
      <c r="N853" s="5"/>
      <c r="O853" s="5"/>
      <c r="P853" s="5"/>
      <c r="Q853" s="5"/>
      <c r="R853" s="5"/>
      <c r="S853" s="5"/>
      <c r="T853" s="5"/>
      <c r="U853" s="5"/>
      <c r="V853" s="46"/>
      <c r="W853" s="1646">
        <v>80000</v>
      </c>
      <c r="X853" s="1646"/>
      <c r="Y853" s="1646"/>
      <c r="Z853" s="1646"/>
      <c r="AA853" s="1646"/>
      <c r="AB853" s="1646"/>
      <c r="AC853" s="1646"/>
      <c r="AZ853" s="30"/>
      <c r="BA853" s="30"/>
      <c r="BB853" s="14"/>
      <c r="BC853" s="14"/>
    </row>
    <row r="854" spans="3:55" ht="12.9" customHeight="1">
      <c r="J854" s="62" t="s">
        <v>621</v>
      </c>
      <c r="K854" s="5"/>
      <c r="L854" s="5"/>
      <c r="M854" s="5"/>
      <c r="N854" s="5"/>
      <c r="O854" s="5"/>
      <c r="P854" s="5"/>
      <c r="Q854" s="5"/>
      <c r="R854" s="5"/>
      <c r="S854" s="5"/>
      <c r="T854" s="5"/>
      <c r="U854" s="5"/>
      <c r="V854" s="46"/>
      <c r="W854" s="1646">
        <v>100000</v>
      </c>
      <c r="X854" s="1646"/>
      <c r="Y854" s="1646"/>
      <c r="Z854" s="1646"/>
      <c r="AA854" s="1646"/>
      <c r="AB854" s="1646"/>
      <c r="AC854" s="1646"/>
      <c r="AZ854" s="34"/>
      <c r="BA854" s="34"/>
      <c r="BB854" s="34"/>
      <c r="BC854" s="34"/>
    </row>
    <row r="855" spans="3:55" ht="12.9" customHeight="1">
      <c r="J855" s="63"/>
      <c r="K855" s="48"/>
      <c r="L855" s="48"/>
      <c r="M855" s="48"/>
      <c r="N855" s="48"/>
      <c r="O855" s="48"/>
      <c r="P855" s="48"/>
      <c r="Q855" s="48"/>
      <c r="R855" s="48"/>
      <c r="S855" s="48"/>
      <c r="T855" s="48"/>
      <c r="U855" s="48"/>
      <c r="V855" s="54" t="s">
        <v>272</v>
      </c>
      <c r="W855" s="1647">
        <f>SUM(W851:W854)</f>
        <v>180000</v>
      </c>
      <c r="X855" s="1647"/>
      <c r="Y855" s="1647"/>
      <c r="Z855" s="1647"/>
      <c r="AA855" s="1647"/>
      <c r="AB855" s="1647"/>
      <c r="AC855" s="1647"/>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43">
        <v>81670</v>
      </c>
      <c r="X857" s="1644"/>
      <c r="Y857" s="1644"/>
      <c r="Z857" s="1644"/>
      <c r="AA857" s="1644"/>
      <c r="AB857" s="1644"/>
      <c r="AC857" s="1645"/>
      <c r="AD857" s="528"/>
      <c r="AZ857" s="34"/>
      <c r="BA857" s="34"/>
      <c r="BB857" s="34"/>
      <c r="BC857" s="34"/>
    </row>
    <row r="858" spans="3:55" ht="12.9" customHeight="1">
      <c r="C858" s="2" t="s">
        <v>347</v>
      </c>
      <c r="J858" s="121" t="s">
        <v>1656</v>
      </c>
      <c r="K858" s="5"/>
      <c r="L858" s="5"/>
      <c r="M858" s="5"/>
      <c r="N858" s="5"/>
      <c r="O858" s="5"/>
      <c r="P858" s="5"/>
      <c r="Q858" s="5"/>
      <c r="R858" s="5"/>
      <c r="S858" s="5"/>
      <c r="T858" s="1628"/>
      <c r="U858" s="1629"/>
      <c r="V858" s="1630"/>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43"/>
      <c r="X859" s="1644"/>
      <c r="Y859" s="1644"/>
      <c r="Z859" s="1644"/>
      <c r="AA859" s="1644"/>
      <c r="AB859" s="1644"/>
      <c r="AC859" s="1645"/>
      <c r="AD859" s="533"/>
      <c r="AZ859" s="34"/>
      <c r="BA859" s="34"/>
      <c r="BB859" s="34"/>
      <c r="BC859" s="34"/>
    </row>
    <row r="860" spans="3:55" ht="12.9" customHeight="1">
      <c r="C860" s="2"/>
      <c r="J860" s="121" t="s">
        <v>1657</v>
      </c>
      <c r="K860" s="5"/>
      <c r="L860" s="5"/>
      <c r="M860" s="5"/>
      <c r="N860" s="5"/>
      <c r="O860" s="5"/>
      <c r="P860" s="5"/>
      <c r="Q860" s="5"/>
      <c r="R860" s="5"/>
      <c r="S860" s="5"/>
      <c r="T860" s="1628"/>
      <c r="U860" s="1629"/>
      <c r="V860" s="1630"/>
      <c r="W860" s="874"/>
      <c r="X860" s="875"/>
      <c r="Y860" s="875"/>
      <c r="Z860" s="875"/>
      <c r="AA860" s="875"/>
      <c r="AB860" s="875"/>
      <c r="AC860" s="876"/>
      <c r="AD860" s="533"/>
      <c r="AZ860" s="34"/>
      <c r="BA860" s="34"/>
      <c r="BB860" s="34"/>
      <c r="BC860" s="34"/>
    </row>
    <row r="861" spans="3:55" ht="12.9" customHeight="1">
      <c r="J861" s="45" t="s">
        <v>170</v>
      </c>
      <c r="K861" s="5"/>
      <c r="L861" s="5"/>
      <c r="M861" s="1635" t="s">
        <v>334</v>
      </c>
      <c r="N861" s="1636"/>
      <c r="O861" s="1636"/>
      <c r="P861" s="1636"/>
      <c r="Q861" s="1636"/>
      <c r="R861" s="1636"/>
      <c r="S861" s="1636"/>
      <c r="T861" s="1636"/>
      <c r="U861" s="1636"/>
      <c r="V861" s="1637"/>
      <c r="W861" s="1643"/>
      <c r="X861" s="1644"/>
      <c r="Y861" s="1644"/>
      <c r="Z861" s="1644"/>
      <c r="AA861" s="1644"/>
      <c r="AB861" s="1644"/>
      <c r="AC861" s="1645"/>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32">
        <f>SUM(W857:W861)</f>
        <v>81670</v>
      </c>
      <c r="X862" s="1633"/>
      <c r="Y862" s="1633"/>
      <c r="Z862" s="1633"/>
      <c r="AA862" s="1633"/>
      <c r="AB862" s="1633"/>
      <c r="AC862" s="1634"/>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43">
        <v>108104</v>
      </c>
      <c r="X863" s="1644"/>
      <c r="Y863" s="1644"/>
      <c r="Z863" s="1644"/>
      <c r="AA863" s="1644"/>
      <c r="AB863" s="1644"/>
      <c r="AC863" s="1645"/>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631">
        <v>4000</v>
      </c>
      <c r="X865" s="1631"/>
      <c r="Y865" s="1631"/>
      <c r="Z865" s="1631"/>
      <c r="AA865" s="1631"/>
      <c r="AB865" s="1631"/>
      <c r="AC865" s="1631"/>
      <c r="AU865" s="14"/>
      <c r="AZ865" s="34"/>
      <c r="BA865" s="34"/>
      <c r="BB865" s="34"/>
      <c r="BC865" s="34"/>
    </row>
    <row r="866" spans="3:55" ht="12.9" customHeight="1">
      <c r="J866" s="45" t="s">
        <v>523</v>
      </c>
      <c r="K866" s="5"/>
      <c r="L866" s="5"/>
      <c r="M866" s="5"/>
      <c r="N866" s="5"/>
      <c r="O866" s="5"/>
      <c r="P866" s="5"/>
      <c r="Q866" s="5"/>
      <c r="R866" s="5"/>
      <c r="S866" s="5"/>
      <c r="T866" s="5"/>
      <c r="U866" s="5"/>
      <c r="V866" s="46"/>
      <c r="W866" s="1631">
        <v>30000</v>
      </c>
      <c r="X866" s="1631"/>
      <c r="Y866" s="1631"/>
      <c r="Z866" s="1631"/>
      <c r="AA866" s="1631"/>
      <c r="AB866" s="1631"/>
      <c r="AC866" s="1631"/>
      <c r="AU866" s="4"/>
      <c r="AZ866" s="34"/>
      <c r="BA866" s="34"/>
      <c r="BB866" s="34"/>
      <c r="BC866" s="34"/>
    </row>
    <row r="867" spans="3:55" ht="12.9" customHeight="1">
      <c r="J867" s="45" t="s">
        <v>522</v>
      </c>
      <c r="K867" s="5"/>
      <c r="L867" s="5"/>
      <c r="M867" s="5"/>
      <c r="N867" s="5"/>
      <c r="O867" s="5"/>
      <c r="P867" s="5"/>
      <c r="Q867" s="5"/>
      <c r="R867" s="5"/>
      <c r="S867" s="5"/>
      <c r="T867" s="5"/>
      <c r="U867" s="5"/>
      <c r="V867" s="46"/>
      <c r="W867" s="1631">
        <v>35000</v>
      </c>
      <c r="X867" s="1631"/>
      <c r="Y867" s="1631"/>
      <c r="Z867" s="1631"/>
      <c r="AA867" s="1631"/>
      <c r="AB867" s="1631"/>
      <c r="AC867" s="1631"/>
      <c r="AU867" s="4"/>
      <c r="AZ867" s="34"/>
      <c r="BA867" s="34"/>
      <c r="BB867" s="34"/>
      <c r="BC867" s="34"/>
    </row>
    <row r="868" spans="3:55" ht="12.9" customHeight="1">
      <c r="J868" s="45" t="s">
        <v>521</v>
      </c>
      <c r="K868" s="5"/>
      <c r="L868" s="5"/>
      <c r="M868" s="5"/>
      <c r="N868" s="5"/>
      <c r="O868" s="5"/>
      <c r="P868" s="5"/>
      <c r="Q868" s="5"/>
      <c r="R868" s="5"/>
      <c r="S868" s="5"/>
      <c r="T868" s="5"/>
      <c r="U868" s="5"/>
      <c r="V868" s="46"/>
      <c r="W868" s="1631">
        <v>10610</v>
      </c>
      <c r="X868" s="1631"/>
      <c r="Y868" s="1631"/>
      <c r="Z868" s="1631"/>
      <c r="AA868" s="1631"/>
      <c r="AB868" s="1631"/>
      <c r="AC868" s="1631"/>
      <c r="AU868" s="4"/>
      <c r="AZ868" s="34"/>
      <c r="BA868" s="34"/>
      <c r="BB868" s="34"/>
      <c r="BC868" s="34"/>
    </row>
    <row r="869" spans="3:55" ht="12.9" customHeight="1">
      <c r="J869" s="45" t="s">
        <v>520</v>
      </c>
      <c r="K869" s="5"/>
      <c r="L869" s="5"/>
      <c r="M869" s="5"/>
      <c r="N869" s="5"/>
      <c r="O869" s="5"/>
      <c r="P869" s="5"/>
      <c r="Q869" s="5"/>
      <c r="R869" s="5"/>
      <c r="S869" s="5"/>
      <c r="T869" s="5"/>
      <c r="U869" s="5"/>
      <c r="V869" s="46"/>
      <c r="W869" s="1631">
        <v>10000</v>
      </c>
      <c r="X869" s="1631"/>
      <c r="Y869" s="1631"/>
      <c r="Z869" s="1631"/>
      <c r="AA869" s="1631"/>
      <c r="AB869" s="1631"/>
      <c r="AC869" s="1631"/>
      <c r="AU869" s="4"/>
      <c r="AZ869" s="34"/>
      <c r="BA869" s="34"/>
      <c r="BB869" s="34"/>
      <c r="BC869" s="34"/>
    </row>
    <row r="870" spans="3:55" ht="12.9" customHeight="1">
      <c r="J870" s="45" t="s">
        <v>519</v>
      </c>
      <c r="K870" s="5"/>
      <c r="L870" s="5"/>
      <c r="M870" s="5"/>
      <c r="N870" s="5"/>
      <c r="O870" s="5"/>
      <c r="P870" s="5"/>
      <c r="Q870" s="5"/>
      <c r="R870" s="5"/>
      <c r="S870" s="5"/>
      <c r="T870" s="5"/>
      <c r="U870" s="5"/>
      <c r="V870" s="46"/>
      <c r="W870" s="1631"/>
      <c r="X870" s="1631"/>
      <c r="Y870" s="1631"/>
      <c r="Z870" s="1631"/>
      <c r="AA870" s="1631"/>
      <c r="AB870" s="1631"/>
      <c r="AC870" s="1631"/>
      <c r="AU870" s="4"/>
      <c r="AZ870" s="34"/>
      <c r="BA870" s="34"/>
      <c r="BB870" s="34"/>
      <c r="BC870" s="34"/>
    </row>
    <row r="871" spans="3:55" ht="12.9" customHeight="1">
      <c r="J871" s="45" t="s">
        <v>170</v>
      </c>
      <c r="K871" s="5"/>
      <c r="L871" s="5"/>
      <c r="M871" s="1635" t="s">
        <v>334</v>
      </c>
      <c r="N871" s="1636"/>
      <c r="O871" s="1636"/>
      <c r="P871" s="1636"/>
      <c r="Q871" s="1636"/>
      <c r="R871" s="1636"/>
      <c r="S871" s="1636"/>
      <c r="T871" s="1636"/>
      <c r="U871" s="1636"/>
      <c r="V871" s="1637"/>
      <c r="W871" s="1631"/>
      <c r="X871" s="1631"/>
      <c r="Y871" s="1631"/>
      <c r="Z871" s="1631"/>
      <c r="AA871" s="1631"/>
      <c r="AB871" s="1631"/>
      <c r="AC871" s="1631"/>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593">
        <f>SUM(W865:W871)</f>
        <v>89610</v>
      </c>
      <c r="X872" s="1593"/>
      <c r="Y872" s="1593"/>
      <c r="Z872" s="1593"/>
      <c r="AA872" s="1593"/>
      <c r="AB872" s="1593"/>
      <c r="AC872" s="1593"/>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1244</v>
      </c>
      <c r="J874" s="45" t="s">
        <v>170</v>
      </c>
      <c r="K874" s="5"/>
      <c r="L874" s="5"/>
      <c r="M874" s="1635" t="s">
        <v>334</v>
      </c>
      <c r="N874" s="1636"/>
      <c r="O874" s="1636"/>
      <c r="P874" s="1636"/>
      <c r="Q874" s="1636"/>
      <c r="R874" s="1636"/>
      <c r="S874" s="1636"/>
      <c r="T874" s="1636"/>
      <c r="U874" s="1636"/>
      <c r="V874" s="1637"/>
      <c r="W874" s="1477"/>
      <c r="X874" s="1345"/>
      <c r="Y874" s="1345"/>
      <c r="Z874" s="1345"/>
      <c r="AA874" s="1345"/>
      <c r="AB874" s="1345"/>
      <c r="AC874" s="1346"/>
      <c r="AD874" s="533"/>
      <c r="AV874" s="14"/>
      <c r="AW874" s="14"/>
      <c r="AX874" s="14"/>
      <c r="AY874" s="14"/>
      <c r="AZ874" s="34"/>
      <c r="BA874" s="34"/>
      <c r="BB874" s="34"/>
      <c r="BC874" s="34"/>
    </row>
    <row r="875" spans="3:55" ht="12.9" customHeight="1">
      <c r="C875" s="2" t="s">
        <v>1245</v>
      </c>
      <c r="J875" s="45" t="s">
        <v>170</v>
      </c>
      <c r="K875" s="5"/>
      <c r="L875" s="5"/>
      <c r="M875" s="1635" t="s">
        <v>334</v>
      </c>
      <c r="N875" s="1636"/>
      <c r="O875" s="1636"/>
      <c r="P875" s="1636"/>
      <c r="Q875" s="1636"/>
      <c r="R875" s="1636"/>
      <c r="S875" s="1636"/>
      <c r="T875" s="1636"/>
      <c r="U875" s="1636"/>
      <c r="V875" s="1637"/>
      <c r="W875" s="1477"/>
      <c r="X875" s="1345"/>
      <c r="Y875" s="1345"/>
      <c r="Z875" s="1345"/>
      <c r="AA875" s="1345"/>
      <c r="AB875" s="1345"/>
      <c r="AC875" s="1346"/>
      <c r="AD875" s="533"/>
      <c r="AV875" s="14"/>
      <c r="AW875" s="14"/>
      <c r="AX875" s="14"/>
      <c r="AY875" s="14"/>
      <c r="AZ875" s="34"/>
      <c r="BA875" s="34"/>
      <c r="BB875" s="34"/>
      <c r="BC875" s="34"/>
    </row>
    <row r="876" spans="3:55" ht="12.9" customHeight="1">
      <c r="J876" s="45" t="s">
        <v>170</v>
      </c>
      <c r="K876" s="5"/>
      <c r="L876" s="5"/>
      <c r="M876" s="1635" t="s">
        <v>334</v>
      </c>
      <c r="N876" s="1636"/>
      <c r="O876" s="1636"/>
      <c r="P876" s="1636"/>
      <c r="Q876" s="1636"/>
      <c r="R876" s="1636"/>
      <c r="S876" s="1636"/>
      <c r="T876" s="1636"/>
      <c r="U876" s="1636"/>
      <c r="V876" s="1637"/>
      <c r="W876" s="1477"/>
      <c r="X876" s="1345"/>
      <c r="Y876" s="1345"/>
      <c r="Z876" s="1345"/>
      <c r="AA876" s="1345"/>
      <c r="AB876" s="1345"/>
      <c r="AC876" s="1346"/>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35" t="s">
        <v>334</v>
      </c>
      <c r="N877" s="1636"/>
      <c r="O877" s="1636"/>
      <c r="P877" s="1636"/>
      <c r="Q877" s="1636"/>
      <c r="R877" s="1636"/>
      <c r="S877" s="1636"/>
      <c r="T877" s="1636"/>
      <c r="U877" s="1636"/>
      <c r="V877" s="1637"/>
      <c r="W877" s="1477"/>
      <c r="X877" s="1345"/>
      <c r="Y877" s="1345"/>
      <c r="Z877" s="1345"/>
      <c r="AA877" s="1345"/>
      <c r="AB877" s="1345"/>
      <c r="AC877" s="1346"/>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35" t="s">
        <v>334</v>
      </c>
      <c r="N878" s="1636"/>
      <c r="O878" s="1636"/>
      <c r="P878" s="1636"/>
      <c r="Q878" s="1636"/>
      <c r="R878" s="1636"/>
      <c r="S878" s="1636"/>
      <c r="T878" s="1636"/>
      <c r="U878" s="1636"/>
      <c r="V878" s="1637"/>
      <c r="W878" s="1477"/>
      <c r="X878" s="1345"/>
      <c r="Y878" s="1345"/>
      <c r="Z878" s="1345"/>
      <c r="AA878" s="1345"/>
      <c r="AB878" s="1345"/>
      <c r="AC878" s="1346"/>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576260</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38">
        <f>O797+O777+G753</f>
        <v>120</v>
      </c>
      <c r="AD884" s="1638"/>
      <c r="AE884" s="1638"/>
      <c r="AF884" s="1638"/>
      <c r="AG884" s="1638"/>
      <c r="AH884" s="1639"/>
      <c r="AL884" s="4"/>
      <c r="AM884" s="4"/>
      <c r="AN884" s="4"/>
      <c r="AO884" s="4"/>
      <c r="AP884" s="4"/>
      <c r="AQ884" s="4"/>
      <c r="AR884" s="4"/>
      <c r="AS884" s="4"/>
      <c r="AT884" s="4"/>
      <c r="AZ884" s="34"/>
      <c r="BA884" s="34"/>
      <c r="BB884" s="34"/>
      <c r="BC884" s="34"/>
    </row>
    <row r="885" spans="3:55" ht="12.9"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593">
        <f>IF(ISERROR((ROUNDDOWN(AC883/AC884,0))),0,(ROUNDDOWN(AC883/AC884,0)))</f>
        <v>4802</v>
      </c>
      <c r="AD885" s="1593"/>
      <c r="AE885" s="1593"/>
      <c r="AF885" s="1593"/>
      <c r="AG885" s="1593"/>
      <c r="AH885" s="1593"/>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0">
        <f>+'Sources and Uses Budget'!C75</f>
        <v>333471</v>
      </c>
      <c r="AD886" s="1641"/>
      <c r="AE886" s="1641"/>
      <c r="AF886" s="1641"/>
      <c r="AG886" s="1641"/>
      <c r="AH886" s="1641"/>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6"/>
      <c r="AD887" s="1631"/>
      <c r="AE887" s="1631"/>
      <c r="AF887" s="1631"/>
      <c r="AG887" s="1631"/>
      <c r="AH887" s="1631"/>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5">
        <v>22800</v>
      </c>
      <c r="AD888" s="1345"/>
      <c r="AE888" s="1345"/>
      <c r="AF888" s="1345"/>
      <c r="AG888" s="1345"/>
      <c r="AH888" s="1346"/>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5">
        <v>30000</v>
      </c>
      <c r="AD889" s="1345"/>
      <c r="AE889" s="1345"/>
      <c r="AF889" s="1345"/>
      <c r="AG889" s="1345"/>
      <c r="AH889" s="1346"/>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c r="AD890" s="1493"/>
      <c r="AE890" s="1493"/>
      <c r="AF890" s="1493"/>
      <c r="AG890" s="1493"/>
      <c r="AH890" s="1494"/>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5"/>
      <c r="AD891" s="1345"/>
      <c r="AE891" s="1345"/>
      <c r="AF891" s="1345"/>
      <c r="AG891" s="1345"/>
      <c r="AH891" s="1346"/>
      <c r="AZ891" s="34"/>
      <c r="BA891" s="34"/>
      <c r="BB891" s="34"/>
      <c r="BC891" s="34"/>
    </row>
    <row r="892" spans="3:55" ht="12.9" hidden="1" customHeight="1">
      <c r="C892" s="1439" t="s">
        <v>2233</v>
      </c>
      <c r="D892" s="1440"/>
      <c r="E892" s="1440"/>
      <c r="F892" s="1440"/>
      <c r="G892" s="1440"/>
      <c r="H892" s="1440"/>
      <c r="I892" s="1440"/>
      <c r="J892" s="1440"/>
      <c r="K892" s="1440"/>
      <c r="L892" s="1440"/>
      <c r="M892" s="1440"/>
      <c r="N892" s="1440"/>
      <c r="O892" s="1440"/>
      <c r="P892" s="1440"/>
      <c r="Q892" s="1440"/>
      <c r="R892" s="1440"/>
      <c r="S892" s="1440"/>
      <c r="T892" s="1440"/>
      <c r="U892" s="1440"/>
      <c r="V892" s="1440"/>
      <c r="W892" s="1440"/>
      <c r="X892" s="1440"/>
      <c r="Y892" s="1440"/>
      <c r="Z892" s="1440"/>
      <c r="AA892" s="1440"/>
      <c r="AB892" s="1442"/>
      <c r="AC892" s="1345"/>
      <c r="AD892" s="1345"/>
      <c r="AE892" s="1345"/>
      <c r="AF892" s="1345"/>
      <c r="AG892" s="1345"/>
      <c r="AH892" s="1346"/>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45"/>
      <c r="AD893" s="1345"/>
      <c r="AE893" s="1345"/>
      <c r="AF893" s="1345"/>
      <c r="AG893" s="1345"/>
      <c r="AH893" s="1346"/>
      <c r="AZ893" s="34"/>
      <c r="BA893" s="34"/>
      <c r="BB893" s="34"/>
      <c r="BC893" s="34"/>
    </row>
    <row r="894" spans="3:55" ht="12.9" customHeight="1">
      <c r="C894" s="1659" t="s">
        <v>957</v>
      </c>
      <c r="D894" s="1660"/>
      <c r="E894" s="1660"/>
      <c r="F894" s="1660"/>
      <c r="G894" s="1660"/>
      <c r="H894" s="1660"/>
      <c r="I894" s="1660"/>
      <c r="J894" s="1660"/>
      <c r="K894" s="1660"/>
      <c r="L894" s="1660"/>
      <c r="M894" s="1660"/>
      <c r="N894" s="1660"/>
      <c r="O894" s="1660"/>
      <c r="P894" s="1660"/>
      <c r="Q894" s="1660"/>
      <c r="R894" s="1660"/>
      <c r="S894" s="1660"/>
      <c r="T894" s="1660"/>
      <c r="U894" s="1660"/>
      <c r="V894" s="1660"/>
      <c r="W894" s="1660"/>
      <c r="X894" s="1660"/>
      <c r="Y894" s="1660"/>
      <c r="Z894" s="1660"/>
      <c r="AA894" s="1660"/>
      <c r="AB894" s="1661"/>
      <c r="AC894" s="1631"/>
      <c r="AD894" s="1631"/>
      <c r="AE894" s="1631"/>
      <c r="AF894" s="1631"/>
      <c r="AG894" s="1631"/>
      <c r="AH894" s="1631"/>
      <c r="AZ894" s="34"/>
      <c r="BA894" s="34"/>
      <c r="BB894" s="34"/>
      <c r="BC894" s="34"/>
    </row>
    <row r="895" spans="3:55" ht="12.9" customHeight="1">
      <c r="C895" s="1659" t="s">
        <v>957</v>
      </c>
      <c r="D895" s="1660"/>
      <c r="E895" s="1660"/>
      <c r="F895" s="1660"/>
      <c r="G895" s="1660"/>
      <c r="H895" s="1660"/>
      <c r="I895" s="1660"/>
      <c r="J895" s="1660"/>
      <c r="K895" s="1660"/>
      <c r="L895" s="1660"/>
      <c r="M895" s="1660"/>
      <c r="N895" s="1660"/>
      <c r="O895" s="1660"/>
      <c r="P895" s="1660"/>
      <c r="Q895" s="1660"/>
      <c r="R895" s="1660"/>
      <c r="S895" s="1660"/>
      <c r="T895" s="1660"/>
      <c r="U895" s="1660"/>
      <c r="V895" s="1660"/>
      <c r="W895" s="1660"/>
      <c r="X895" s="1660"/>
      <c r="Y895" s="1660"/>
      <c r="Z895" s="1660"/>
      <c r="AA895" s="1660"/>
      <c r="AB895" s="1661"/>
      <c r="AC895" s="1631"/>
      <c r="AD895" s="1631"/>
      <c r="AE895" s="1631"/>
      <c r="AF895" s="1631"/>
      <c r="AG895" s="1631"/>
      <c r="AH895" s="1631"/>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7"/>
      <c r="AA899" s="1345"/>
      <c r="AB899" s="1345"/>
      <c r="AC899" s="1345"/>
      <c r="AD899" s="1345"/>
      <c r="AE899" s="1346"/>
      <c r="AF899" s="533"/>
      <c r="AZ899" s="34"/>
      <c r="BB899" s="30"/>
      <c r="BC899" s="816"/>
      <c r="BD899" s="1627"/>
      <c r="BE899" s="1627"/>
      <c r="BF899" s="14"/>
    </row>
    <row r="900" spans="1:58" ht="12.9" customHeight="1">
      <c r="H900" s="121" t="s">
        <v>239</v>
      </c>
      <c r="I900" s="5"/>
      <c r="J900" s="5"/>
      <c r="K900" s="5"/>
      <c r="L900" s="5"/>
      <c r="M900" s="5"/>
      <c r="N900" s="5"/>
      <c r="O900" s="5"/>
      <c r="P900" s="5"/>
      <c r="Q900" s="5"/>
      <c r="R900" s="5"/>
      <c r="S900" s="5"/>
      <c r="T900" s="5"/>
      <c r="U900" s="5"/>
      <c r="V900" s="5"/>
      <c r="W900" s="5"/>
      <c r="X900" s="5"/>
      <c r="Y900" s="5"/>
      <c r="Z900" s="1477"/>
      <c r="AA900" s="1345"/>
      <c r="AB900" s="1345"/>
      <c r="AC900" s="1345"/>
      <c r="AD900" s="1345"/>
      <c r="AE900" s="1346"/>
      <c r="AZ900" s="34"/>
      <c r="BB900" s="30"/>
      <c r="BC900" s="816"/>
      <c r="BD900" s="1627"/>
      <c r="BE900" s="1627"/>
      <c r="BF900" s="14"/>
    </row>
    <row r="901" spans="1:58" ht="12.9" customHeight="1">
      <c r="H901" s="121" t="s">
        <v>240</v>
      </c>
      <c r="I901" s="5"/>
      <c r="J901" s="5"/>
      <c r="K901" s="5"/>
      <c r="L901" s="5"/>
      <c r="M901" s="5"/>
      <c r="N901" s="5"/>
      <c r="O901" s="5"/>
      <c r="P901" s="5"/>
      <c r="Q901" s="5"/>
      <c r="R901" s="5"/>
      <c r="S901" s="5"/>
      <c r="T901" s="5"/>
      <c r="U901" s="5"/>
      <c r="V901" s="5"/>
      <c r="W901" s="5"/>
      <c r="X901" s="5"/>
      <c r="Y901" s="5"/>
      <c r="Z901" s="1477"/>
      <c r="AA901" s="1345"/>
      <c r="AB901" s="1345"/>
      <c r="AC901" s="1345"/>
      <c r="AD901" s="1345"/>
      <c r="AE901" s="1346"/>
      <c r="AZ901" s="34"/>
      <c r="BB901" s="30"/>
      <c r="BC901" s="816"/>
      <c r="BD901" s="1626"/>
      <c r="BE901" s="1626"/>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26"/>
      <c r="BE902" s="1626"/>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6"/>
      <c r="BE903" s="1626"/>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7"/>
      <c r="BE904" s="1626"/>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57"/>
      <c r="BE905" s="1657"/>
      <c r="BF905" s="1657"/>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6"/>
      <c r="BE906" s="1656"/>
      <c r="BF906" s="1656"/>
    </row>
    <row r="907" spans="1:58" ht="12.9"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6"/>
      <c r="BE907" s="1626"/>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7"/>
      <c r="BE908" s="1626"/>
      <c r="BF908" s="14"/>
    </row>
    <row r="909" spans="1:58" ht="12.9" customHeight="1">
      <c r="AZ909" s="34"/>
      <c r="BB909" s="30"/>
      <c r="BC909" s="816"/>
    </row>
    <row r="910" spans="1:58" ht="12.9"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27"/>
      <c r="BE910" s="1626"/>
      <c r="BF910" s="911"/>
    </row>
    <row r="911" spans="1:58" ht="12.9"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2" t="s">
        <v>793</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 customHeight="1">
      <c r="B916" s="2"/>
      <c r="F916" s="1756" t="s">
        <v>819</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27" t="s">
        <v>391</v>
      </c>
      <c r="AC917" s="1427"/>
      <c r="AD917" s="1427"/>
      <c r="AE917" s="1427"/>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620" t="s">
        <v>546</v>
      </c>
      <c r="V918" s="1337"/>
      <c r="W918" s="1337"/>
      <c r="X918" s="1337"/>
      <c r="Y918" s="1337"/>
      <c r="Z918" s="1338"/>
      <c r="AA918" s="1624">
        <f>+AM554</f>
        <v>11498640</v>
      </c>
      <c r="AB918" s="1527"/>
      <c r="AC918" s="1527"/>
      <c r="AD918" s="1527"/>
      <c r="AE918" s="1527"/>
      <c r="AF918" s="1625"/>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620" t="s">
        <v>546</v>
      </c>
      <c r="V919" s="1337"/>
      <c r="W919" s="1337"/>
      <c r="X919" s="1337"/>
      <c r="Y919" s="1337"/>
      <c r="Z919" s="1338"/>
      <c r="AA919" s="1624">
        <f>+AM555</f>
        <v>19169718</v>
      </c>
      <c r="AB919" s="1527"/>
      <c r="AC919" s="1527"/>
      <c r="AD919" s="1527"/>
      <c r="AE919" s="1527"/>
      <c r="AF919" s="1625"/>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620" t="s">
        <v>592</v>
      </c>
      <c r="V920" s="1337"/>
      <c r="W920" s="1337"/>
      <c r="X920" s="1337"/>
      <c r="Y920" s="1337"/>
      <c r="Z920" s="1338"/>
      <c r="AA920" s="1624"/>
      <c r="AB920" s="1527"/>
      <c r="AC920" s="1527"/>
      <c r="AD920" s="1527"/>
      <c r="AE920" s="1527"/>
      <c r="AF920" s="1625"/>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620" t="s">
        <v>592</v>
      </c>
      <c r="V921" s="1337"/>
      <c r="W921" s="1337"/>
      <c r="X921" s="1337"/>
      <c r="Y921" s="1337"/>
      <c r="Z921" s="1338"/>
      <c r="AA921" s="1624"/>
      <c r="AB921" s="1527"/>
      <c r="AC921" s="1527"/>
      <c r="AD921" s="1527"/>
      <c r="AE921" s="1527"/>
      <c r="AF921" s="1625"/>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620" t="s">
        <v>592</v>
      </c>
      <c r="V922" s="1337"/>
      <c r="W922" s="1337"/>
      <c r="X922" s="1337"/>
      <c r="Y922" s="1337"/>
      <c r="Z922" s="1338"/>
      <c r="AA922" s="1624"/>
      <c r="AB922" s="1527"/>
      <c r="AC922" s="1527"/>
      <c r="AD922" s="1527"/>
      <c r="AE922" s="1527"/>
      <c r="AF922" s="1625"/>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620" t="s">
        <v>592</v>
      </c>
      <c r="V923" s="1337"/>
      <c r="W923" s="1337"/>
      <c r="X923" s="1337"/>
      <c r="Y923" s="1337"/>
      <c r="Z923" s="1338"/>
      <c r="AA923" s="1624"/>
      <c r="AB923" s="1527"/>
      <c r="AC923" s="1527"/>
      <c r="AD923" s="1527"/>
      <c r="AE923" s="1527"/>
      <c r="AF923" s="1625"/>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620" t="s">
        <v>592</v>
      </c>
      <c r="V924" s="1337"/>
      <c r="W924" s="1337"/>
      <c r="X924" s="1337"/>
      <c r="Y924" s="1337"/>
      <c r="Z924" s="1338"/>
      <c r="AA924" s="1624"/>
      <c r="AB924" s="1527"/>
      <c r="AC924" s="1527"/>
      <c r="AD924" s="1527"/>
      <c r="AE924" s="1527"/>
      <c r="AF924" s="1625"/>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620" t="s">
        <v>592</v>
      </c>
      <c r="V925" s="1337"/>
      <c r="W925" s="1337"/>
      <c r="X925" s="1337"/>
      <c r="Y925" s="1337"/>
      <c r="Z925" s="1338"/>
      <c r="AA925" s="1624"/>
      <c r="AB925" s="1527"/>
      <c r="AC925" s="1527"/>
      <c r="AD925" s="1527"/>
      <c r="AE925" s="1527"/>
      <c r="AF925" s="1625"/>
      <c r="AZ925" s="34"/>
      <c r="BA925" s="34"/>
      <c r="BB925" s="34"/>
      <c r="BC925" s="34"/>
    </row>
    <row r="926" spans="1:58" ht="12.9" customHeight="1">
      <c r="F926" s="1617" t="s">
        <v>2193</v>
      </c>
      <c r="G926" s="1618"/>
      <c r="H926" s="1618"/>
      <c r="I926" s="1618"/>
      <c r="J926" s="1618"/>
      <c r="K926" s="1618"/>
      <c r="L926" s="1618"/>
      <c r="M926" s="1618"/>
      <c r="N926" s="1618"/>
      <c r="O926" s="1618"/>
      <c r="P926" s="1618"/>
      <c r="Q926" s="1618"/>
      <c r="R926" s="1618"/>
      <c r="S926" s="1618"/>
      <c r="T926" s="1619"/>
      <c r="U926" s="1620" t="s">
        <v>592</v>
      </c>
      <c r="V926" s="1337"/>
      <c r="W926" s="1337"/>
      <c r="X926" s="1337"/>
      <c r="Y926" s="1337"/>
      <c r="Z926" s="1338"/>
      <c r="AA926" s="1624"/>
      <c r="AB926" s="1527"/>
      <c r="AC926" s="1527"/>
      <c r="AD926" s="1527"/>
      <c r="AE926" s="1527"/>
      <c r="AF926" s="1625"/>
      <c r="AZ926" s="34"/>
      <c r="BA926" s="34"/>
      <c r="BB926" s="34"/>
      <c r="BC926" s="34"/>
    </row>
    <row r="927" spans="1:58" ht="12.9" customHeight="1">
      <c r="F927" s="1617" t="s">
        <v>680</v>
      </c>
      <c r="G927" s="1618"/>
      <c r="H927" s="1618"/>
      <c r="I927" s="1618"/>
      <c r="J927" s="1618"/>
      <c r="K927" s="1618"/>
      <c r="L927" s="1618"/>
      <c r="M927" s="1618"/>
      <c r="N927" s="1618"/>
      <c r="O927" s="1618"/>
      <c r="P927" s="1618"/>
      <c r="Q927" s="1618"/>
      <c r="R927" s="1618"/>
      <c r="S927" s="1618"/>
      <c r="T927" s="1619"/>
      <c r="U927" s="1620" t="s">
        <v>592</v>
      </c>
      <c r="V927" s="1337"/>
      <c r="W927" s="1337"/>
      <c r="X927" s="1337"/>
      <c r="Y927" s="1337"/>
      <c r="Z927" s="1338"/>
      <c r="AA927" s="1624"/>
      <c r="AB927" s="1527"/>
      <c r="AC927" s="1527"/>
      <c r="AD927" s="1527"/>
      <c r="AE927" s="1527"/>
      <c r="AF927" s="1625"/>
      <c r="AU927" s="2"/>
      <c r="AZ927" s="34"/>
      <c r="BA927" s="34"/>
      <c r="BB927" s="34"/>
      <c r="BC927" s="34"/>
    </row>
    <row r="928" spans="1:58" ht="12.9" customHeight="1">
      <c r="F928" s="1617" t="s">
        <v>2194</v>
      </c>
      <c r="G928" s="1618"/>
      <c r="H928" s="1618"/>
      <c r="I928" s="1618"/>
      <c r="J928" s="1618"/>
      <c r="K928" s="1618"/>
      <c r="L928" s="1618"/>
      <c r="M928" s="1618"/>
      <c r="N928" s="1618"/>
      <c r="O928" s="1618"/>
      <c r="P928" s="1618"/>
      <c r="Q928" s="1618"/>
      <c r="R928" s="1618"/>
      <c r="S928" s="1618"/>
      <c r="T928" s="1619"/>
      <c r="U928" s="1620" t="s">
        <v>592</v>
      </c>
      <c r="V928" s="1337"/>
      <c r="W928" s="1337"/>
      <c r="X928" s="1337"/>
      <c r="Y928" s="1337"/>
      <c r="Z928" s="1338"/>
      <c r="AA928" s="1624"/>
      <c r="AB928" s="1527"/>
      <c r="AC928" s="1527"/>
      <c r="AD928" s="1527"/>
      <c r="AE928" s="1527"/>
      <c r="AF928" s="1625"/>
      <c r="AU928" s="2"/>
      <c r="AZ928" s="34"/>
      <c r="BA928" s="34"/>
      <c r="BB928" s="34"/>
      <c r="BC928" s="34"/>
    </row>
    <row r="929" spans="6:55" ht="12.9" customHeight="1">
      <c r="F929" s="1617" t="s">
        <v>2195</v>
      </c>
      <c r="G929" s="1618"/>
      <c r="H929" s="1618"/>
      <c r="I929" s="1618"/>
      <c r="J929" s="1618"/>
      <c r="K929" s="1618"/>
      <c r="L929" s="1618"/>
      <c r="M929" s="1618"/>
      <c r="N929" s="1618"/>
      <c r="O929" s="1618"/>
      <c r="P929" s="1618"/>
      <c r="Q929" s="1618"/>
      <c r="R929" s="1618"/>
      <c r="S929" s="1618"/>
      <c r="T929" s="1619"/>
      <c r="U929" s="1620" t="s">
        <v>592</v>
      </c>
      <c r="V929" s="1337"/>
      <c r="W929" s="1337"/>
      <c r="X929" s="1337"/>
      <c r="Y929" s="1337"/>
      <c r="Z929" s="1338"/>
      <c r="AA929" s="1624"/>
      <c r="AB929" s="1527"/>
      <c r="AC929" s="1527"/>
      <c r="AD929" s="1527"/>
      <c r="AE929" s="1527"/>
      <c r="AF929" s="1625"/>
      <c r="AU929" s="2"/>
      <c r="AZ929" s="34"/>
      <c r="BA929" s="34"/>
      <c r="BB929" s="34"/>
      <c r="BC929" s="34"/>
    </row>
    <row r="930" spans="6:55" ht="12.9" customHeight="1">
      <c r="F930" s="1617" t="s">
        <v>2196</v>
      </c>
      <c r="G930" s="1618"/>
      <c r="H930" s="1618"/>
      <c r="I930" s="1618"/>
      <c r="J930" s="1618"/>
      <c r="K930" s="1618"/>
      <c r="L930" s="1618"/>
      <c r="M930" s="1618"/>
      <c r="N930" s="1618"/>
      <c r="O930" s="1618"/>
      <c r="P930" s="1618"/>
      <c r="Q930" s="1618"/>
      <c r="R930" s="1618"/>
      <c r="S930" s="1618"/>
      <c r="T930" s="1619"/>
      <c r="U930" s="1620" t="s">
        <v>592</v>
      </c>
      <c r="V930" s="1337"/>
      <c r="W930" s="1337"/>
      <c r="X930" s="1337"/>
      <c r="Y930" s="1337"/>
      <c r="Z930" s="1338"/>
      <c r="AA930" s="1624"/>
      <c r="AB930" s="1527"/>
      <c r="AC930" s="1527"/>
      <c r="AD930" s="1527"/>
      <c r="AE930" s="1527"/>
      <c r="AF930" s="1625"/>
      <c r="AU930" s="2"/>
      <c r="AZ930" s="34"/>
      <c r="BA930" s="34"/>
      <c r="BB930" s="34"/>
      <c r="BC930" s="34"/>
    </row>
    <row r="931" spans="6:55" ht="12.9" customHeight="1">
      <c r="F931" s="1617" t="s">
        <v>2197</v>
      </c>
      <c r="G931" s="1618"/>
      <c r="H931" s="1618"/>
      <c r="I931" s="1618"/>
      <c r="J931" s="1618"/>
      <c r="K931" s="1618"/>
      <c r="L931" s="1618"/>
      <c r="M931" s="1618"/>
      <c r="N931" s="1618"/>
      <c r="O931" s="1618"/>
      <c r="P931" s="1618"/>
      <c r="Q931" s="1618"/>
      <c r="R931" s="1618"/>
      <c r="S931" s="1618"/>
      <c r="T931" s="1619"/>
      <c r="U931" s="1620" t="s">
        <v>592</v>
      </c>
      <c r="V931" s="1337"/>
      <c r="W931" s="1337"/>
      <c r="X931" s="1337"/>
      <c r="Y931" s="1337"/>
      <c r="Z931" s="1338"/>
      <c r="AA931" s="1624"/>
      <c r="AB931" s="1527"/>
      <c r="AC931" s="1527"/>
      <c r="AD931" s="1527"/>
      <c r="AE931" s="1527"/>
      <c r="AF931" s="1625"/>
      <c r="AU931" s="2"/>
      <c r="AZ931" s="34"/>
      <c r="BA931" s="34"/>
      <c r="BB931" s="34"/>
      <c r="BC931" s="34"/>
    </row>
    <row r="932" spans="6:55" ht="12.9" customHeight="1">
      <c r="F932" s="1617" t="s">
        <v>2198</v>
      </c>
      <c r="G932" s="1618"/>
      <c r="H932" s="1618"/>
      <c r="I932" s="1618"/>
      <c r="J932" s="1618"/>
      <c r="K932" s="1618"/>
      <c r="L932" s="1618"/>
      <c r="M932" s="1618"/>
      <c r="N932" s="1618"/>
      <c r="O932" s="1618"/>
      <c r="P932" s="1618"/>
      <c r="Q932" s="1618"/>
      <c r="R932" s="1618"/>
      <c r="S932" s="1618"/>
      <c r="T932" s="1619"/>
      <c r="U932" s="1620" t="s">
        <v>592</v>
      </c>
      <c r="V932" s="1337"/>
      <c r="W932" s="1337"/>
      <c r="X932" s="1337"/>
      <c r="Y932" s="1337"/>
      <c r="Z932" s="1338"/>
      <c r="AA932" s="1624"/>
      <c r="AB932" s="1527"/>
      <c r="AC932" s="1527"/>
      <c r="AD932" s="1527"/>
      <c r="AE932" s="1527"/>
      <c r="AF932" s="1625"/>
      <c r="AZ932" s="30"/>
      <c r="BA932" s="30"/>
    </row>
    <row r="933" spans="6:55" ht="12.9" customHeight="1">
      <c r="F933" s="178" t="s">
        <v>677</v>
      </c>
      <c r="G933" s="5"/>
      <c r="H933" s="5"/>
      <c r="I933" s="5"/>
      <c r="J933" s="5"/>
      <c r="K933" s="5"/>
      <c r="L933" s="5"/>
      <c r="M933" s="5"/>
      <c r="N933" s="5"/>
      <c r="O933" s="5"/>
      <c r="P933" s="5"/>
      <c r="Q933" s="5"/>
      <c r="R933" s="5"/>
      <c r="S933" s="5"/>
      <c r="T933" s="46"/>
      <c r="U933" s="1620" t="s">
        <v>592</v>
      </c>
      <c r="V933" s="1337"/>
      <c r="W933" s="1337"/>
      <c r="X933" s="1337"/>
      <c r="Y933" s="1337"/>
      <c r="Z933" s="1338"/>
      <c r="AA933" s="1624"/>
      <c r="AB933" s="1527"/>
      <c r="AC933" s="1527"/>
      <c r="AD933" s="1527"/>
      <c r="AE933" s="1527"/>
      <c r="AF933" s="1625"/>
    </row>
    <row r="934" spans="6:55" ht="12.9" customHeight="1">
      <c r="F934" s="121" t="s">
        <v>1278</v>
      </c>
      <c r="G934" s="5"/>
      <c r="H934" s="5"/>
      <c r="I934" s="5"/>
      <c r="J934" s="5"/>
      <c r="K934" s="5"/>
      <c r="L934" s="5"/>
      <c r="M934" s="5"/>
      <c r="N934" s="5"/>
      <c r="O934" s="5"/>
      <c r="P934" s="5"/>
      <c r="Q934" s="5"/>
      <c r="R934" s="5"/>
      <c r="S934" s="5"/>
      <c r="T934" s="46"/>
      <c r="U934" s="1620" t="s">
        <v>592</v>
      </c>
      <c r="V934" s="1337"/>
      <c r="W934" s="1337"/>
      <c r="X934" s="1337"/>
      <c r="Y934" s="1337"/>
      <c r="Z934" s="1338"/>
      <c r="AA934" s="1624"/>
      <c r="AB934" s="1527"/>
      <c r="AC934" s="1527"/>
      <c r="AD934" s="1527"/>
      <c r="AE934" s="1527"/>
      <c r="AF934" s="1625"/>
      <c r="AZ934" s="30"/>
      <c r="BA934" s="14"/>
    </row>
    <row r="935" spans="6:55" ht="12.9" customHeight="1">
      <c r="F935" s="66" t="s">
        <v>803</v>
      </c>
      <c r="G935" s="5"/>
      <c r="H935" s="5"/>
      <c r="I935" s="5"/>
      <c r="J935" s="5"/>
      <c r="K935" s="5"/>
      <c r="L935" s="5"/>
      <c r="M935" s="5"/>
      <c r="N935" s="5"/>
      <c r="O935" s="5"/>
      <c r="P935" s="5"/>
      <c r="Q935" s="5"/>
      <c r="R935" s="5"/>
      <c r="S935" s="5"/>
      <c r="T935" s="46"/>
      <c r="U935" s="1620" t="s">
        <v>592</v>
      </c>
      <c r="V935" s="1337"/>
      <c r="W935" s="1337"/>
      <c r="X935" s="1337"/>
      <c r="Y935" s="1337"/>
      <c r="Z935" s="1338"/>
      <c r="AA935" s="1624"/>
      <c r="AB935" s="1527"/>
      <c r="AC935" s="1527"/>
      <c r="AD935" s="1527"/>
      <c r="AE935" s="1527"/>
      <c r="AF935" s="1625"/>
      <c r="AZ935" s="30"/>
      <c r="BA935" s="14"/>
    </row>
    <row r="936" spans="6:55" ht="12.9" customHeight="1">
      <c r="F936" s="1621" t="s">
        <v>2202</v>
      </c>
      <c r="G936" s="1622"/>
      <c r="H936" s="1622"/>
      <c r="I936" s="1622"/>
      <c r="J936" s="1622"/>
      <c r="K936" s="1622"/>
      <c r="L936" s="1622"/>
      <c r="M936" s="1622"/>
      <c r="N936" s="1622"/>
      <c r="O936" s="1622"/>
      <c r="P936" s="1622"/>
      <c r="Q936" s="1622"/>
      <c r="R936" s="1622"/>
      <c r="S936" s="1622"/>
      <c r="T936" s="1623"/>
      <c r="U936" s="1620" t="s">
        <v>592</v>
      </c>
      <c r="V936" s="1337"/>
      <c r="W936" s="1337"/>
      <c r="X936" s="1337"/>
      <c r="Y936" s="1337"/>
      <c r="Z936" s="1338"/>
      <c r="AA936" s="1624"/>
      <c r="AB936" s="1527"/>
      <c r="AC936" s="1527"/>
      <c r="AD936" s="1527"/>
      <c r="AE936" s="1527"/>
      <c r="AF936" s="1625"/>
      <c r="AZ936" s="30"/>
      <c r="BA936" s="14"/>
    </row>
    <row r="937" spans="6:55" ht="12.9" customHeight="1">
      <c r="F937" s="1621" t="s">
        <v>2203</v>
      </c>
      <c r="G937" s="1622"/>
      <c r="H937" s="1622"/>
      <c r="I937" s="1622"/>
      <c r="J937" s="1622"/>
      <c r="K937" s="1622"/>
      <c r="L937" s="1622"/>
      <c r="M937" s="1622"/>
      <c r="N937" s="1622"/>
      <c r="O937" s="1622"/>
      <c r="P937" s="1622"/>
      <c r="Q937" s="1622"/>
      <c r="R937" s="1622"/>
      <c r="S937" s="1622"/>
      <c r="T937" s="1623"/>
      <c r="U937" s="1620" t="s">
        <v>592</v>
      </c>
      <c r="V937" s="1337"/>
      <c r="W937" s="1337"/>
      <c r="X937" s="1337"/>
      <c r="Y937" s="1337"/>
      <c r="Z937" s="1338"/>
      <c r="AA937" s="1624"/>
      <c r="AB937" s="1527"/>
      <c r="AC937" s="1527"/>
      <c r="AD937" s="1527"/>
      <c r="AE937" s="1527"/>
      <c r="AF937" s="1625"/>
      <c r="AZ937" s="30"/>
      <c r="BA937" s="30"/>
    </row>
    <row r="938" spans="6:55" ht="12.9" customHeight="1">
      <c r="F938" s="1617" t="s">
        <v>2199</v>
      </c>
      <c r="G938" s="1618"/>
      <c r="H938" s="1618"/>
      <c r="I938" s="1618"/>
      <c r="J938" s="1618"/>
      <c r="K938" s="1618"/>
      <c r="L938" s="1618"/>
      <c r="M938" s="1618"/>
      <c r="N938" s="1618"/>
      <c r="O938" s="1618"/>
      <c r="P938" s="1618"/>
      <c r="Q938" s="1618"/>
      <c r="R938" s="1618"/>
      <c r="S938" s="1618"/>
      <c r="T938" s="1619"/>
      <c r="U938" s="1620" t="s">
        <v>592</v>
      </c>
      <c r="V938" s="1337"/>
      <c r="W938" s="1337"/>
      <c r="X938" s="1337"/>
      <c r="Y938" s="1337"/>
      <c r="Z938" s="1338"/>
      <c r="AA938" s="1624"/>
      <c r="AB938" s="1527"/>
      <c r="AC938" s="1527"/>
      <c r="AD938" s="1527"/>
      <c r="AE938" s="1527"/>
      <c r="AF938" s="1625"/>
      <c r="AZ938" s="30"/>
      <c r="BA938" s="30"/>
    </row>
    <row r="939" spans="6:55" ht="12.9" customHeight="1">
      <c r="F939" s="1617" t="s">
        <v>2200</v>
      </c>
      <c r="G939" s="1618"/>
      <c r="H939" s="1618"/>
      <c r="I939" s="1618"/>
      <c r="J939" s="1618"/>
      <c r="K939" s="1618"/>
      <c r="L939" s="1618"/>
      <c r="M939" s="1618"/>
      <c r="N939" s="1618"/>
      <c r="O939" s="1618"/>
      <c r="P939" s="1618"/>
      <c r="Q939" s="1618"/>
      <c r="R939" s="1618"/>
      <c r="S939" s="1618"/>
      <c r="T939" s="1619"/>
      <c r="U939" s="1620" t="s">
        <v>592</v>
      </c>
      <c r="V939" s="1337"/>
      <c r="W939" s="1337"/>
      <c r="X939" s="1337"/>
      <c r="Y939" s="1337"/>
      <c r="Z939" s="1338"/>
      <c r="AA939" s="1624"/>
      <c r="AB939" s="1527"/>
      <c r="AC939" s="1527"/>
      <c r="AD939" s="1527"/>
      <c r="AE939" s="1527"/>
      <c r="AF939" s="1625"/>
      <c r="AZ939" s="30"/>
      <c r="BA939" s="30"/>
    </row>
    <row r="940" spans="6:55" ht="12.9" customHeight="1">
      <c r="F940" s="1617" t="s">
        <v>2201</v>
      </c>
      <c r="G940" s="1618"/>
      <c r="H940" s="1618"/>
      <c r="I940" s="1618"/>
      <c r="J940" s="1618"/>
      <c r="K940" s="1618"/>
      <c r="L940" s="1618"/>
      <c r="M940" s="1618"/>
      <c r="N940" s="1618"/>
      <c r="O940" s="1618"/>
      <c r="P940" s="1618"/>
      <c r="Q940" s="1618"/>
      <c r="R940" s="1618"/>
      <c r="S940" s="1618"/>
      <c r="T940" s="1619"/>
      <c r="U940" s="1620" t="s">
        <v>592</v>
      </c>
      <c r="V940" s="1337"/>
      <c r="W940" s="1337"/>
      <c r="X940" s="1337"/>
      <c r="Y940" s="1337"/>
      <c r="Z940" s="1338"/>
      <c r="AA940" s="1624"/>
      <c r="AB940" s="1527"/>
      <c r="AC940" s="1527"/>
      <c r="AD940" s="1527"/>
      <c r="AE940" s="1527"/>
      <c r="AF940" s="1625"/>
      <c r="AZ940" s="34"/>
      <c r="BA940" s="34"/>
      <c r="BB940" s="14"/>
      <c r="BC940" s="14"/>
    </row>
    <row r="941" spans="6:55" ht="12.9" customHeight="1">
      <c r="F941" s="121" t="s">
        <v>1262</v>
      </c>
      <c r="G941" s="5"/>
      <c r="H941" s="5"/>
      <c r="I941" s="5"/>
      <c r="J941" s="5"/>
      <c r="K941" s="5"/>
      <c r="L941" s="5"/>
      <c r="M941" s="5"/>
      <c r="N941" s="5"/>
      <c r="O941" s="5"/>
      <c r="P941" s="5"/>
      <c r="Q941" s="5"/>
      <c r="R941" s="5"/>
      <c r="S941" s="5"/>
      <c r="T941" s="46"/>
      <c r="U941" s="1620" t="s">
        <v>592</v>
      </c>
      <c r="V941" s="1337"/>
      <c r="W941" s="1337"/>
      <c r="X941" s="1337"/>
      <c r="Y941" s="1337"/>
      <c r="Z941" s="1338"/>
      <c r="AA941" s="1624"/>
      <c r="AB941" s="1527"/>
      <c r="AC941" s="1527"/>
      <c r="AD941" s="1527"/>
      <c r="AE941" s="1527"/>
      <c r="AF941" s="1625"/>
      <c r="AZ941" s="34"/>
      <c r="BA941" s="34"/>
      <c r="BB941" s="14"/>
      <c r="BC941" s="14"/>
    </row>
    <row r="942" spans="6:55" ht="12.9" customHeight="1">
      <c r="F942" s="1621" t="s">
        <v>2204</v>
      </c>
      <c r="G942" s="1622"/>
      <c r="H942" s="1622"/>
      <c r="I942" s="1622"/>
      <c r="J942" s="1622"/>
      <c r="K942" s="1622"/>
      <c r="L942" s="1622"/>
      <c r="M942" s="1622"/>
      <c r="N942" s="1622"/>
      <c r="O942" s="1622"/>
      <c r="P942" s="1622"/>
      <c r="Q942" s="1622"/>
      <c r="R942" s="1622"/>
      <c r="S942" s="1622"/>
      <c r="T942" s="1623"/>
      <c r="U942" s="1620" t="s">
        <v>592</v>
      </c>
      <c r="V942" s="1337"/>
      <c r="W942" s="1337"/>
      <c r="X942" s="1337"/>
      <c r="Y942" s="1337"/>
      <c r="Z942" s="1338"/>
      <c r="AA942" s="1624"/>
      <c r="AB942" s="1527"/>
      <c r="AC942" s="1527"/>
      <c r="AD942" s="1527"/>
      <c r="AE942" s="1527"/>
      <c r="AF942" s="1625"/>
      <c r="AZ942" s="34"/>
      <c r="BA942" s="34"/>
      <c r="BB942" s="34"/>
      <c r="BC942" s="34"/>
    </row>
    <row r="943" spans="6:55" ht="12.9" customHeight="1">
      <c r="F943" s="121" t="s">
        <v>1263</v>
      </c>
      <c r="G943" s="5"/>
      <c r="H943" s="5"/>
      <c r="I943" s="5"/>
      <c r="J943" s="5"/>
      <c r="K943" s="5"/>
      <c r="L943" s="5"/>
      <c r="M943" s="5"/>
      <c r="N943" s="5"/>
      <c r="O943" s="5"/>
      <c r="P943" s="5"/>
      <c r="Q943" s="5"/>
      <c r="R943" s="5"/>
      <c r="S943" s="5"/>
      <c r="T943" s="46"/>
      <c r="U943" s="1620" t="s">
        <v>592</v>
      </c>
      <c r="V943" s="1337"/>
      <c r="W943" s="1337"/>
      <c r="X943" s="1337"/>
      <c r="Y943" s="1337"/>
      <c r="Z943" s="1338"/>
      <c r="AA943" s="1624"/>
      <c r="AB943" s="1527"/>
      <c r="AC943" s="1527"/>
      <c r="AD943" s="1527"/>
      <c r="AE943" s="1527"/>
      <c r="AF943" s="1625"/>
      <c r="AZ943" s="34"/>
      <c r="BA943" s="34"/>
      <c r="BB943" s="34"/>
      <c r="BC943" s="34"/>
    </row>
    <row r="944" spans="6:55" ht="12.9" customHeight="1">
      <c r="F944" s="1621" t="s">
        <v>2205</v>
      </c>
      <c r="G944" s="1622"/>
      <c r="H944" s="1622"/>
      <c r="I944" s="1622"/>
      <c r="J944" s="1622"/>
      <c r="K944" s="1622"/>
      <c r="L944" s="1622"/>
      <c r="M944" s="1622"/>
      <c r="N944" s="1622"/>
      <c r="O944" s="1622"/>
      <c r="P944" s="1622"/>
      <c r="Q944" s="1622"/>
      <c r="R944" s="1622"/>
      <c r="S944" s="1622"/>
      <c r="T944" s="1623"/>
      <c r="U944" s="1620" t="s">
        <v>592</v>
      </c>
      <c r="V944" s="1337"/>
      <c r="W944" s="1337"/>
      <c r="X944" s="1337"/>
      <c r="Y944" s="1337"/>
      <c r="Z944" s="1338"/>
      <c r="AA944" s="1624"/>
      <c r="AB944" s="1527"/>
      <c r="AC944" s="1527"/>
      <c r="AD944" s="1527"/>
      <c r="AE944" s="1527"/>
      <c r="AF944" s="1625"/>
      <c r="AZ944" s="34"/>
      <c r="BA944" s="34"/>
      <c r="BB944" s="34"/>
      <c r="BC944" s="34"/>
    </row>
    <row r="945" spans="1:55" ht="12.9" customHeight="1">
      <c r="F945" s="45" t="s">
        <v>807</v>
      </c>
      <c r="G945" s="5"/>
      <c r="H945" s="5"/>
      <c r="I945" s="5"/>
      <c r="J945" s="5"/>
      <c r="K945" s="5"/>
      <c r="L945" s="5"/>
      <c r="M945" s="5"/>
      <c r="N945" s="5"/>
      <c r="O945" s="5"/>
      <c r="P945" s="1620" t="s">
        <v>670</v>
      </c>
      <c r="Q945" s="1337"/>
      <c r="R945" s="1337"/>
      <c r="S945" s="1337"/>
      <c r="T945" s="1338"/>
      <c r="U945" s="1620" t="s">
        <v>592</v>
      </c>
      <c r="V945" s="1337"/>
      <c r="W945" s="1337"/>
      <c r="X945" s="1337"/>
      <c r="Y945" s="1337"/>
      <c r="Z945" s="1338"/>
      <c r="AA945" s="1624"/>
      <c r="AB945" s="1527"/>
      <c r="AC945" s="1527"/>
      <c r="AD945" s="1527"/>
      <c r="AE945" s="1527"/>
      <c r="AF945" s="1625"/>
      <c r="AZ945" s="34"/>
      <c r="BA945" s="34"/>
      <c r="BB945" s="34"/>
      <c r="BC945" s="34"/>
    </row>
    <row r="946" spans="1:55" ht="12.9" customHeight="1">
      <c r="F946" s="1617" t="s">
        <v>2192</v>
      </c>
      <c r="G946" s="1618"/>
      <c r="H946" s="1619"/>
      <c r="I946" s="1635" t="s">
        <v>334</v>
      </c>
      <c r="J946" s="1636"/>
      <c r="K946" s="1636"/>
      <c r="L946" s="1636"/>
      <c r="M946" s="1636"/>
      <c r="N946" s="1636"/>
      <c r="O946" s="1636"/>
      <c r="P946" s="1636"/>
      <c r="Q946" s="1636"/>
      <c r="R946" s="1636"/>
      <c r="S946" s="1636"/>
      <c r="T946" s="1637"/>
      <c r="U946" s="1620" t="s">
        <v>592</v>
      </c>
      <c r="V946" s="1337"/>
      <c r="W946" s="1337"/>
      <c r="X946" s="1337"/>
      <c r="Y946" s="1337"/>
      <c r="Z946" s="1338"/>
      <c r="AA946" s="1624"/>
      <c r="AB946" s="1527"/>
      <c r="AC946" s="1527"/>
      <c r="AD946" s="1527"/>
      <c r="AE946" s="1527"/>
      <c r="AF946" s="1625"/>
      <c r="AZ946" s="34"/>
      <c r="BA946" s="34"/>
      <c r="BB946" s="34"/>
      <c r="BC946" s="34"/>
    </row>
    <row r="947" spans="1:55" ht="12.9" customHeight="1">
      <c r="F947" s="45" t="s">
        <v>86</v>
      </c>
      <c r="G947" s="48"/>
      <c r="H947" s="48"/>
      <c r="I947" s="1635" t="s">
        <v>334</v>
      </c>
      <c r="J947" s="1636"/>
      <c r="K947" s="1636"/>
      <c r="L947" s="1636"/>
      <c r="M947" s="1636"/>
      <c r="N947" s="1636"/>
      <c r="O947" s="1636"/>
      <c r="P947" s="1636"/>
      <c r="Q947" s="1636"/>
      <c r="R947" s="1636"/>
      <c r="S947" s="1636"/>
      <c r="T947" s="1637"/>
      <c r="U947" s="1620" t="s">
        <v>592</v>
      </c>
      <c r="V947" s="1337"/>
      <c r="W947" s="1337"/>
      <c r="X947" s="1337"/>
      <c r="Y947" s="1337"/>
      <c r="Z947" s="1338"/>
      <c r="AA947" s="1624"/>
      <c r="AB947" s="1527"/>
      <c r="AC947" s="1527"/>
      <c r="AD947" s="1527"/>
      <c r="AE947" s="1527"/>
      <c r="AF947" s="1625"/>
      <c r="AZ947" s="34"/>
      <c r="BA947" s="34"/>
      <c r="BB947" s="34"/>
      <c r="BC947" s="34"/>
    </row>
    <row r="948" spans="1:55" ht="12.9" customHeight="1">
      <c r="F948" s="45" t="s">
        <v>10</v>
      </c>
      <c r="G948" s="48"/>
      <c r="H948" s="48"/>
      <c r="I948" s="1699" t="s">
        <v>334</v>
      </c>
      <c r="J948" s="1700"/>
      <c r="K948" s="1700"/>
      <c r="L948" s="1700"/>
      <c r="M948" s="1700"/>
      <c r="N948" s="1700"/>
      <c r="O948" s="1700"/>
      <c r="P948" s="1700"/>
      <c r="Q948" s="1700"/>
      <c r="R948" s="1700"/>
      <c r="S948" s="1700"/>
      <c r="T948" s="1701"/>
      <c r="U948" s="1620" t="s">
        <v>592</v>
      </c>
      <c r="V948" s="1337"/>
      <c r="W948" s="1337"/>
      <c r="X948" s="1337"/>
      <c r="Y948" s="1337"/>
      <c r="Z948" s="1338"/>
      <c r="AA948" s="1624"/>
      <c r="AB948" s="1527"/>
      <c r="AC948" s="1527"/>
      <c r="AD948" s="1527"/>
      <c r="AE948" s="1527"/>
      <c r="AF948" s="1625"/>
      <c r="AV948" s="2"/>
      <c r="AW948" s="2"/>
      <c r="AX948" s="2"/>
      <c r="AY948" s="2"/>
      <c r="AZ948" s="34"/>
      <c r="BA948" s="34"/>
      <c r="BB948" s="34"/>
      <c r="BC948" s="34"/>
    </row>
    <row r="949" spans="1:55" ht="12.9" customHeight="1">
      <c r="F949" s="47" t="s">
        <v>170</v>
      </c>
      <c r="G949" s="48"/>
      <c r="H949" s="48"/>
      <c r="I949" s="1699" t="s">
        <v>334</v>
      </c>
      <c r="J949" s="1700"/>
      <c r="K949" s="1700"/>
      <c r="L949" s="1700"/>
      <c r="M949" s="1700"/>
      <c r="N949" s="1700"/>
      <c r="O949" s="1700"/>
      <c r="P949" s="1700"/>
      <c r="Q949" s="1700"/>
      <c r="R949" s="1700"/>
      <c r="S949" s="1700"/>
      <c r="T949" s="1701"/>
      <c r="U949" s="1620" t="s">
        <v>592</v>
      </c>
      <c r="V949" s="1337"/>
      <c r="W949" s="1337"/>
      <c r="X949" s="1337"/>
      <c r="Y949" s="1337"/>
      <c r="Z949" s="1338"/>
      <c r="AA949" s="1624"/>
      <c r="AB949" s="1527"/>
      <c r="AC949" s="1527"/>
      <c r="AD949" s="1527"/>
      <c r="AE949" s="1527"/>
      <c r="AF949" s="1625"/>
      <c r="AU949" s="2"/>
      <c r="AZ949" s="34"/>
      <c r="BA949" s="34"/>
      <c r="BB949" s="34"/>
      <c r="BC949" s="34"/>
    </row>
    <row r="950" spans="1:55" ht="12.9" customHeight="1">
      <c r="F950" s="47" t="s">
        <v>170</v>
      </c>
      <c r="G950" s="48"/>
      <c r="H950" s="48"/>
      <c r="I950" s="1699" t="s">
        <v>334</v>
      </c>
      <c r="J950" s="1700"/>
      <c r="K950" s="1700"/>
      <c r="L950" s="1700"/>
      <c r="M950" s="1700"/>
      <c r="N950" s="1700"/>
      <c r="O950" s="1700"/>
      <c r="P950" s="1700"/>
      <c r="Q950" s="1700"/>
      <c r="R950" s="1700"/>
      <c r="S950" s="1700"/>
      <c r="T950" s="1701"/>
      <c r="U950" s="1620" t="s">
        <v>592</v>
      </c>
      <c r="V950" s="1337"/>
      <c r="W950" s="1337"/>
      <c r="X950" s="1337"/>
      <c r="Y950" s="1337"/>
      <c r="Z950" s="1338"/>
      <c r="AA950" s="1624"/>
      <c r="AB950" s="1527"/>
      <c r="AC950" s="1527"/>
      <c r="AD950" s="1527"/>
      <c r="AE950" s="1527"/>
      <c r="AF950" s="1625"/>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3"/>
      <c r="N955" s="1523"/>
      <c r="O955" s="1523"/>
      <c r="P955" s="1523"/>
      <c r="Q955" s="1523"/>
      <c r="R955" s="1523"/>
      <c r="S955" s="1615"/>
      <c r="U955" s="66" t="s">
        <v>11</v>
      </c>
      <c r="V955" s="5"/>
      <c r="W955" s="5"/>
      <c r="X955" s="5"/>
      <c r="Y955" s="5"/>
      <c r="Z955" s="5"/>
      <c r="AA955" s="5"/>
      <c r="AB955" s="5"/>
      <c r="AC955" s="5"/>
      <c r="AD955" s="46"/>
      <c r="AE955" s="1703"/>
      <c r="AF955" s="1523"/>
      <c r="AG955" s="1523"/>
      <c r="AH955" s="1523"/>
      <c r="AI955" s="1523"/>
      <c r="AJ955" s="1523"/>
      <c r="AK955" s="1615"/>
      <c r="AZ955" s="34"/>
      <c r="BA955" s="34"/>
      <c r="BB955" s="34"/>
      <c r="BC955" s="34"/>
    </row>
    <row r="956" spans="1:55" ht="12.9" customHeight="1">
      <c r="C956" s="66" t="s">
        <v>12</v>
      </c>
      <c r="D956" s="5"/>
      <c r="E956" s="5"/>
      <c r="F956" s="5"/>
      <c r="G956" s="5"/>
      <c r="H956" s="5"/>
      <c r="I956" s="5"/>
      <c r="J956" s="5"/>
      <c r="K956" s="5"/>
      <c r="L956" s="46"/>
      <c r="M956" s="1654"/>
      <c r="N956" s="1520"/>
      <c r="O956" s="1520"/>
      <c r="P956" s="1520"/>
      <c r="Q956" s="1520"/>
      <c r="R956" s="1520"/>
      <c r="S956" s="1655"/>
      <c r="U956" s="66" t="s">
        <v>12</v>
      </c>
      <c r="V956" s="5"/>
      <c r="W956" s="5"/>
      <c r="X956" s="5"/>
      <c r="Y956" s="5"/>
      <c r="Z956" s="5"/>
      <c r="AA956" s="5"/>
      <c r="AB956" s="5"/>
      <c r="AC956" s="5"/>
      <c r="AD956" s="46"/>
      <c r="AE956" s="1654"/>
      <c r="AF956" s="1520"/>
      <c r="AG956" s="1520"/>
      <c r="AH956" s="1520"/>
      <c r="AI956" s="1520"/>
      <c r="AJ956" s="1520"/>
      <c r="AK956" s="1655"/>
      <c r="AZ956" s="34"/>
      <c r="BA956" s="34"/>
      <c r="BB956" s="34"/>
      <c r="BC956" s="34"/>
    </row>
    <row r="957" spans="1:55" ht="12.9" customHeight="1">
      <c r="C957" s="66" t="s">
        <v>881</v>
      </c>
      <c r="D957" s="5"/>
      <c r="E957" s="5"/>
      <c r="J957" s="1807" t="s">
        <v>307</v>
      </c>
      <c r="K957" s="1808"/>
      <c r="L957" s="1808"/>
      <c r="M957" s="1808"/>
      <c r="N957" s="1808"/>
      <c r="O957" s="1808"/>
      <c r="P957" s="1808"/>
      <c r="Q957" s="1808"/>
      <c r="R957" s="1808"/>
      <c r="S957" s="1809"/>
      <c r="U957" s="66" t="s">
        <v>881</v>
      </c>
      <c r="V957" s="5"/>
      <c r="W957" s="5"/>
      <c r="AB957" s="1807" t="s">
        <v>307</v>
      </c>
      <c r="AC957" s="1808"/>
      <c r="AD957" s="1808"/>
      <c r="AE957" s="1808"/>
      <c r="AF957" s="1808"/>
      <c r="AG957" s="1808"/>
      <c r="AH957" s="1808"/>
      <c r="AI957" s="1808"/>
      <c r="AJ957" s="1808"/>
      <c r="AK957" s="1809"/>
      <c r="AZ957" s="34"/>
      <c r="BA957" s="34"/>
      <c r="BB957" s="34"/>
      <c r="BC957" s="34"/>
    </row>
    <row r="958" spans="1:55" ht="12.9"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 customHeight="1">
      <c r="C959" s="66" t="s">
        <v>14</v>
      </c>
      <c r="D959" s="5"/>
      <c r="E959" s="5"/>
      <c r="F959" s="5"/>
      <c r="G959" s="5"/>
      <c r="H959" s="5"/>
      <c r="I959" s="5"/>
      <c r="J959" s="5"/>
      <c r="K959" s="5"/>
      <c r="L959" s="46"/>
      <c r="M959" s="1724"/>
      <c r="N959" s="1600"/>
      <c r="O959" s="1600"/>
      <c r="P959" s="1600"/>
      <c r="Q959" s="1600"/>
      <c r="R959" s="1600"/>
      <c r="S959" s="1601"/>
      <c r="U959" s="66" t="s">
        <v>14</v>
      </c>
      <c r="V959" s="5"/>
      <c r="W959" s="5"/>
      <c r="X959" s="5"/>
      <c r="Y959" s="5"/>
      <c r="Z959" s="5"/>
      <c r="AA959" s="5"/>
      <c r="AB959" s="5"/>
      <c r="AC959" s="5"/>
      <c r="AD959" s="46"/>
      <c r="AE959" s="1724"/>
      <c r="AF959" s="1600"/>
      <c r="AG959" s="1600"/>
      <c r="AH959" s="1600"/>
      <c r="AI959" s="1600"/>
      <c r="AJ959" s="1600"/>
      <c r="AK959" s="1601"/>
      <c r="AV959" s="2"/>
      <c r="AW959" s="2"/>
      <c r="AX959" s="2"/>
      <c r="AY959" s="2"/>
      <c r="AZ959" s="34"/>
      <c r="BA959" s="34"/>
      <c r="BB959" s="34"/>
      <c r="BC959" s="34"/>
    </row>
    <row r="960" spans="1:55" ht="12.9" customHeight="1">
      <c r="C960" s="66" t="s">
        <v>15</v>
      </c>
      <c r="D960" s="5"/>
      <c r="E960" s="5"/>
      <c r="F960" s="5"/>
      <c r="G960" s="5"/>
      <c r="H960" s="5"/>
      <c r="I960" s="5"/>
      <c r="J960" s="5"/>
      <c r="K960" s="5"/>
      <c r="L960" s="46"/>
      <c r="M960" s="1624"/>
      <c r="N960" s="1527"/>
      <c r="O960" s="1527"/>
      <c r="P960" s="1527"/>
      <c r="Q960" s="1527"/>
      <c r="R960" s="1527"/>
      <c r="S960" s="1625"/>
      <c r="U960" s="66" t="s">
        <v>15</v>
      </c>
      <c r="V960" s="5"/>
      <c r="W960" s="5"/>
      <c r="X960" s="5"/>
      <c r="Y960" s="5"/>
      <c r="Z960" s="5"/>
      <c r="AA960" s="5"/>
      <c r="AB960" s="5"/>
      <c r="AC960" s="5"/>
      <c r="AD960" s="46"/>
      <c r="AE960" s="1624"/>
      <c r="AF960" s="1527"/>
      <c r="AG960" s="1527"/>
      <c r="AH960" s="1527"/>
      <c r="AI960" s="1527"/>
      <c r="AJ960" s="1527"/>
      <c r="AK960" s="1625"/>
      <c r="AV960" s="2"/>
      <c r="AW960" s="2"/>
      <c r="AX960" s="2"/>
      <c r="AY960" s="2"/>
      <c r="AZ960" s="34"/>
      <c r="BA960" s="34"/>
      <c r="BB960" s="34"/>
      <c r="BC960" s="34"/>
    </row>
    <row r="961" spans="1:64" ht="12.9" customHeight="1">
      <c r="C961" s="66" t="s">
        <v>16</v>
      </c>
      <c r="D961" s="5"/>
      <c r="E961" s="5"/>
      <c r="F961" s="5"/>
      <c r="G961" s="5"/>
      <c r="H961" s="5"/>
      <c r="I961" s="5"/>
      <c r="J961" s="5"/>
      <c r="K961" s="5"/>
      <c r="L961" s="46"/>
      <c r="M961" s="1624"/>
      <c r="N961" s="1527"/>
      <c r="O961" s="1527"/>
      <c r="P961" s="1527"/>
      <c r="Q961" s="1527"/>
      <c r="R961" s="1527"/>
      <c r="S961" s="1625"/>
      <c r="U961" s="66" t="s">
        <v>16</v>
      </c>
      <c r="V961" s="5"/>
      <c r="W961" s="5"/>
      <c r="X961" s="5"/>
      <c r="Y961" s="5"/>
      <c r="Z961" s="5"/>
      <c r="AA961" s="5"/>
      <c r="AB961" s="5"/>
      <c r="AC961" s="5"/>
      <c r="AD961" s="46"/>
      <c r="AE961" s="1624"/>
      <c r="AF961" s="1527"/>
      <c r="AG961" s="1527"/>
      <c r="AH961" s="1527"/>
      <c r="AI961" s="1527"/>
      <c r="AJ961" s="1527"/>
      <c r="AK961" s="1625"/>
      <c r="AV961" s="2"/>
      <c r="AW961" s="2"/>
      <c r="AX961" s="2"/>
      <c r="AY961" s="2"/>
      <c r="AZ961" s="34"/>
      <c r="BB961" s="34"/>
      <c r="BC961" s="34"/>
    </row>
    <row r="962" spans="1:64" ht="12.9" customHeight="1">
      <c r="C962" s="121" t="s">
        <v>1662</v>
      </c>
      <c r="D962" s="5"/>
      <c r="E962" s="5"/>
      <c r="F962" s="5"/>
      <c r="G962" s="5"/>
      <c r="H962" s="5"/>
      <c r="I962" s="5"/>
      <c r="J962" s="5"/>
      <c r="K962" s="5"/>
      <c r="L962" s="46"/>
      <c r="M962" s="1775"/>
      <c r="N962" s="1776"/>
      <c r="O962" s="1776"/>
      <c r="P962" s="1776"/>
      <c r="Q962" s="1776"/>
      <c r="R962" s="1776"/>
      <c r="S962" s="1777"/>
      <c r="U962" s="121" t="s">
        <v>1662</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651"/>
      <c r="N967" s="1652"/>
      <c r="O967" s="1652"/>
      <c r="P967" s="1652"/>
      <c r="Q967" s="1652"/>
      <c r="R967" s="1652"/>
      <c r="S967" s="1653"/>
      <c r="T967" s="66" t="s">
        <v>791</v>
      </c>
      <c r="U967" s="5"/>
      <c r="V967" s="5"/>
      <c r="W967" s="5"/>
      <c r="X967" s="5"/>
      <c r="Y967" s="5"/>
      <c r="Z967" s="46"/>
      <c r="AA967" s="1651"/>
      <c r="AB967" s="1652"/>
      <c r="AC967" s="1652"/>
      <c r="AD967" s="1652"/>
      <c r="AE967" s="1652"/>
      <c r="AF967" s="1652"/>
      <c r="AG967" s="165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651"/>
      <c r="N968" s="1652"/>
      <c r="O968" s="1652"/>
      <c r="P968" s="1652"/>
      <c r="Q968" s="1652"/>
      <c r="R968" s="1652"/>
      <c r="S968" s="1653"/>
      <c r="T968" s="66" t="s">
        <v>790</v>
      </c>
      <c r="U968" s="5"/>
      <c r="V968" s="5"/>
      <c r="W968" s="5"/>
      <c r="X968" s="5"/>
      <c r="Y968" s="5"/>
      <c r="Z968" s="46"/>
      <c r="AA968" s="1651"/>
      <c r="AB968" s="1652"/>
      <c r="AC968" s="1652"/>
      <c r="AD968" s="1652"/>
      <c r="AE968" s="1652"/>
      <c r="AF968" s="1652"/>
      <c r="AG968" s="165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51"/>
      <c r="AB969" s="1652"/>
      <c r="AC969" s="1652"/>
      <c r="AD969" s="1652"/>
      <c r="AE969" s="1652"/>
      <c r="AF969" s="1652"/>
      <c r="AG969" s="165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651"/>
      <c r="N970" s="1652"/>
      <c r="O970" s="1652"/>
      <c r="P970" s="1652"/>
      <c r="Q970" s="1652"/>
      <c r="R970" s="1652"/>
      <c r="S970" s="1653"/>
      <c r="T970" s="45" t="s">
        <v>338</v>
      </c>
      <c r="U970" s="5"/>
      <c r="V970" s="5"/>
      <c r="W970" s="5"/>
      <c r="X970" s="5"/>
      <c r="Y970" s="5"/>
      <c r="Z970" s="46"/>
      <c r="AA970" s="1651"/>
      <c r="AB970" s="1652"/>
      <c r="AC970" s="1652"/>
      <c r="AD970" s="1652"/>
      <c r="AE970" s="1652"/>
      <c r="AF970" s="1652"/>
      <c r="AG970" s="165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651"/>
      <c r="N971" s="1652"/>
      <c r="O971" s="1652"/>
      <c r="P971" s="1652"/>
      <c r="Q971" s="1652"/>
      <c r="R971" s="1652"/>
      <c r="S971" s="1653"/>
      <c r="T971" s="45" t="s">
        <v>376</v>
      </c>
      <c r="U971" s="5"/>
      <c r="V971" s="5"/>
      <c r="W971" s="5"/>
      <c r="X971" s="5"/>
      <c r="Y971" s="5"/>
      <c r="Z971" s="46"/>
      <c r="AA971" s="1651"/>
      <c r="AB971" s="1652"/>
      <c r="AC971" s="1652"/>
      <c r="AD971" s="1652"/>
      <c r="AE971" s="1652"/>
      <c r="AF971" s="1652"/>
      <c r="AG971" s="165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807" t="s">
        <v>307</v>
      </c>
      <c r="N972" s="1808"/>
      <c r="O972" s="1808"/>
      <c r="P972" s="1808"/>
      <c r="Q972" s="1808"/>
      <c r="R972" s="1808"/>
      <c r="S972" s="1809"/>
      <c r="T972" s="1762"/>
      <c r="U972" s="1763"/>
      <c r="V972" s="1763"/>
      <c r="W972" s="1763"/>
      <c r="X972" s="1763"/>
      <c r="Y972" s="1763"/>
      <c r="Z972" s="1764"/>
      <c r="AA972" s="1651"/>
      <c r="AB972" s="1652"/>
      <c r="AC972" s="1652"/>
      <c r="AD972" s="1652"/>
      <c r="AE972" s="1652"/>
      <c r="AF972" s="1652"/>
      <c r="AG972" s="165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651"/>
      <c r="N973" s="1652"/>
      <c r="O973" s="1652"/>
      <c r="P973" s="1652"/>
      <c r="Q973" s="1652"/>
      <c r="R973" s="1652"/>
      <c r="S973" s="1653"/>
      <c r="T973" s="1762"/>
      <c r="U973" s="1763"/>
      <c r="V973" s="1763"/>
      <c r="W973" s="1763"/>
      <c r="X973" s="1763"/>
      <c r="Y973" s="1763"/>
      <c r="Z973" s="1764"/>
      <c r="AA973" s="1651"/>
      <c r="AB973" s="1652"/>
      <c r="AC973" s="1652"/>
      <c r="AD973" s="1652"/>
      <c r="AE973" s="1652"/>
      <c r="AF973" s="1652"/>
      <c r="AG973" s="165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74" t="s">
        <v>670</v>
      </c>
      <c r="P974" s="1376"/>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 customHeight="1">
      <c r="F975" s="1595" t="s">
        <v>33</v>
      </c>
      <c r="G975" s="1485"/>
      <c r="H975" s="1485"/>
      <c r="I975" s="1485"/>
      <c r="J975" s="1485"/>
      <c r="K975" s="1485"/>
      <c r="L975" s="1485"/>
      <c r="M975" s="1651"/>
      <c r="N975" s="1652"/>
      <c r="O975" s="1652"/>
      <c r="P975" s="1652"/>
      <c r="Q975" s="1652"/>
      <c r="R975" s="1652"/>
      <c r="S975" s="1653"/>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6"/>
      <c r="BH976" s="1626"/>
      <c r="BI976" s="1626"/>
      <c r="BJ976" s="1626"/>
      <c r="BK976" s="1626"/>
      <c r="BL976" s="1626"/>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6" t="s">
        <v>549</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2"/>
      <c r="BC979" s="912"/>
    </row>
    <row r="980" spans="1:64" ht="12.9"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2.9"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0" t="s">
        <v>639</v>
      </c>
      <c r="E985" s="1791"/>
      <c r="F985" s="1791"/>
      <c r="G985" s="1791"/>
      <c r="H985" s="1791"/>
      <c r="I985" s="1791"/>
      <c r="J985" s="1791"/>
      <c r="K985" s="1791"/>
      <c r="L985" s="1791"/>
      <c r="M985" s="1791"/>
      <c r="N985" s="1791"/>
      <c r="O985" s="1791"/>
      <c r="P985" s="1791"/>
      <c r="Q985" s="1792"/>
      <c r="R985" s="1790" t="s">
        <v>640</v>
      </c>
      <c r="S985" s="1791"/>
      <c r="T985" s="1791"/>
      <c r="U985" s="1791"/>
      <c r="V985" s="1791"/>
      <c r="W985" s="1791"/>
      <c r="X985" s="1791"/>
      <c r="Y985" s="1791"/>
      <c r="Z985" s="1791"/>
      <c r="AA985" s="1792"/>
      <c r="AB985" s="1790" t="s">
        <v>641</v>
      </c>
      <c r="AC985" s="1791"/>
      <c r="AD985" s="1791"/>
      <c r="AE985" s="1791"/>
      <c r="AF985" s="1791"/>
      <c r="AG985" s="1791"/>
      <c r="AH985" s="1791"/>
      <c r="AI985" s="1792"/>
      <c r="AJ985" s="1790" t="s">
        <v>642</v>
      </c>
      <c r="AK985" s="1791"/>
      <c r="AL985" s="1791"/>
      <c r="AM985" s="1791"/>
      <c r="AN985" s="1791"/>
      <c r="AO985" s="1791"/>
      <c r="AP985" s="1791"/>
      <c r="AQ985" s="1792"/>
      <c r="AR985" s="68"/>
      <c r="AS985" s="68"/>
      <c r="AT985" s="68"/>
      <c r="AU985" s="68"/>
      <c r="AV985" s="68"/>
      <c r="AW985" s="68"/>
      <c r="AX985" s="68"/>
      <c r="AY985" s="68"/>
      <c r="AZ985" s="30"/>
      <c r="BB985" s="14"/>
      <c r="BC985" s="14"/>
    </row>
    <row r="986" spans="1:64" ht="12.9" customHeight="1">
      <c r="A986" s="14"/>
      <c r="B986" s="73"/>
      <c r="C986" s="929"/>
      <c r="D986" s="1796" t="s">
        <v>634</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319236</v>
      </c>
      <c r="S986" s="1783"/>
      <c r="T986" s="1783"/>
      <c r="U986" s="1783"/>
      <c r="V986" s="1783"/>
      <c r="W986" s="1783"/>
      <c r="X986" s="1783"/>
      <c r="Y986" s="1783"/>
      <c r="Z986" s="1783"/>
      <c r="AA986" s="1783"/>
      <c r="AB986" s="1780">
        <f>CP802</f>
        <v>0</v>
      </c>
      <c r="AC986" s="1781"/>
      <c r="AD986" s="1781"/>
      <c r="AE986" s="1781"/>
      <c r="AF986" s="1781"/>
      <c r="AG986" s="1781"/>
      <c r="AH986" s="1781"/>
      <c r="AI986" s="1782"/>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368076</v>
      </c>
      <c r="S987" s="1783"/>
      <c r="T987" s="1783"/>
      <c r="U987" s="1783"/>
      <c r="V987" s="1783"/>
      <c r="W987" s="1783"/>
      <c r="X987" s="1783"/>
      <c r="Y987" s="1783"/>
      <c r="Z987" s="1783"/>
      <c r="AA987" s="1783"/>
      <c r="AB987" s="1780">
        <f>CU802</f>
        <v>32</v>
      </c>
      <c r="AC987" s="1781"/>
      <c r="AD987" s="1781"/>
      <c r="AE987" s="1781"/>
      <c r="AF987" s="1781"/>
      <c r="AG987" s="1781"/>
      <c r="AH987" s="1781"/>
      <c r="AI987" s="1782"/>
      <c r="AJ987" s="1716">
        <f>IF(ISERROR((R987*AB987)),0,(R987*AB987))</f>
        <v>11778432</v>
      </c>
      <c r="AK987" s="1717"/>
      <c r="AL987" s="1717"/>
      <c r="AM987" s="1717"/>
      <c r="AN987" s="1717"/>
      <c r="AO987" s="1717"/>
      <c r="AP987" s="1717"/>
      <c r="AQ987" s="1718"/>
      <c r="AR987" s="68"/>
      <c r="AS987" s="68"/>
      <c r="AT987" s="68"/>
      <c r="AU987" s="68"/>
      <c r="AV987" s="68"/>
      <c r="AW987" s="68"/>
      <c r="AX987" s="68"/>
      <c r="AY987" s="68"/>
      <c r="AZ987" s="30"/>
      <c r="BB987" s="14"/>
      <c r="BC987" s="14"/>
    </row>
    <row r="988" spans="1:64" ht="12.9"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444000</v>
      </c>
      <c r="S988" s="1783"/>
      <c r="T988" s="1783"/>
      <c r="U988" s="1783"/>
      <c r="V988" s="1783"/>
      <c r="W988" s="1783"/>
      <c r="X988" s="1783"/>
      <c r="Y988" s="1783"/>
      <c r="Z988" s="1783"/>
      <c r="AA988" s="1783"/>
      <c r="AB988" s="1780">
        <f>CZ802</f>
        <v>56</v>
      </c>
      <c r="AC988" s="1781"/>
      <c r="AD988" s="1781"/>
      <c r="AE988" s="1781"/>
      <c r="AF988" s="1781"/>
      <c r="AG988" s="1781"/>
      <c r="AH988" s="1781"/>
      <c r="AI988" s="1782"/>
      <c r="AJ988" s="1716">
        <f>IF(ISERROR((R988*AB988)),0,(R988*AB988))</f>
        <v>24864000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568320</v>
      </c>
      <c r="S989" s="1783"/>
      <c r="T989" s="1783"/>
      <c r="U989" s="1783"/>
      <c r="V989" s="1783"/>
      <c r="W989" s="1783"/>
      <c r="X989" s="1783"/>
      <c r="Y989" s="1783"/>
      <c r="Z989" s="1783"/>
      <c r="AA989" s="1783"/>
      <c r="AB989" s="1780">
        <f>DE802</f>
        <v>28</v>
      </c>
      <c r="AC989" s="1781"/>
      <c r="AD989" s="1781"/>
      <c r="AE989" s="1781"/>
      <c r="AF989" s="1781"/>
      <c r="AG989" s="1781"/>
      <c r="AH989" s="1781"/>
      <c r="AI989" s="1782"/>
      <c r="AJ989" s="1716">
        <f>IF(ISERROR((R989*AB989)),0,(R989*AB989))</f>
        <v>15912960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633144</v>
      </c>
      <c r="S990" s="1783"/>
      <c r="T990" s="1783"/>
      <c r="U990" s="1783"/>
      <c r="V990" s="1783"/>
      <c r="W990" s="1783"/>
      <c r="X990" s="1783"/>
      <c r="Y990" s="1783"/>
      <c r="Z990" s="1783"/>
      <c r="AA990" s="1783"/>
      <c r="AB990" s="1780">
        <f>DO802+DJ802</f>
        <v>4</v>
      </c>
      <c r="AC990" s="1781"/>
      <c r="AD990" s="1781"/>
      <c r="AE990" s="1781"/>
      <c r="AF990" s="1781"/>
      <c r="AG990" s="1781"/>
      <c r="AH990" s="1781"/>
      <c r="AI990" s="1782"/>
      <c r="AJ990" s="1716">
        <f>IF(ISERROR((R990*AB990)),0,(R990*AB990))</f>
        <v>2532576</v>
      </c>
      <c r="AK990" s="1717"/>
      <c r="AL990" s="1717"/>
      <c r="AM990" s="1717"/>
      <c r="AN990" s="1717"/>
      <c r="AO990" s="1717"/>
      <c r="AP990" s="1717"/>
      <c r="AQ990" s="1718"/>
      <c r="AR990" s="68"/>
      <c r="AS990" s="68"/>
      <c r="AT990" s="68"/>
      <c r="AU990" s="68"/>
      <c r="AV990" s="68"/>
      <c r="AW990" s="68"/>
      <c r="AX990" s="68"/>
      <c r="AY990" s="68"/>
      <c r="AZ990" s="30"/>
      <c r="BB990" s="14"/>
      <c r="BC990" s="14"/>
    </row>
    <row r="991" spans="1:64" ht="12.9" customHeight="1">
      <c r="A991" s="14"/>
      <c r="B991" s="1737" t="s">
        <v>792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120</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55087968</v>
      </c>
      <c r="AK992" s="1717"/>
      <c r="AL992" s="1717"/>
      <c r="AM992" s="1717"/>
      <c r="AN992" s="1717"/>
      <c r="AO992" s="1717"/>
      <c r="AP992" s="1717"/>
      <c r="AQ992" s="1718"/>
      <c r="AR992" s="68"/>
      <c r="AS992" s="68"/>
      <c r="AT992" s="68"/>
      <c r="AU992" s="68"/>
      <c r="AV992" s="68"/>
      <c r="AW992" s="68"/>
      <c r="AX992" s="68"/>
      <c r="AY992" s="68"/>
      <c r="AZ992" s="34"/>
      <c r="BB992" s="34"/>
      <c r="BC992" s="34"/>
    </row>
    <row r="993" spans="1:55" ht="12.9"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667</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 customHeight="1">
      <c r="A994" s="14"/>
      <c r="B994" s="73"/>
      <c r="C994" s="927" t="s">
        <v>669</v>
      </c>
      <c r="D994" s="1734" t="s">
        <v>1221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670</v>
      </c>
      <c r="AH994" s="1829"/>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 customHeight="1">
      <c r="A995" s="14"/>
      <c r="B995" s="257"/>
      <c r="C995" s="256"/>
      <c r="D995" s="1768" t="s">
        <v>2235</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 customHeight="1">
      <c r="A999" s="14"/>
      <c r="B999" s="257"/>
      <c r="C999" s="256"/>
      <c r="D999" s="1771" t="s">
        <v>2206</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 customHeight="1">
      <c r="A1000" s="14"/>
      <c r="B1000" s="257"/>
      <c r="C1000" s="256"/>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 customHeight="1">
      <c r="A1001" s="14"/>
      <c r="B1001" s="255"/>
      <c r="C1001" s="318"/>
      <c r="D1001" s="1765" t="s">
        <v>1287</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670</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 customHeight="1">
      <c r="A1002" s="14"/>
      <c r="B1002" s="257"/>
      <c r="C1002" s="82"/>
      <c r="D1002" s="1768" t="s">
        <v>1285</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119</v>
      </c>
      <c r="AZ1003" s="34"/>
      <c r="BB1003" s="34"/>
    </row>
    <row r="1004" spans="1:55" ht="12.9"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0.15</v>
      </c>
      <c r="AZ1005" s="34"/>
      <c r="BB1005" s="34"/>
    </row>
    <row r="1006" spans="1:55" ht="12.9"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0.11</v>
      </c>
      <c r="AZ1006" s="34"/>
      <c r="BB1006" s="34"/>
    </row>
    <row r="1007" spans="1:55" ht="12.9" customHeight="1">
      <c r="A1007" s="14"/>
      <c r="B1007" s="255"/>
      <c r="C1007" s="80" t="s">
        <v>673</v>
      </c>
      <c r="D1007" s="1765" t="s">
        <v>1684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670</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2.9" customHeight="1">
      <c r="A1008" s="14"/>
      <c r="B1008" s="73"/>
      <c r="C1008" s="74"/>
      <c r="D1008" s="1696" t="s">
        <v>1286</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2.9"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2.9"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2.9" customHeight="1">
      <c r="A1011" s="14"/>
      <c r="B1011" s="79"/>
      <c r="C1011" s="80" t="s">
        <v>212</v>
      </c>
      <c r="D1011" s="1765" t="s">
        <v>1288</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670</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1289</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1842</v>
      </c>
      <c r="AZ1012" s="3" t="s">
        <v>2607</v>
      </c>
    </row>
    <row r="1013" spans="1:52" ht="12.9" customHeight="1">
      <c r="A1013" s="14"/>
      <c r="B1013" s="79"/>
      <c r="C1013" s="80" t="s">
        <v>215</v>
      </c>
      <c r="D1013" s="1765" t="s">
        <v>1290</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670</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696" t="s">
        <v>1291</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50" t="str">
        <f>IF(AND(AG1013="yes",T212&lt;&gt;1),"The project may not be eligible for this boost","")</f>
        <v/>
      </c>
      <c r="AG1014" s="1851"/>
      <c r="AH1014" s="1851"/>
      <c r="AI1014" s="1852"/>
      <c r="AJ1014" s="1728"/>
      <c r="AK1014" s="1729"/>
      <c r="AL1014" s="1729"/>
      <c r="AM1014" s="1729"/>
      <c r="AN1014" s="1729"/>
      <c r="AO1014" s="1729"/>
      <c r="AP1014" s="1729"/>
      <c r="AQ1014" s="1730"/>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3"/>
      <c r="AG1015" s="1854"/>
      <c r="AH1015" s="1854"/>
      <c r="AI1015" s="1855"/>
      <c r="AJ1015" s="1731"/>
      <c r="AK1015" s="1732"/>
      <c r="AL1015" s="1732"/>
      <c r="AM1015" s="1732"/>
      <c r="AN1015" s="1732"/>
      <c r="AO1015" s="1732"/>
      <c r="AP1015" s="1732"/>
      <c r="AQ1015" s="1733"/>
      <c r="AR1015" s="68"/>
      <c r="AS1015" s="68"/>
      <c r="AT1015" s="68"/>
      <c r="AU1015" s="68"/>
      <c r="AV1015" s="68"/>
      <c r="AW1015" s="68"/>
      <c r="AX1015" s="3">
        <v>3</v>
      </c>
      <c r="AY1015" s="200">
        <f t="shared" si="53"/>
        <v>0</v>
      </c>
      <c r="AZ1015" s="1255">
        <v>0.05</v>
      </c>
    </row>
    <row r="1016" spans="1:52" ht="12.9" customHeight="1">
      <c r="A1016" s="14"/>
      <c r="B1016" s="79"/>
      <c r="C1016" s="80" t="s">
        <v>218</v>
      </c>
      <c r="D1016" s="1734" t="s">
        <v>2236</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670</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3"/>
        <v>0</v>
      </c>
      <c r="AZ1016" s="1255">
        <v>0.02</v>
      </c>
    </row>
    <row r="1017" spans="1:52" ht="12.9" customHeight="1">
      <c r="A1017" s="14"/>
      <c r="B1017" s="73"/>
      <c r="C1017" s="74"/>
      <c r="D1017" s="1696" t="s">
        <v>1292</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4" t="str">
        <f>IF(AND(AG1016="Yes",AY1024=0),AY1027,"")</f>
        <v/>
      </c>
      <c r="AG1017" s="1845"/>
      <c r="AH1017" s="1845"/>
      <c r="AI1017" s="1846"/>
      <c r="AJ1017" s="1728"/>
      <c r="AK1017" s="1729"/>
      <c r="AL1017" s="1729"/>
      <c r="AM1017" s="1729"/>
      <c r="AN1017" s="1729"/>
      <c r="AO1017" s="1729"/>
      <c r="AP1017" s="1729"/>
      <c r="AQ1017" s="1730"/>
      <c r="AR1017" s="68"/>
      <c r="AS1017" s="68"/>
      <c r="AT1017" s="68"/>
      <c r="AU1017" s="68"/>
      <c r="AV1017" s="68"/>
      <c r="AW1017" s="68"/>
      <c r="AX1017" s="3">
        <v>5</v>
      </c>
      <c r="AY1017" s="200">
        <f t="shared" si="53"/>
        <v>0</v>
      </c>
      <c r="AZ1017" s="1255">
        <v>0.04</v>
      </c>
    </row>
    <row r="1018" spans="1:52" ht="12.9"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4"/>
      <c r="AG1018" s="1845"/>
      <c r="AH1018" s="1845"/>
      <c r="AI1018" s="1846"/>
      <c r="AJ1018" s="1728"/>
      <c r="AK1018" s="1729"/>
      <c r="AL1018" s="1729"/>
      <c r="AM1018" s="1729"/>
      <c r="AN1018" s="1729"/>
      <c r="AO1018" s="1729"/>
      <c r="AP1018" s="1729"/>
      <c r="AQ1018" s="1730"/>
      <c r="AR1018" s="68"/>
      <c r="AS1018" s="68"/>
      <c r="AT1018" s="68"/>
      <c r="AU1018" s="68"/>
      <c r="AV1018" s="68"/>
      <c r="AW1018" s="68"/>
      <c r="AX1018" s="3">
        <v>6</v>
      </c>
      <c r="AY1018" s="200">
        <f t="shared" si="53"/>
        <v>0</v>
      </c>
      <c r="AZ1018" s="1255">
        <v>0.04</v>
      </c>
    </row>
    <row r="1019" spans="1:52" ht="12.9"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7"/>
      <c r="AG1019" s="1848"/>
      <c r="AH1019" s="1848"/>
      <c r="AI1019" s="1849"/>
      <c r="AJ1019" s="1731"/>
      <c r="AK1019" s="1732"/>
      <c r="AL1019" s="1732"/>
      <c r="AM1019" s="1732"/>
      <c r="AN1019" s="1732"/>
      <c r="AO1019" s="1732"/>
      <c r="AP1019" s="1732"/>
      <c r="AQ1019" s="1733"/>
      <c r="AR1019" s="68"/>
      <c r="AS1019" s="68"/>
      <c r="AT1019" s="68"/>
      <c r="AU1019" s="68"/>
      <c r="AV1019" s="68"/>
      <c r="AW1019" s="68"/>
      <c r="AX1019" s="3">
        <v>7</v>
      </c>
      <c r="AY1019" s="200">
        <f t="shared" si="53"/>
        <v>0</v>
      </c>
      <c r="AZ1019" s="1255">
        <v>0.01</v>
      </c>
    </row>
    <row r="1020" spans="1:52" ht="12.9" customHeight="1">
      <c r="A1020" s="14"/>
      <c r="B1020" s="79"/>
      <c r="C1020" s="80" t="s">
        <v>223</v>
      </c>
      <c r="D1020" s="1813" t="s">
        <v>1293</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670</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3"/>
        <v>0</v>
      </c>
      <c r="AZ1020" s="1255">
        <v>0.01</v>
      </c>
    </row>
    <row r="1021" spans="1:52" ht="12.9"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3"/>
        <v>0</v>
      </c>
      <c r="AZ1021" s="1255">
        <v>0.01</v>
      </c>
    </row>
    <row r="1022" spans="1:52" ht="12.9" customHeight="1">
      <c r="A1022" s="14"/>
      <c r="B1022" s="81"/>
      <c r="C1022" s="84"/>
      <c r="D1022" s="1696" t="s">
        <v>1294</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3"/>
        <v>0</v>
      </c>
      <c r="AZ1022" s="1255">
        <v>0.02</v>
      </c>
    </row>
    <row r="1023" spans="1:52" ht="12.9"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822" t="s">
        <v>592</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2606</v>
      </c>
      <c r="AY1024" s="201">
        <f>IF(SUM(AY1013:AY1023)&lt;=0.2,SUM(AY1013:AY1023),0.2)</f>
        <v>0</v>
      </c>
    </row>
    <row r="1025" spans="1:57" ht="12.9" customHeight="1">
      <c r="A1025" s="14"/>
      <c r="B1025" s="79"/>
      <c r="C1025" s="80" t="s">
        <v>229</v>
      </c>
      <c r="D1025" s="1765" t="s">
        <v>1295</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670</v>
      </c>
      <c r="AH1025" s="1752"/>
      <c r="AI1025" s="87"/>
      <c r="AJ1025" s="1725">
        <f>ROUND(IF(AG1025="Yes",AF1027,0),0)</f>
        <v>0</v>
      </c>
      <c r="AK1025" s="1726"/>
      <c r="AL1025" s="1726"/>
      <c r="AM1025" s="1726"/>
      <c r="AN1025" s="1726"/>
      <c r="AO1025" s="1726"/>
      <c r="AP1025" s="1726"/>
      <c r="AQ1025" s="1727"/>
      <c r="AR1025" s="68"/>
      <c r="AS1025" s="68"/>
      <c r="AT1025" s="68"/>
      <c r="AU1025" s="68"/>
      <c r="AV1025" s="68"/>
      <c r="AW1025" s="68"/>
      <c r="AX1025" s="68"/>
      <c r="AY1025" s="68"/>
    </row>
    <row r="1026" spans="1:57" ht="12.9" customHeight="1">
      <c r="A1026" s="14"/>
      <c r="B1026" s="73"/>
      <c r="C1026" s="74"/>
      <c r="D1026" s="1696" t="s">
        <v>1691</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 customHeight="1">
      <c r="A1029" s="14"/>
      <c r="B1029" s="79"/>
      <c r="C1029" s="80" t="s">
        <v>234</v>
      </c>
      <c r="D1029" s="1734" t="s">
        <v>1296</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670</v>
      </c>
      <c r="AH1029" s="1752"/>
      <c r="AI1029" s="87"/>
      <c r="AJ1029" s="1725">
        <f>ROUND(IF(AG1029="yes",(AJ992*0.1),0),0)</f>
        <v>0</v>
      </c>
      <c r="AK1029" s="1726"/>
      <c r="AL1029" s="1726"/>
      <c r="AM1029" s="1726"/>
      <c r="AN1029" s="1726"/>
      <c r="AO1029" s="1726"/>
      <c r="AP1029" s="1726"/>
      <c r="AQ1029" s="1727"/>
      <c r="AR1029" s="68"/>
      <c r="AS1029" s="68"/>
      <c r="AT1029" s="68"/>
      <c r="AU1029" s="68"/>
      <c r="AV1029" s="68"/>
      <c r="AW1029" s="68"/>
      <c r="AX1029" s="68"/>
      <c r="AY1029" s="68"/>
    </row>
    <row r="1030" spans="1:57" ht="12.9" customHeight="1">
      <c r="A1030" s="14"/>
      <c r="B1030" s="73"/>
      <c r="C1030" s="74"/>
      <c r="D1030" s="1696" t="s">
        <v>1297</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 customHeight="1">
      <c r="A1032" s="14"/>
      <c r="B1032" s="73"/>
      <c r="C1032" s="339" t="s">
        <v>688</v>
      </c>
      <c r="D1032" s="1765" t="s">
        <v>1687</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670</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 customHeight="1">
      <c r="A1033" s="14"/>
      <c r="B1033" s="73"/>
      <c r="C1033" s="74"/>
      <c r="D1033" s="1802"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2.9" customHeight="1">
      <c r="A1034" s="14"/>
      <c r="B1034" s="73"/>
      <c r="C1034" s="74"/>
      <c r="D1034" s="1802"/>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2.9"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2.9" customHeight="1">
      <c r="A1036" s="14"/>
      <c r="B1036" s="73"/>
      <c r="C1036" s="339" t="s">
        <v>688</v>
      </c>
      <c r="D1036" s="1734" t="s">
        <v>1689</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670</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2.9" customHeight="1">
      <c r="A1037" s="14"/>
      <c r="B1037" s="73"/>
      <c r="C1037" s="74"/>
      <c r="D1037" s="1802"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 customHeight="1">
      <c r="A1038" s="14"/>
      <c r="B1038" s="73"/>
      <c r="C1038" s="74"/>
      <c r="D1038" s="1802"/>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 customHeight="1">
      <c r="A1039" s="14"/>
      <c r="B1039" s="73"/>
      <c r="C1039" s="74"/>
      <c r="D1039" s="1802"/>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0.26890756302521007</v>
      </c>
      <c r="BB1039" s="3" t="s">
        <v>2493</v>
      </c>
    </row>
    <row r="1040" spans="1:57" ht="12.9"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2490</v>
      </c>
    </row>
    <row r="1041" spans="1:56" ht="12.9" customHeight="1">
      <c r="A1041" s="14"/>
      <c r="B1041" s="79"/>
      <c r="C1041" s="131" t="s">
        <v>1011</v>
      </c>
      <c r="D1041" s="1765" t="s">
        <v>1298</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670</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2491</v>
      </c>
    </row>
    <row r="1042" spans="1:56" ht="12.9" customHeight="1">
      <c r="A1042" s="14"/>
      <c r="B1042" s="73"/>
      <c r="C1042" s="74"/>
      <c r="D1042" s="1696" t="s">
        <v>2145</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v>
      </c>
      <c r="BB1042" s="3" t="s">
        <v>2492</v>
      </c>
    </row>
    <row r="1043" spans="1:56" ht="12.9"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 customHeight="1">
      <c r="A1045" s="14"/>
      <c r="B1045" s="79"/>
      <c r="C1045" s="131" t="s">
        <v>1685</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8263195.1999999993</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696" t="s">
        <v>1300</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4946802.3</v>
      </c>
      <c r="BA1046" s="1182">
        <f>IF(BA1040,20%,15%)</f>
        <v>0.15</v>
      </c>
      <c r="BB1046" s="3" t="s">
        <v>2479</v>
      </c>
      <c r="BC1046" s="3" t="s">
        <v>2480</v>
      </c>
      <c r="BD1046" s="3"/>
    </row>
    <row r="1047" spans="1:56" ht="12.9"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 customHeight="1">
      <c r="A1048" s="14"/>
      <c r="B1048" s="77"/>
      <c r="C1048" s="78"/>
      <c r="D1048" s="132" t="s">
        <v>973</v>
      </c>
      <c r="E1048" s="133"/>
      <c r="F1048" s="133"/>
      <c r="G1048" s="133"/>
      <c r="H1048" s="133"/>
      <c r="I1048" s="1788">
        <f>AY1003</f>
        <v>119</v>
      </c>
      <c r="J1048" s="1789"/>
      <c r="K1048" s="7"/>
      <c r="L1048" s="133"/>
      <c r="M1048" s="133"/>
      <c r="N1048" s="133"/>
      <c r="O1048" s="133"/>
      <c r="P1048" s="133"/>
      <c r="Q1048" s="133"/>
      <c r="R1048" s="133"/>
      <c r="S1048" s="133"/>
      <c r="T1048" s="133"/>
      <c r="U1048" s="133"/>
      <c r="V1048" s="134" t="s">
        <v>974</v>
      </c>
      <c r="W1048" s="48"/>
      <c r="X1048" s="1786">
        <f>CI753</f>
        <v>18</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 customHeight="1">
      <c r="A1049" s="14"/>
      <c r="B1049" s="79"/>
      <c r="C1049" s="131" t="s">
        <v>1686</v>
      </c>
      <c r="D1049" s="1765" t="s">
        <v>2171</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12119352.960000001</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2479</v>
      </c>
      <c r="BC1049" s="3" t="s">
        <v>2483</v>
      </c>
      <c r="BD1049" s="3"/>
    </row>
    <row r="1050" spans="1:56" ht="12.9" customHeight="1">
      <c r="A1050" s="14"/>
      <c r="B1050" s="73"/>
      <c r="C1050" s="442"/>
      <c r="D1050" s="1696" t="s">
        <v>1299</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2.9"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973</v>
      </c>
      <c r="E1052" s="133"/>
      <c r="F1052" s="133"/>
      <c r="G1052" s="133"/>
      <c r="H1052" s="133"/>
      <c r="I1052" s="1788">
        <f>AY1003</f>
        <v>119</v>
      </c>
      <c r="J1052" s="1789"/>
      <c r="K1052" s="14"/>
      <c r="L1052" s="133"/>
      <c r="M1052" s="133"/>
      <c r="N1052" s="133"/>
      <c r="O1052" s="133"/>
      <c r="P1052" s="133"/>
      <c r="Q1052" s="133"/>
      <c r="R1052" s="133"/>
      <c r="S1052" s="133"/>
      <c r="T1052" s="133"/>
      <c r="U1052" s="133"/>
      <c r="V1052" s="134" t="s">
        <v>975</v>
      </c>
      <c r="X1052" s="1786">
        <f>CM753</f>
        <v>14</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75470516.159999996</v>
      </c>
      <c r="AK1053" s="1800"/>
      <c r="AL1053" s="1800"/>
      <c r="AM1053" s="1800"/>
      <c r="AN1053" s="1800"/>
      <c r="AO1053" s="1800"/>
      <c r="AP1053" s="1800"/>
      <c r="AQ1053" s="1801"/>
      <c r="AR1053" s="68"/>
      <c r="AS1053" s="68"/>
      <c r="AT1053" s="68"/>
      <c r="AU1053" s="68"/>
      <c r="AV1053" s="68"/>
      <c r="AW1053" s="68"/>
      <c r="AX1053" s="68"/>
      <c r="AY1053" s="68"/>
      <c r="AZ1053" s="1181">
        <v>6000000</v>
      </c>
      <c r="BA1053" s="3" t="s">
        <v>2486</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7">
        <f>'Sources and Uses Budget'!S107+'Sources and Uses Budget'!T107</f>
        <v>37925484</v>
      </c>
      <c r="AB1056" s="1347"/>
      <c r="AC1056" s="1347"/>
      <c r="AD1056" s="1347"/>
      <c r="AE1056" s="1347"/>
      <c r="AF1056" s="1347"/>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4946802.3</v>
      </c>
      <c r="BB1056" s="3" t="s">
        <v>2488</v>
      </c>
      <c r="BC1056" s="3"/>
      <c r="BD1056" s="3"/>
    </row>
    <row r="1057" spans="1:54" ht="12.9"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8">
        <f>IFERROR((AA1056-BA1059)/(AJ1053-AJ1045-AJ1049),"")</f>
        <v>0.64403686118899872</v>
      </c>
      <c r="AB1057" s="1349"/>
      <c r="AC1057" s="1349"/>
      <c r="AD1057" s="1349"/>
      <c r="AE1057" s="1349"/>
      <c r="AF1057" s="1350"/>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5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51"/>
      <c r="I1058" s="1351"/>
      <c r="J1058" s="1351"/>
      <c r="K1058" s="1351"/>
      <c r="L1058" s="1351"/>
      <c r="M1058" s="1351"/>
      <c r="N1058" s="1351"/>
      <c r="O1058" s="1351"/>
      <c r="P1058" s="1351"/>
      <c r="Q1058" s="1351"/>
      <c r="R1058" s="1351"/>
      <c r="S1058" s="1351"/>
      <c r="T1058" s="1351"/>
      <c r="U1058" s="1351"/>
      <c r="V1058" s="1351"/>
      <c r="W1058" s="1351"/>
      <c r="X1058" s="1351"/>
      <c r="Y1058" s="1351"/>
      <c r="Z1058" s="1351"/>
      <c r="AA1058" s="1351"/>
      <c r="AB1058" s="1351"/>
      <c r="AC1058" s="1351"/>
      <c r="AD1058" s="1351"/>
      <c r="AE1058" s="1351"/>
      <c r="AF1058" s="1351"/>
      <c r="AG1058" s="1351"/>
      <c r="AH1058" s="1351"/>
      <c r="AI1058" s="1351"/>
      <c r="AJ1058" s="1351"/>
      <c r="AK1058" s="1351"/>
      <c r="AL1058" s="1351"/>
      <c r="AM1058" s="1351"/>
      <c r="AN1058" s="1351"/>
      <c r="AO1058" s="68"/>
      <c r="AP1058" s="68"/>
      <c r="AQ1058" s="68"/>
      <c r="AR1058" s="68"/>
      <c r="AS1058" s="68"/>
      <c r="AT1058" s="68"/>
      <c r="AU1058" s="68"/>
      <c r="AV1058" s="14"/>
      <c r="AW1058" s="14"/>
      <c r="AX1058" s="14"/>
      <c r="AY1058" s="14"/>
      <c r="BA1058" s="1185">
        <f>'Sources and Uses Budget'!$S$104+'Sources and Uses Budget'!$T$104</f>
        <v>4946802</v>
      </c>
      <c r="BB1058" s="3" t="s">
        <v>2494</v>
      </c>
    </row>
    <row r="1059" spans="1:54" ht="12.9" customHeight="1">
      <c r="A1059" s="14"/>
      <c r="B1059" s="14"/>
      <c r="C1059" s="208"/>
      <c r="D1059" s="858"/>
      <c r="E1059" s="858"/>
      <c r="F1059" s="858"/>
      <c r="G1059" s="1351"/>
      <c r="H1059" s="1351"/>
      <c r="I1059" s="1351"/>
      <c r="J1059" s="1351"/>
      <c r="K1059" s="1351"/>
      <c r="L1059" s="1351"/>
      <c r="M1059" s="1351"/>
      <c r="N1059" s="1351"/>
      <c r="O1059" s="1351"/>
      <c r="P1059" s="1351"/>
      <c r="Q1059" s="1351"/>
      <c r="R1059" s="1351"/>
      <c r="S1059" s="1351"/>
      <c r="T1059" s="1351"/>
      <c r="U1059" s="1351"/>
      <c r="V1059" s="1351"/>
      <c r="W1059" s="1351"/>
      <c r="X1059" s="1351"/>
      <c r="Y1059" s="1351"/>
      <c r="Z1059" s="1351"/>
      <c r="AA1059" s="1351"/>
      <c r="AB1059" s="1351"/>
      <c r="AC1059" s="1351"/>
      <c r="AD1059" s="1351"/>
      <c r="AE1059" s="1351"/>
      <c r="AF1059" s="1351"/>
      <c r="AG1059" s="1351"/>
      <c r="AH1059" s="1351"/>
      <c r="AI1059" s="1351"/>
      <c r="AJ1059" s="1351"/>
      <c r="AK1059" s="1351"/>
      <c r="AL1059" s="1351"/>
      <c r="AM1059" s="1351"/>
      <c r="AN1059" s="1351"/>
      <c r="AO1059" s="68"/>
      <c r="AP1059" s="68"/>
      <c r="AQ1059" s="68"/>
      <c r="AR1059" s="68"/>
      <c r="AS1059" s="68"/>
      <c r="AT1059" s="68"/>
      <c r="AU1059" s="68"/>
      <c r="AV1059" s="14"/>
      <c r="AW1059" s="14"/>
      <c r="AX1059" s="14"/>
      <c r="AY1059" s="14"/>
      <c r="BA1059" s="1186">
        <f>MAX($BA$1058-$BA$1055,0)</f>
        <v>2446802</v>
      </c>
      <c r="BB1059" s="3" t="s">
        <v>2495</v>
      </c>
    </row>
    <row r="1060" spans="1:54" ht="12.9" customHeight="1">
      <c r="A1060" s="88"/>
      <c r="B1060" s="1172"/>
      <c r="C1060" s="1172"/>
      <c r="D1060" s="1172"/>
      <c r="E1060" s="1172"/>
      <c r="F1060" s="1172"/>
      <c r="G1060" s="1351"/>
      <c r="H1060" s="1351"/>
      <c r="I1060" s="1351"/>
      <c r="J1060" s="1351"/>
      <c r="K1060" s="1351"/>
      <c r="L1060" s="1351"/>
      <c r="M1060" s="1351"/>
      <c r="N1060" s="1351"/>
      <c r="O1060" s="1351"/>
      <c r="P1060" s="1351"/>
      <c r="Q1060" s="1351"/>
      <c r="R1060" s="1351"/>
      <c r="S1060" s="1351"/>
      <c r="T1060" s="1351"/>
      <c r="U1060" s="1351"/>
      <c r="V1060" s="1351"/>
      <c r="W1060" s="1351"/>
      <c r="X1060" s="1351"/>
      <c r="Y1060" s="1351"/>
      <c r="Z1060" s="1351"/>
      <c r="AA1060" s="1351"/>
      <c r="AB1060" s="1351"/>
      <c r="AC1060" s="1351"/>
      <c r="AD1060" s="1351"/>
      <c r="AE1060" s="1351"/>
      <c r="AF1060" s="1351"/>
      <c r="AG1060" s="1351"/>
      <c r="AH1060" s="1351"/>
      <c r="AI1060" s="1351"/>
      <c r="AJ1060" s="1351"/>
      <c r="AK1060" s="1351"/>
      <c r="AL1060" s="1351"/>
      <c r="AM1060" s="1351"/>
      <c r="AN1060" s="1351"/>
      <c r="AO1060" s="1172"/>
      <c r="AP1060" s="1172"/>
      <c r="AQ1060" s="68"/>
      <c r="AR1060" s="68"/>
      <c r="AS1060" s="68"/>
      <c r="AT1060" s="68"/>
      <c r="AU1060" s="68"/>
      <c r="AV1060" s="68"/>
      <c r="AW1060" s="68"/>
      <c r="AX1060" s="68"/>
      <c r="AY1060" s="68"/>
    </row>
    <row r="1061" spans="1:54" ht="12.9"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32" t="s">
        <v>592</v>
      </c>
      <c r="B1065" s="1432"/>
      <c r="C1065" s="1857">
        <v>1</v>
      </c>
      <c r="D1065" s="1857"/>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32" t="s">
        <v>592</v>
      </c>
      <c r="B1067" s="1432"/>
      <c r="C1067" s="1857">
        <v>2</v>
      </c>
      <c r="D1067" s="1857"/>
      <c r="E1067" s="1859" t="s">
        <v>2238</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32" t="s">
        <v>592</v>
      </c>
      <c r="B1070" s="1432"/>
      <c r="C1070" s="1409">
        <v>3</v>
      </c>
      <c r="D1070" s="1409"/>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 customHeight="1">
      <c r="A1071" s="1"/>
      <c r="B1071" s="1"/>
      <c r="C1071" s="1409"/>
      <c r="D1071" s="1409"/>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 customHeight="1">
      <c r="A1072" s="1"/>
      <c r="B1072" s="1"/>
      <c r="C1072" s="1409"/>
      <c r="D1072" s="1409"/>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 customHeight="1">
      <c r="A1073" s="1"/>
      <c r="B1073" s="1"/>
      <c r="C1073" s="1409"/>
      <c r="D1073" s="1409"/>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 customHeight="1">
      <c r="A1074" s="2"/>
      <c r="B1074" s="25"/>
      <c r="C1074" s="1409"/>
      <c r="D1074" s="1409"/>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32" t="s">
        <v>592</v>
      </c>
      <c r="B1075" s="1432"/>
      <c r="C1075" s="1409">
        <v>4</v>
      </c>
      <c r="D1075" s="1409"/>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 customHeight="1">
      <c r="A1076" s="1"/>
      <c r="B1076" s="1"/>
      <c r="C1076" s="1409"/>
      <c r="D1076" s="1409"/>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 customHeight="1">
      <c r="A1077" s="1"/>
      <c r="B1077" s="1"/>
      <c r="C1077" s="1409"/>
      <c r="D1077" s="1409"/>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 customHeight="1">
      <c r="A1078" s="1"/>
      <c r="B1078" s="1"/>
      <c r="C1078" s="1409"/>
      <c r="D1078" s="1409"/>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 customHeight="1">
      <c r="A1079" s="1"/>
      <c r="B1079" s="1"/>
      <c r="C1079" s="1409"/>
      <c r="D1079" s="1409"/>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 customHeight="1">
      <c r="A1080" s="1"/>
      <c r="B1080" s="1"/>
      <c r="C1080" s="1409"/>
      <c r="D1080" s="1409"/>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32" t="s">
        <v>592</v>
      </c>
      <c r="B1081" s="1432"/>
      <c r="C1081" s="1409">
        <v>5</v>
      </c>
      <c r="D1081" s="1409"/>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 customHeight="1">
      <c r="A1082" s="4"/>
      <c r="B1082" s="4"/>
      <c r="C1082" s="1409"/>
      <c r="D1082" s="1409"/>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 customHeight="1">
      <c r="A1083" s="4"/>
      <c r="B1083" s="4"/>
      <c r="C1083" s="1409"/>
      <c r="D1083" s="1409"/>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 customHeight="1">
      <c r="A1084" s="35"/>
      <c r="B1084" s="25"/>
      <c r="C1084" s="1409"/>
      <c r="D1084" s="1409"/>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32" t="s">
        <v>592</v>
      </c>
      <c r="B1085" s="1432"/>
      <c r="C1085" s="1409">
        <v>6</v>
      </c>
      <c r="D1085" s="1409"/>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 customHeight="1">
      <c r="A1087" s="1"/>
      <c r="B1087" s="1"/>
      <c r="C1087" s="1409"/>
      <c r="D1087" s="1409"/>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 customHeight="1">
      <c r="A1088" s="35"/>
      <c r="B1088" s="25"/>
      <c r="C1088" s="1409"/>
      <c r="D1088" s="1409"/>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32" t="s">
        <v>592</v>
      </c>
      <c r="B1089" s="1432"/>
      <c r="C1089" s="1409">
        <v>7</v>
      </c>
      <c r="D1089" s="1409"/>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 customHeight="1">
      <c r="A1090" s="1"/>
      <c r="B1090" s="1"/>
      <c r="C1090" s="1409"/>
      <c r="D1090" s="1409"/>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 customHeight="1">
      <c r="A1091" s="1"/>
      <c r="B1091" s="1"/>
      <c r="C1091" s="1409"/>
      <c r="D1091" s="1409"/>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 customHeight="1">
      <c r="A1092" s="1"/>
      <c r="B1092" s="1"/>
      <c r="C1092" s="1409"/>
      <c r="D1092" s="1409"/>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9"/>
      <c r="D1093" s="140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32" t="s">
        <v>592</v>
      </c>
      <c r="B1094" s="1432"/>
      <c r="C1094" s="1409">
        <v>8</v>
      </c>
      <c r="D1094" s="1409"/>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 customHeight="1">
      <c r="A1095" s="35"/>
      <c r="B1095" s="25"/>
      <c r="C1095" s="1409"/>
      <c r="D1095" s="1409"/>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 customHeight="1">
      <c r="A1096" s="35"/>
      <c r="B1096" s="25"/>
      <c r="C1096" s="1409"/>
      <c r="D1096" s="1409"/>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32" t="s">
        <v>592</v>
      </c>
      <c r="B1097" s="1432"/>
      <c r="C1097" s="1857">
        <v>9</v>
      </c>
      <c r="D1097" s="1857"/>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32" t="s">
        <v>592</v>
      </c>
      <c r="B1100" s="1432"/>
      <c r="C1100" s="1857">
        <v>10</v>
      </c>
      <c r="D1100" s="1857"/>
      <c r="E1100" s="1858" t="s">
        <v>2239</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32" t="s">
        <v>592</v>
      </c>
      <c r="B1103" s="1432"/>
      <c r="C1103" s="1857">
        <v>11</v>
      </c>
      <c r="D1103" s="1857"/>
      <c r="E1103" s="1858" t="s">
        <v>2241</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32" t="s">
        <v>592</v>
      </c>
      <c r="B1125" s="1432"/>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AK725:AO725"/>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AC503:AF503"/>
    <mergeCell ref="AC513:AF513"/>
    <mergeCell ref="Z611:AK611"/>
    <mergeCell ref="AC518:AF518"/>
    <mergeCell ref="AH504:AK504"/>
    <mergeCell ref="AH517:AK517"/>
    <mergeCell ref="W471:Y471"/>
    <mergeCell ref="EH652:EL652"/>
    <mergeCell ref="AI671:AK671"/>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DZ738:ED738"/>
    <mergeCell ref="EE738:EI738"/>
    <mergeCell ref="EJ738:EN738"/>
    <mergeCell ref="DE735:DI735"/>
    <mergeCell ref="DO732:DS732"/>
    <mergeCell ref="DZ739:ED739"/>
    <mergeCell ref="EE739:EI739"/>
    <mergeCell ref="DO753:DS753"/>
    <mergeCell ref="DO773:DS773"/>
    <mergeCell ref="DJ751:DN751"/>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R649:EV649"/>
    <mergeCell ref="AK723:AO723"/>
    <mergeCell ref="AK724:AO724"/>
    <mergeCell ref="DU739:DY739"/>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P753:CT753"/>
    <mergeCell ref="CP751:CT751"/>
    <mergeCell ref="DZ741:ED741"/>
    <mergeCell ref="DJ747:DN747"/>
    <mergeCell ref="DO747:DS747"/>
    <mergeCell ref="DU745:DY745"/>
    <mergeCell ref="DZ745:ED745"/>
    <mergeCell ref="CU751:CY751"/>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AK747:AO747"/>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Z687:AE687"/>
    <mergeCell ref="AH718:AJ718"/>
    <mergeCell ref="AC718:AG718"/>
    <mergeCell ref="AK714:AO717"/>
    <mergeCell ref="AK718:AO718"/>
    <mergeCell ref="AK630:AN630"/>
    <mergeCell ref="AK631:AN631"/>
    <mergeCell ref="AK632:AN632"/>
    <mergeCell ref="AE563:AH563"/>
    <mergeCell ref="AM563:AS563"/>
    <mergeCell ref="Z676:AK676"/>
    <mergeCell ref="W700:AK700"/>
    <mergeCell ref="Z683:AK683"/>
    <mergeCell ref="AA688:AK688"/>
    <mergeCell ref="AO628:AS628"/>
    <mergeCell ref="AG607:AH607"/>
    <mergeCell ref="AO624:AS626"/>
    <mergeCell ref="AG591:AH591"/>
    <mergeCell ref="Z632:AB632"/>
    <mergeCell ref="AA573:AK573"/>
    <mergeCell ref="DJ723:DN723"/>
    <mergeCell ref="AM566:AS566"/>
    <mergeCell ref="AA590:AK590"/>
    <mergeCell ref="AI589:AK589"/>
    <mergeCell ref="Z596:AK596"/>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Z631:AB631"/>
    <mergeCell ref="AF624:AJ626"/>
    <mergeCell ref="G719:J719"/>
    <mergeCell ref="AK627:AN627"/>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AH509:AK509"/>
    <mergeCell ref="AM561:AS561"/>
    <mergeCell ref="AM558:AS558"/>
    <mergeCell ref="AF632:AJ632"/>
    <mergeCell ref="AC631:AE631"/>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AK624:AN626"/>
    <mergeCell ref="AG599:AH599"/>
    <mergeCell ref="G595:R595"/>
    <mergeCell ref="G596:R596"/>
    <mergeCell ref="H614:R614"/>
    <mergeCell ref="G613:L613"/>
    <mergeCell ref="Z585:AK585"/>
    <mergeCell ref="G579:R579"/>
    <mergeCell ref="G594:R594"/>
    <mergeCell ref="Z594:AK594"/>
    <mergeCell ref="Z610:AK610"/>
    <mergeCell ref="N599:O599"/>
    <mergeCell ref="P589:R589"/>
    <mergeCell ref="Z588:AK588"/>
    <mergeCell ref="AM565:AS565"/>
    <mergeCell ref="T561:V561"/>
    <mergeCell ref="Q630:S630"/>
    <mergeCell ref="G589:L589"/>
    <mergeCell ref="G569:R569"/>
    <mergeCell ref="H582:R582"/>
    <mergeCell ref="Z579:AK579"/>
    <mergeCell ref="AM559:AS559"/>
    <mergeCell ref="AE559:AH559"/>
    <mergeCell ref="AI559:AL559"/>
    <mergeCell ref="O722:S722"/>
    <mergeCell ref="W563:Y563"/>
    <mergeCell ref="Z595:AK595"/>
    <mergeCell ref="G603:R603"/>
    <mergeCell ref="P597:R597"/>
    <mergeCell ref="G597:L597"/>
    <mergeCell ref="G602:R602"/>
    <mergeCell ref="W564:Y564"/>
    <mergeCell ref="W565:Y565"/>
    <mergeCell ref="AO632:AS632"/>
    <mergeCell ref="AA680:AK680"/>
    <mergeCell ref="G679:L679"/>
    <mergeCell ref="G610:R610"/>
    <mergeCell ref="A617:AT618"/>
    <mergeCell ref="B624:L626"/>
    <mergeCell ref="Z613:AE613"/>
    <mergeCell ref="AC629:AE629"/>
    <mergeCell ref="AO633:AS633"/>
    <mergeCell ref="G677:R677"/>
    <mergeCell ref="Z678:AK678"/>
    <mergeCell ref="M627:P627"/>
    <mergeCell ref="M629:P629"/>
    <mergeCell ref="W624:Y626"/>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Q638:S638"/>
    <mergeCell ref="H648:R648"/>
    <mergeCell ref="M634:P634"/>
    <mergeCell ref="Z661:AK661"/>
    <mergeCell ref="Q634:S634"/>
    <mergeCell ref="AK636:AN636"/>
    <mergeCell ref="C637:L637"/>
    <mergeCell ref="Z662:AK662"/>
    <mergeCell ref="G651:R651"/>
    <mergeCell ref="G652:R652"/>
    <mergeCell ref="Q632:S632"/>
    <mergeCell ref="W628:Y628"/>
    <mergeCell ref="AF628:AJ62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Z577:AK577"/>
    <mergeCell ref="AF574:AK574"/>
    <mergeCell ref="AH505:AK505"/>
    <mergeCell ref="W636:Y636"/>
    <mergeCell ref="M636:P636"/>
    <mergeCell ref="AA664:AK664"/>
    <mergeCell ref="T635:V635"/>
    <mergeCell ref="T636:V636"/>
    <mergeCell ref="T637:V637"/>
    <mergeCell ref="AO631:AS631"/>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Z635:AB635"/>
    <mergeCell ref="AH737:AJ737"/>
    <mergeCell ref="CU722:CY722"/>
    <mergeCell ref="CZ722:DD722"/>
    <mergeCell ref="CK736:CL736"/>
    <mergeCell ref="CG725:CH72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J724:DN724"/>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DE731:DI731"/>
    <mergeCell ref="DE739:DI739"/>
    <mergeCell ref="CK730:CL730"/>
    <mergeCell ref="CP731:CT731"/>
    <mergeCell ref="CI729:CJ729"/>
    <mergeCell ref="CP729:CT729"/>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CI723:CJ723"/>
    <mergeCell ref="CP728:CT728"/>
    <mergeCell ref="CU728:CY728"/>
    <mergeCell ref="CK732:CL732"/>
    <mergeCell ref="CG740:CH740"/>
    <mergeCell ref="CK737:CL737"/>
    <mergeCell ref="CG732:CH732"/>
    <mergeCell ref="CP734:CT734"/>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G739:CH739"/>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AK727:AO727"/>
    <mergeCell ref="AH724:AJ724"/>
    <mergeCell ref="CG738:CH738"/>
    <mergeCell ref="CK739:CL739"/>
    <mergeCell ref="N657:O657"/>
    <mergeCell ref="Z660:AK660"/>
    <mergeCell ref="G663:L663"/>
    <mergeCell ref="T732:W732"/>
    <mergeCell ref="T731:W731"/>
    <mergeCell ref="N649:O649"/>
    <mergeCell ref="AH719:AJ719"/>
    <mergeCell ref="CM739:CN739"/>
    <mergeCell ref="X728:AB728"/>
    <mergeCell ref="O719:S719"/>
    <mergeCell ref="CI717:CJ717"/>
    <mergeCell ref="P663:R663"/>
    <mergeCell ref="AO640:AS640"/>
    <mergeCell ref="AH738:AJ738"/>
    <mergeCell ref="AH736:AJ736"/>
    <mergeCell ref="AC739:AG73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H598:R598"/>
    <mergeCell ref="AG583:AH583"/>
    <mergeCell ref="G588:R588"/>
    <mergeCell ref="Z580:AK580"/>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C561:L561"/>
    <mergeCell ref="C558:L558"/>
    <mergeCell ref="AE560:AH560"/>
    <mergeCell ref="N575:O57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AJ357:AK357"/>
    <mergeCell ref="D444:AF444"/>
    <mergeCell ref="W556:Y556"/>
    <mergeCell ref="Q556:S556"/>
    <mergeCell ref="W469:Y469"/>
    <mergeCell ref="AH515:AK515"/>
    <mergeCell ref="AC516:AF516"/>
    <mergeCell ref="AE556:AH556"/>
    <mergeCell ref="D469:V469"/>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M554:P554"/>
    <mergeCell ref="W465:Y465"/>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W473:Y473"/>
    <mergeCell ref="Q394:U394"/>
    <mergeCell ref="AD412:AE412"/>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298:AK298"/>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P345:AE345"/>
    <mergeCell ref="R412:S412"/>
    <mergeCell ref="Q429:R429"/>
    <mergeCell ref="D448:AF448"/>
    <mergeCell ref="AG445:AJ445"/>
    <mergeCell ref="AC370:AF37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AG401:AJ401"/>
    <mergeCell ref="AC387:AJ387"/>
    <mergeCell ref="V388:AJ388"/>
    <mergeCell ref="D443:AF443"/>
    <mergeCell ref="AG395:AJ395"/>
    <mergeCell ref="AI392:AJ392"/>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Z634:AB634"/>
    <mergeCell ref="T720:W720"/>
    <mergeCell ref="K714:N717"/>
    <mergeCell ref="C635:L635"/>
    <mergeCell ref="C630:L630"/>
    <mergeCell ref="C631:L631"/>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CG724:CH724"/>
    <mergeCell ref="CG730:CH730"/>
    <mergeCell ref="CG728:CH728"/>
    <mergeCell ref="X718:AB718"/>
    <mergeCell ref="CP748:CT748"/>
    <mergeCell ref="CU748:CY748"/>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K752:CL752"/>
    <mergeCell ref="CP747:CT747"/>
    <mergeCell ref="CG748:CH748"/>
    <mergeCell ref="CZ750:DD750"/>
    <mergeCell ref="CK723:CL723"/>
    <mergeCell ref="CK721:CL721"/>
    <mergeCell ref="CM726:CN726"/>
    <mergeCell ref="CM718:CN718"/>
    <mergeCell ref="CI732:CJ732"/>
    <mergeCell ref="CM728:CN728"/>
    <mergeCell ref="Z652:AK652"/>
    <mergeCell ref="CU726:CY726"/>
    <mergeCell ref="CZ726:DD726"/>
    <mergeCell ref="CK722:CL722"/>
    <mergeCell ref="AG689:AH689"/>
    <mergeCell ref="CK719:CL719"/>
    <mergeCell ref="C627:L627"/>
    <mergeCell ref="P581:R581"/>
    <mergeCell ref="N591:O591"/>
    <mergeCell ref="Q560:S560"/>
    <mergeCell ref="Q565:S565"/>
    <mergeCell ref="Q561:S561"/>
    <mergeCell ref="C562:L562"/>
    <mergeCell ref="CP750:CT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632:L632"/>
    <mergeCell ref="P687:R687"/>
    <mergeCell ref="R705:T705"/>
    <mergeCell ref="B723:F723"/>
    <mergeCell ref="AF630:AJ630"/>
    <mergeCell ref="G685:R685"/>
    <mergeCell ref="M635:P635"/>
    <mergeCell ref="G646:R646"/>
    <mergeCell ref="G714:J717"/>
    <mergeCell ref="G668:R668"/>
    <mergeCell ref="CK748:CL748"/>
    <mergeCell ref="AC512:AF51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Z562:AD562"/>
    <mergeCell ref="W561:Y561"/>
    <mergeCell ref="W562:Y562"/>
    <mergeCell ref="T559:V559"/>
    <mergeCell ref="Z569:AK569"/>
    <mergeCell ref="AA582:AK582"/>
    <mergeCell ref="H573:R573"/>
    <mergeCell ref="B566:AL566"/>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H518:AK518"/>
    <mergeCell ref="AH514:AK514"/>
    <mergeCell ref="Q555:S555"/>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B551:L553"/>
    <mergeCell ref="Z559:AD559"/>
    <mergeCell ref="AC521:AF521"/>
    <mergeCell ref="AH527:AK527"/>
    <mergeCell ref="AC517:AF517"/>
    <mergeCell ref="AG443:AJ443"/>
    <mergeCell ref="AG444:AJ444"/>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08:AF508"/>
    <mergeCell ref="AH537:AK537"/>
    <mergeCell ref="AC534:AF534"/>
    <mergeCell ref="AH507:AK507"/>
    <mergeCell ref="AG450:AJ450"/>
    <mergeCell ref="D467:V467"/>
    <mergeCell ref="AG441:AJ441"/>
    <mergeCell ref="Z554:AD554"/>
    <mergeCell ref="AH531:AK531"/>
    <mergeCell ref="AC515:AF515"/>
    <mergeCell ref="AC514:AF514"/>
    <mergeCell ref="Z551:AD553"/>
    <mergeCell ref="AH513:AK513"/>
    <mergeCell ref="AC531:AF531"/>
    <mergeCell ref="L508:AB508"/>
    <mergeCell ref="AI560:AL560"/>
    <mergeCell ref="O520:AA520"/>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CZ732:DD732"/>
    <mergeCell ref="G721:J721"/>
    <mergeCell ref="G722:J722"/>
    <mergeCell ref="DE718:DI718"/>
    <mergeCell ref="CK718:CL718"/>
    <mergeCell ref="N583:O583"/>
    <mergeCell ref="AE555:AH555"/>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U741:DY741"/>
    <mergeCell ref="CI750:CJ750"/>
    <mergeCell ref="CI752:CJ752"/>
    <mergeCell ref="CI753:CJ753"/>
    <mergeCell ref="CM748:CN748"/>
    <mergeCell ref="CG749:CH749"/>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CU787:CY787"/>
    <mergeCell ref="CP793:CT793"/>
    <mergeCell ref="CP792:CT792"/>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U794:DY794"/>
    <mergeCell ref="DU795:DY795"/>
    <mergeCell ref="DE787:DI787"/>
    <mergeCell ref="DE788:DI788"/>
    <mergeCell ref="CU776:CY776"/>
    <mergeCell ref="CU750:CY750"/>
    <mergeCell ref="CK746:CL746"/>
    <mergeCell ref="CM746:CN746"/>
    <mergeCell ref="CK744:CL744"/>
    <mergeCell ref="CM744:CN744"/>
    <mergeCell ref="DJ792:DN792"/>
    <mergeCell ref="DJ793:DN793"/>
    <mergeCell ref="DJ794:DN794"/>
    <mergeCell ref="DJ795:DN795"/>
    <mergeCell ref="DJ796:DN796"/>
    <mergeCell ref="DJ797:DN797"/>
    <mergeCell ref="DO787:DS787"/>
    <mergeCell ref="DO788:DS788"/>
    <mergeCell ref="DO789:DS789"/>
    <mergeCell ref="DO790:DS790"/>
    <mergeCell ref="DO791:DS791"/>
    <mergeCell ref="DO793:DS793"/>
    <mergeCell ref="DO794:DS794"/>
    <mergeCell ref="DO795:DS795"/>
    <mergeCell ref="DO796:DS796"/>
    <mergeCell ref="DO797:DS797"/>
    <mergeCell ref="CP789:CT789"/>
    <mergeCell ref="CP787:CT787"/>
    <mergeCell ref="CM753:CN753"/>
    <mergeCell ref="CP794:CT794"/>
    <mergeCell ref="CP795:CT795"/>
    <mergeCell ref="CP796:CT796"/>
    <mergeCell ref="DZ793:ED793"/>
    <mergeCell ref="DZ794:ED794"/>
    <mergeCell ref="CP791:CT791"/>
    <mergeCell ref="CP790:CT790"/>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J788:DN788"/>
    <mergeCell ref="DJ789:DN789"/>
    <mergeCell ref="DU796:DY796"/>
    <mergeCell ref="DE789:DI789"/>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EO797:ES797"/>
    <mergeCell ref="DZ787:ED787"/>
    <mergeCell ref="DZ788:ED788"/>
    <mergeCell ref="DZ789:ED789"/>
    <mergeCell ref="DZ790:ED790"/>
    <mergeCell ref="DZ791:ED791"/>
    <mergeCell ref="DZ792:ED792"/>
    <mergeCell ref="DJ790:DN790"/>
    <mergeCell ref="DJ791:DN791"/>
    <mergeCell ref="DZ795:ED795"/>
    <mergeCell ref="DZ796:ED796"/>
    <mergeCell ref="AC541:AF541"/>
    <mergeCell ref="AC540:AF540"/>
    <mergeCell ref="AC538:AF538"/>
    <mergeCell ref="AC539:AF539"/>
    <mergeCell ref="AC542:AF542"/>
    <mergeCell ref="AH542:AK542"/>
    <mergeCell ref="AH540:AK540"/>
    <mergeCell ref="AH538:AK538"/>
    <mergeCell ref="AH539:AK539"/>
    <mergeCell ref="AH541:AK541"/>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DZ797:ED797"/>
    <mergeCell ref="DE795:DI795"/>
    <mergeCell ref="DE796:DI796"/>
    <mergeCell ref="DE797:DI797"/>
    <mergeCell ref="DJ787:DN787"/>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52" workbookViewId="0">
      <selection activeCell="C86" sqref="C86"/>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 Bank Permanent Loan</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1725000</v>
      </c>
      <c r="C4" s="147">
        <v>1725000</v>
      </c>
      <c r="D4" s="147"/>
      <c r="E4" s="147">
        <f>+C4-SUM(F4:G4)</f>
        <v>1725000</v>
      </c>
      <c r="F4" s="147"/>
      <c r="G4" s="147"/>
      <c r="H4" s="147"/>
      <c r="I4" s="147"/>
      <c r="J4" s="147"/>
      <c r="K4" s="147"/>
      <c r="L4" s="147"/>
      <c r="M4" s="147"/>
      <c r="N4" s="147"/>
      <c r="O4" s="147"/>
      <c r="P4" s="147"/>
      <c r="Q4" s="147"/>
      <c r="R4" s="516">
        <f>SUM(E4:Q4)</f>
        <v>1725000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1725000</v>
      </c>
      <c r="C8" s="146">
        <f t="shared" ref="C8:Q8" si="0">SUM(C4:C7)</f>
        <v>1725000</v>
      </c>
      <c r="D8" s="146">
        <f t="shared" si="0"/>
        <v>0</v>
      </c>
      <c r="E8" s="146">
        <f t="shared" si="0"/>
        <v>1725000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1725000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1725000</v>
      </c>
      <c r="C12" s="146">
        <f t="shared" si="2"/>
        <v>1725000</v>
      </c>
      <c r="D12" s="146">
        <f t="shared" si="2"/>
        <v>0</v>
      </c>
      <c r="E12" s="146">
        <f t="shared" si="2"/>
        <v>1725000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1725000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f t="shared" ref="E29:E37" si="7">+C29-SUM(F29:G29)</f>
        <v>0</v>
      </c>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600</v>
      </c>
      <c r="B30" s="146">
        <f t="shared" si="6"/>
        <v>22470683</v>
      </c>
      <c r="C30" s="147">
        <v>22470683</v>
      </c>
      <c r="D30" s="147"/>
      <c r="E30" s="147">
        <f t="shared" si="7"/>
        <v>11727824</v>
      </c>
      <c r="F30" s="147">
        <f>+Application!AO627</f>
        <v>10742859</v>
      </c>
      <c r="G30" s="147"/>
      <c r="H30" s="147"/>
      <c r="I30" s="147"/>
      <c r="J30" s="147"/>
      <c r="K30" s="147"/>
      <c r="L30" s="147"/>
      <c r="M30" s="147"/>
      <c r="N30" s="147"/>
      <c r="O30" s="147"/>
      <c r="P30" s="147"/>
      <c r="Q30" s="147"/>
      <c r="R30" s="516">
        <f t="shared" si="8"/>
        <v>22470683</v>
      </c>
      <c r="S30" s="147">
        <f>+R30</f>
        <v>22470683</v>
      </c>
      <c r="T30" s="147"/>
      <c r="U30" s="143"/>
    </row>
    <row r="31" spans="1:21" s="144" customFormat="1">
      <c r="A31" s="145" t="s">
        <v>601</v>
      </c>
      <c r="B31" s="146">
        <f t="shared" si="6"/>
        <v>1348241</v>
      </c>
      <c r="C31" s="147">
        <v>1348241</v>
      </c>
      <c r="D31" s="147"/>
      <c r="E31" s="147">
        <f t="shared" si="7"/>
        <v>1348241</v>
      </c>
      <c r="F31" s="147"/>
      <c r="G31" s="147"/>
      <c r="H31" s="147"/>
      <c r="I31" s="147"/>
      <c r="J31" s="147"/>
      <c r="K31" s="147"/>
      <c r="L31" s="147"/>
      <c r="M31" s="147"/>
      <c r="N31" s="147"/>
      <c r="O31" s="147"/>
      <c r="P31" s="147"/>
      <c r="Q31" s="147"/>
      <c r="R31" s="516">
        <f t="shared" si="8"/>
        <v>1348241</v>
      </c>
      <c r="S31" s="147">
        <f t="shared" ref="S31:S35" si="9">+R31</f>
        <v>1348241</v>
      </c>
      <c r="T31" s="147"/>
      <c r="U31" s="143"/>
    </row>
    <row r="32" spans="1:21" s="144" customFormat="1">
      <c r="A32" s="145" t="s">
        <v>137</v>
      </c>
      <c r="B32" s="146">
        <f t="shared" si="6"/>
        <v>476378</v>
      </c>
      <c r="C32" s="147">
        <v>476378</v>
      </c>
      <c r="D32" s="147"/>
      <c r="E32" s="147">
        <f t="shared" si="7"/>
        <v>476378</v>
      </c>
      <c r="F32" s="147"/>
      <c r="G32" s="147"/>
      <c r="H32" s="147"/>
      <c r="I32" s="147"/>
      <c r="J32" s="147"/>
      <c r="K32" s="147"/>
      <c r="L32" s="147"/>
      <c r="M32" s="147"/>
      <c r="N32" s="147"/>
      <c r="O32" s="147"/>
      <c r="P32" s="147"/>
      <c r="Q32" s="147"/>
      <c r="R32" s="516">
        <f t="shared" si="8"/>
        <v>476378</v>
      </c>
      <c r="S32" s="147">
        <f t="shared" si="9"/>
        <v>476378</v>
      </c>
      <c r="T32" s="147"/>
      <c r="U32" s="143"/>
    </row>
    <row r="33" spans="1:21" s="144" customFormat="1">
      <c r="A33" s="145" t="s">
        <v>138</v>
      </c>
      <c r="B33" s="146">
        <f t="shared" si="6"/>
        <v>1429135</v>
      </c>
      <c r="C33" s="147">
        <v>1429135</v>
      </c>
      <c r="D33" s="147"/>
      <c r="E33" s="147">
        <f t="shared" si="7"/>
        <v>1429135</v>
      </c>
      <c r="F33" s="147"/>
      <c r="G33" s="147"/>
      <c r="H33" s="147"/>
      <c r="I33" s="147"/>
      <c r="J33" s="147"/>
      <c r="K33" s="147"/>
      <c r="L33" s="147"/>
      <c r="M33" s="147"/>
      <c r="N33" s="147"/>
      <c r="O33" s="147"/>
      <c r="P33" s="147"/>
      <c r="Q33" s="147"/>
      <c r="R33" s="516">
        <f t="shared" si="8"/>
        <v>1429135</v>
      </c>
      <c r="S33" s="147">
        <f t="shared" si="9"/>
        <v>1429135</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771733</v>
      </c>
      <c r="C35" s="147">
        <v>771733</v>
      </c>
      <c r="D35" s="147"/>
      <c r="E35" s="147">
        <f t="shared" si="7"/>
        <v>771733</v>
      </c>
      <c r="F35" s="147"/>
      <c r="G35" s="147"/>
      <c r="H35" s="147"/>
      <c r="I35" s="147"/>
      <c r="J35" s="147"/>
      <c r="K35" s="147"/>
      <c r="L35" s="147"/>
      <c r="M35" s="147"/>
      <c r="N35" s="147"/>
      <c r="O35" s="147"/>
      <c r="P35" s="147"/>
      <c r="Q35" s="147"/>
      <c r="R35" s="516">
        <f t="shared" si="8"/>
        <v>771733</v>
      </c>
      <c r="S35" s="147">
        <f t="shared" si="9"/>
        <v>771733</v>
      </c>
      <c r="T35" s="147"/>
      <c r="U35" s="143"/>
    </row>
    <row r="36" spans="1:21" s="144" customFormat="1">
      <c r="A36" s="283" t="s">
        <v>1641</v>
      </c>
      <c r="B36" s="146">
        <f t="shared" si="6"/>
        <v>0</v>
      </c>
      <c r="C36" s="147"/>
      <c r="D36" s="147"/>
      <c r="E36" s="147">
        <f t="shared" si="7"/>
        <v>0</v>
      </c>
      <c r="F36" s="147"/>
      <c r="G36" s="147"/>
      <c r="H36" s="147"/>
      <c r="I36" s="147"/>
      <c r="J36" s="147"/>
      <c r="K36" s="147"/>
      <c r="L36" s="147"/>
      <c r="M36" s="147"/>
      <c r="N36" s="147"/>
      <c r="O36" s="147"/>
      <c r="P36" s="147"/>
      <c r="Q36" s="147"/>
      <c r="R36" s="516">
        <f t="shared" si="8"/>
        <v>0</v>
      </c>
      <c r="S36" s="147"/>
      <c r="T36" s="147"/>
      <c r="U36" s="143"/>
    </row>
    <row r="37" spans="1:21" s="144" customFormat="1">
      <c r="A37" s="1149" t="s">
        <v>34</v>
      </c>
      <c r="B37" s="146">
        <f t="shared" si="6"/>
        <v>0</v>
      </c>
      <c r="C37" s="147"/>
      <c r="D37" s="147"/>
      <c r="E37" s="147">
        <f t="shared" si="7"/>
        <v>0</v>
      </c>
      <c r="F37" s="147"/>
      <c r="G37" s="147"/>
      <c r="H37" s="147"/>
      <c r="I37" s="147"/>
      <c r="J37" s="147"/>
      <c r="K37" s="147"/>
      <c r="L37" s="147"/>
      <c r="M37" s="147"/>
      <c r="N37" s="147"/>
      <c r="O37" s="147"/>
      <c r="P37" s="147"/>
      <c r="Q37" s="147"/>
      <c r="R37" s="516">
        <f t="shared" si="8"/>
        <v>0</v>
      </c>
      <c r="S37" s="147"/>
      <c r="T37" s="147"/>
      <c r="U37" s="143"/>
    </row>
    <row r="38" spans="1:21" s="144" customFormat="1" ht="12">
      <c r="A38" s="149" t="s">
        <v>143</v>
      </c>
      <c r="B38" s="146">
        <f t="shared" si="6"/>
        <v>26496170</v>
      </c>
      <c r="C38" s="146">
        <f>SUM(C29:C37)</f>
        <v>26496170</v>
      </c>
      <c r="D38" s="146">
        <f t="shared" ref="D38:Q38" si="10">SUM(D29:D37)</f>
        <v>0</v>
      </c>
      <c r="E38" s="146">
        <f t="shared" si="10"/>
        <v>15753311</v>
      </c>
      <c r="F38" s="146">
        <f t="shared" si="10"/>
        <v>10742859</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26496170</v>
      </c>
      <c r="S38" s="150">
        <f>SUM(S29:S37)</f>
        <v>26496170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998897</v>
      </c>
      <c r="C40" s="147">
        <v>998897</v>
      </c>
      <c r="D40" s="147"/>
      <c r="E40" s="147">
        <f t="shared" ref="E40:E41" si="11">+C40-SUM(F40:G40)</f>
        <v>998897</v>
      </c>
      <c r="F40" s="147"/>
      <c r="G40" s="147"/>
      <c r="H40" s="147"/>
      <c r="I40" s="147"/>
      <c r="J40" s="147"/>
      <c r="K40" s="147"/>
      <c r="L40" s="147"/>
      <c r="M40" s="147"/>
      <c r="N40" s="147"/>
      <c r="O40" s="147"/>
      <c r="P40" s="147"/>
      <c r="Q40" s="147"/>
      <c r="R40" s="516">
        <f>SUM(E40:Q40)</f>
        <v>998897</v>
      </c>
      <c r="S40" s="147">
        <f t="shared" ref="S40:S41" si="12">+R40</f>
        <v>998897</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16">
        <f>SUM(E41:Q41)</f>
        <v>0</v>
      </c>
      <c r="S41" s="147">
        <f t="shared" si="12"/>
        <v>0</v>
      </c>
      <c r="T41" s="147"/>
      <c r="U41" s="143"/>
    </row>
    <row r="42" spans="1:21" s="144" customFormat="1" ht="12">
      <c r="A42" s="149" t="s">
        <v>147</v>
      </c>
      <c r="B42" s="146">
        <f>SUM(C42:D42)</f>
        <v>998897</v>
      </c>
      <c r="C42" s="146">
        <f>SUM(C39:C41)</f>
        <v>998897</v>
      </c>
      <c r="D42" s="146">
        <f>SUM(D39:D41)</f>
        <v>0</v>
      </c>
      <c r="E42" s="146">
        <f t="shared" ref="E42:T42" si="13">SUM(E40:E41)</f>
        <v>998897</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998897</v>
      </c>
      <c r="S42" s="150">
        <f t="shared" si="13"/>
        <v>998897</v>
      </c>
      <c r="T42" s="150">
        <f t="shared" si="13"/>
        <v>0</v>
      </c>
      <c r="U42" s="143"/>
    </row>
    <row r="43" spans="1:21" s="144" customFormat="1" ht="12">
      <c r="A43" s="149" t="s">
        <v>148</v>
      </c>
      <c r="B43" s="146">
        <f>SUM(C43:D43)</f>
        <v>100000</v>
      </c>
      <c r="C43" s="147">
        <v>100000</v>
      </c>
      <c r="D43" s="147"/>
      <c r="E43" s="147">
        <f>+C43-SUM(F43:G43)</f>
        <v>100000</v>
      </c>
      <c r="F43" s="147"/>
      <c r="G43" s="147"/>
      <c r="H43" s="147"/>
      <c r="I43" s="147"/>
      <c r="J43" s="147"/>
      <c r="K43" s="147"/>
      <c r="L43" s="147"/>
      <c r="M43" s="147"/>
      <c r="N43" s="147"/>
      <c r="O43" s="147"/>
      <c r="P43" s="147"/>
      <c r="Q43" s="147"/>
      <c r="R43" s="516">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1500000</v>
      </c>
      <c r="C45" s="147">
        <v>1500000</v>
      </c>
      <c r="D45" s="147"/>
      <c r="E45" s="147">
        <f t="shared" ref="E45:E53" si="15">+C45-SUM(F45:G45)</f>
        <v>1500000</v>
      </c>
      <c r="F45" s="147"/>
      <c r="G45" s="147"/>
      <c r="H45" s="147"/>
      <c r="I45" s="147"/>
      <c r="J45" s="147"/>
      <c r="K45" s="147"/>
      <c r="L45" s="147"/>
      <c r="M45" s="147"/>
      <c r="N45" s="147"/>
      <c r="O45" s="147"/>
      <c r="P45" s="147"/>
      <c r="Q45" s="147"/>
      <c r="R45" s="516">
        <f t="shared" ref="R45:R53" si="16">SUM(E45:Q45)</f>
        <v>1500000</v>
      </c>
      <c r="S45" s="147">
        <f t="shared" ref="S45:S48" si="17">+R45</f>
        <v>1500000</v>
      </c>
      <c r="T45" s="147"/>
      <c r="U45" s="143"/>
    </row>
    <row r="46" spans="1:21" s="144" customFormat="1">
      <c r="A46" s="145" t="s">
        <v>151</v>
      </c>
      <c r="B46" s="146">
        <f t="shared" si="14"/>
        <v>346684</v>
      </c>
      <c r="C46" s="147">
        <v>346684</v>
      </c>
      <c r="D46" s="147"/>
      <c r="E46" s="147">
        <f t="shared" si="15"/>
        <v>346684</v>
      </c>
      <c r="F46" s="147"/>
      <c r="G46" s="147"/>
      <c r="H46" s="147"/>
      <c r="I46" s="147"/>
      <c r="J46" s="147"/>
      <c r="K46" s="147"/>
      <c r="L46" s="147"/>
      <c r="M46" s="147"/>
      <c r="N46" s="147"/>
      <c r="O46" s="147"/>
      <c r="P46" s="147"/>
      <c r="Q46" s="147"/>
      <c r="R46" s="516">
        <f t="shared" si="16"/>
        <v>346684</v>
      </c>
      <c r="S46" s="147">
        <f t="shared" si="17"/>
        <v>346684</v>
      </c>
      <c r="T46" s="147"/>
      <c r="U46" s="143"/>
    </row>
    <row r="47" spans="1:21" s="144" customFormat="1">
      <c r="A47" s="186" t="s">
        <v>152</v>
      </c>
      <c r="B47" s="146">
        <f t="shared" si="14"/>
        <v>35000</v>
      </c>
      <c r="C47" s="147">
        <v>35000</v>
      </c>
      <c r="D47" s="147"/>
      <c r="E47" s="147">
        <f t="shared" si="15"/>
        <v>35000</v>
      </c>
      <c r="F47" s="147"/>
      <c r="G47" s="147"/>
      <c r="H47" s="147"/>
      <c r="I47" s="147"/>
      <c r="J47" s="147"/>
      <c r="K47" s="147"/>
      <c r="L47" s="147"/>
      <c r="M47" s="147"/>
      <c r="N47" s="147"/>
      <c r="O47" s="147"/>
      <c r="P47" s="147"/>
      <c r="Q47" s="147"/>
      <c r="R47" s="516">
        <f t="shared" si="16"/>
        <v>35000</v>
      </c>
      <c r="S47" s="147">
        <f t="shared" si="17"/>
        <v>35000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199302</v>
      </c>
      <c r="C49" s="147">
        <v>199302</v>
      </c>
      <c r="D49" s="147"/>
      <c r="E49" s="147">
        <f t="shared" si="15"/>
        <v>199302</v>
      </c>
      <c r="F49" s="147"/>
      <c r="G49" s="147"/>
      <c r="H49" s="147"/>
      <c r="I49" s="147"/>
      <c r="J49" s="147"/>
      <c r="K49" s="147"/>
      <c r="L49" s="147"/>
      <c r="M49" s="147"/>
      <c r="N49" s="147"/>
      <c r="O49" s="147"/>
      <c r="P49" s="147"/>
      <c r="Q49" s="147"/>
      <c r="R49" s="516">
        <f t="shared" si="16"/>
        <v>199302</v>
      </c>
      <c r="S49" s="147"/>
      <c r="T49" s="147"/>
      <c r="U49" s="143"/>
    </row>
    <row r="50" spans="1:21" s="144" customFormat="1">
      <c r="A50" s="145" t="s">
        <v>156</v>
      </c>
      <c r="B50" s="146">
        <f t="shared" si="14"/>
        <v>40000</v>
      </c>
      <c r="C50" s="147">
        <v>40000</v>
      </c>
      <c r="D50" s="147"/>
      <c r="E50" s="147">
        <f t="shared" si="15"/>
        <v>40000</v>
      </c>
      <c r="F50" s="147"/>
      <c r="G50" s="147"/>
      <c r="H50" s="147"/>
      <c r="I50" s="147"/>
      <c r="J50" s="147"/>
      <c r="K50" s="147"/>
      <c r="L50" s="147"/>
      <c r="M50" s="147"/>
      <c r="N50" s="147"/>
      <c r="O50" s="147"/>
      <c r="P50" s="147"/>
      <c r="Q50" s="147"/>
      <c r="R50" s="516">
        <f t="shared" si="16"/>
        <v>40000</v>
      </c>
      <c r="S50" s="147">
        <f t="shared" ref="S50:S53" si="18">+R50</f>
        <v>40000</v>
      </c>
      <c r="T50" s="147"/>
      <c r="U50" s="143"/>
    </row>
    <row r="51" spans="1:21" s="144" customFormat="1">
      <c r="A51" s="283" t="s">
        <v>154</v>
      </c>
      <c r="B51" s="146">
        <f t="shared" si="14"/>
        <v>34500</v>
      </c>
      <c r="C51" s="147">
        <v>34500</v>
      </c>
      <c r="D51" s="147"/>
      <c r="E51" s="147">
        <f t="shared" si="15"/>
        <v>34500</v>
      </c>
      <c r="F51" s="147"/>
      <c r="G51" s="147"/>
      <c r="H51" s="147"/>
      <c r="I51" s="147"/>
      <c r="J51" s="147"/>
      <c r="K51" s="147"/>
      <c r="L51" s="147"/>
      <c r="M51" s="147"/>
      <c r="N51" s="147"/>
      <c r="O51" s="147"/>
      <c r="P51" s="147"/>
      <c r="Q51" s="147"/>
      <c r="R51" s="516">
        <f t="shared" si="16"/>
        <v>34500</v>
      </c>
      <c r="S51" s="147">
        <f t="shared" si="18"/>
        <v>34500</v>
      </c>
      <c r="T51" s="147"/>
      <c r="U51" s="143"/>
    </row>
    <row r="52" spans="1:21" s="144" customFormat="1">
      <c r="A52" s="145" t="s">
        <v>155</v>
      </c>
      <c r="B52" s="146">
        <f t="shared" si="14"/>
        <v>0</v>
      </c>
      <c r="C52" s="147"/>
      <c r="D52" s="147"/>
      <c r="E52" s="147">
        <f t="shared" si="15"/>
        <v>0</v>
      </c>
      <c r="F52" s="147"/>
      <c r="G52" s="147"/>
      <c r="H52" s="147"/>
      <c r="I52" s="147"/>
      <c r="J52" s="147"/>
      <c r="K52" s="147"/>
      <c r="L52" s="147"/>
      <c r="M52" s="147"/>
      <c r="N52" s="147"/>
      <c r="O52" s="147"/>
      <c r="P52" s="147"/>
      <c r="Q52" s="147"/>
      <c r="R52" s="516">
        <f t="shared" si="16"/>
        <v>0</v>
      </c>
      <c r="S52" s="147">
        <f t="shared" si="18"/>
        <v>0</v>
      </c>
      <c r="T52" s="147"/>
      <c r="U52" s="143"/>
    </row>
    <row r="53" spans="1:21" s="144" customFormat="1">
      <c r="A53" s="1149" t="s">
        <v>2617</v>
      </c>
      <c r="B53" s="146">
        <f t="shared" si="14"/>
        <v>20000</v>
      </c>
      <c r="C53" s="147">
        <v>20000</v>
      </c>
      <c r="D53" s="147"/>
      <c r="E53" s="147">
        <f t="shared" si="15"/>
        <v>20000</v>
      </c>
      <c r="F53" s="147"/>
      <c r="G53" s="147"/>
      <c r="H53" s="147"/>
      <c r="I53" s="147"/>
      <c r="J53" s="147"/>
      <c r="K53" s="147"/>
      <c r="L53" s="147"/>
      <c r="M53" s="147"/>
      <c r="N53" s="147"/>
      <c r="O53" s="147"/>
      <c r="P53" s="147"/>
      <c r="Q53" s="147"/>
      <c r="R53" s="516">
        <f t="shared" si="16"/>
        <v>20000</v>
      </c>
      <c r="S53" s="147">
        <f t="shared" si="18"/>
        <v>20000</v>
      </c>
      <c r="T53" s="147"/>
      <c r="U53" s="143"/>
    </row>
    <row r="54" spans="1:21" s="153" customFormat="1" ht="12">
      <c r="A54" s="149" t="s">
        <v>157</v>
      </c>
      <c r="B54" s="150">
        <f>SUM(C54:D54)</f>
        <v>2175486</v>
      </c>
      <c r="C54" s="150">
        <f t="shared" ref="C54:T54" si="19">SUM(C45:C53)</f>
        <v>2175486</v>
      </c>
      <c r="D54" s="150">
        <f t="shared" si="19"/>
        <v>0</v>
      </c>
      <c r="E54" s="150">
        <f t="shared" si="19"/>
        <v>2175486</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2175486</v>
      </c>
      <c r="S54" s="150">
        <f t="shared" si="19"/>
        <v>1976184</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f t="shared" ref="E56:E61" si="21">+C56-SUM(F56:G56)</f>
        <v>0</v>
      </c>
      <c r="F56" s="147"/>
      <c r="G56" s="147"/>
      <c r="H56" s="147"/>
      <c r="I56" s="147"/>
      <c r="J56" s="147"/>
      <c r="K56" s="147"/>
      <c r="L56" s="147"/>
      <c r="M56" s="147"/>
      <c r="N56" s="147"/>
      <c r="O56" s="147"/>
      <c r="P56" s="147"/>
      <c r="Q56" s="147"/>
      <c r="R56" s="516">
        <f t="shared" ref="R56:R61" si="22">SUM(E56:Q56)</f>
        <v>0</v>
      </c>
      <c r="S56" s="148"/>
      <c r="T56" s="148"/>
      <c r="U56" s="143"/>
    </row>
    <row r="57" spans="1:21" s="192" customFormat="1">
      <c r="A57" s="186" t="s">
        <v>152</v>
      </c>
      <c r="B57" s="193">
        <f t="shared" si="20"/>
        <v>10000</v>
      </c>
      <c r="C57" s="190">
        <v>10000</v>
      </c>
      <c r="D57" s="190"/>
      <c r="E57" s="190">
        <f t="shared" si="21"/>
        <v>10000</v>
      </c>
      <c r="F57" s="190"/>
      <c r="G57" s="190"/>
      <c r="H57" s="190"/>
      <c r="I57" s="190"/>
      <c r="J57" s="190"/>
      <c r="K57" s="190"/>
      <c r="L57" s="190"/>
      <c r="M57" s="190"/>
      <c r="N57" s="190"/>
      <c r="O57" s="190"/>
      <c r="P57" s="190"/>
      <c r="Q57" s="190"/>
      <c r="R57" s="516">
        <f t="shared" si="22"/>
        <v>10000</v>
      </c>
      <c r="S57" s="194"/>
      <c r="T57" s="194"/>
      <c r="U57" s="191"/>
    </row>
    <row r="58" spans="1:21" s="144" customFormat="1">
      <c r="A58" s="145" t="s">
        <v>156</v>
      </c>
      <c r="B58" s="146">
        <f t="shared" si="20"/>
        <v>5000</v>
      </c>
      <c r="C58" s="147">
        <v>5000</v>
      </c>
      <c r="D58" s="147"/>
      <c r="E58" s="147">
        <f t="shared" si="21"/>
        <v>5000</v>
      </c>
      <c r="F58" s="147"/>
      <c r="G58" s="147"/>
      <c r="H58" s="147"/>
      <c r="I58" s="147"/>
      <c r="J58" s="147"/>
      <c r="K58" s="147"/>
      <c r="L58" s="147"/>
      <c r="M58" s="147"/>
      <c r="N58" s="147"/>
      <c r="O58" s="147"/>
      <c r="P58" s="147"/>
      <c r="Q58" s="147"/>
      <c r="R58" s="516">
        <f t="shared" si="22"/>
        <v>5000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65" customHeight="1">
      <c r="A62" s="149" t="s">
        <v>301</v>
      </c>
      <c r="B62" s="146">
        <f>SUM(C62:D62)</f>
        <v>15000</v>
      </c>
      <c r="C62" s="146">
        <f t="shared" ref="C62:R62" si="23">SUM(C56:C61)</f>
        <v>15000</v>
      </c>
      <c r="D62" s="146">
        <f t="shared" si="23"/>
        <v>0</v>
      </c>
      <c r="E62" s="146">
        <f t="shared" si="23"/>
        <v>15000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15000</v>
      </c>
      <c r="S62" s="148"/>
      <c r="T62" s="148"/>
      <c r="U62" s="143"/>
    </row>
    <row r="63" spans="1:21" s="144" customFormat="1">
      <c r="A63" s="154" t="s">
        <v>302</v>
      </c>
      <c r="B63" s="146">
        <f t="shared" ref="B63:R63" si="24">SUM(B8+B11+B13+B14+B15+B26+B27+B38+B42+B43+B54+B62)</f>
        <v>31510553</v>
      </c>
      <c r="C63" s="146">
        <f t="shared" si="24"/>
        <v>31510553</v>
      </c>
      <c r="D63" s="146">
        <f t="shared" si="24"/>
        <v>0</v>
      </c>
      <c r="E63" s="146">
        <f t="shared" si="24"/>
        <v>20767694</v>
      </c>
      <c r="F63" s="146">
        <f t="shared" si="24"/>
        <v>10742859</v>
      </c>
      <c r="G63" s="146">
        <f t="shared" si="24"/>
        <v>0</v>
      </c>
      <c r="H63" s="146">
        <f t="shared" si="24"/>
        <v>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31510553</v>
      </c>
      <c r="S63" s="146">
        <f>SUM(S10+S13+S14+S15+S26+S27+S38+S42+S43+S54)</f>
        <v>29571251</v>
      </c>
      <c r="T63" s="146">
        <f>SUM(T11+T13+T14+T15+T26+T27+T38+T42+T43+T54)</f>
        <v>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5">+C65-SUM(F65:G65)</f>
        <v>65000</v>
      </c>
      <c r="F65" s="147"/>
      <c r="G65" s="147"/>
      <c r="H65" s="147"/>
      <c r="I65" s="147"/>
      <c r="J65" s="147"/>
      <c r="K65" s="147"/>
      <c r="L65" s="147"/>
      <c r="M65" s="147"/>
      <c r="N65" s="147"/>
      <c r="O65" s="147"/>
      <c r="P65" s="147"/>
      <c r="Q65" s="147"/>
      <c r="R65" s="516">
        <f>SUM(E65:Q65)</f>
        <v>65000</v>
      </c>
      <c r="S65" s="147">
        <f t="shared" ref="S65:S69" si="26">+R65</f>
        <v>65000</v>
      </c>
      <c r="T65" s="147"/>
      <c r="U65" s="143"/>
    </row>
    <row r="66" spans="1:21" s="144" customFormat="1" ht="24" customHeight="1">
      <c r="A66" s="283" t="s">
        <v>1642</v>
      </c>
      <c r="B66" s="146">
        <f>SUM(C66+D66)</f>
        <v>0</v>
      </c>
      <c r="C66" s="147"/>
      <c r="D66" s="147"/>
      <c r="E66" s="147">
        <f t="shared" si="25"/>
        <v>0</v>
      </c>
      <c r="F66" s="147"/>
      <c r="G66" s="147"/>
      <c r="H66" s="147"/>
      <c r="I66" s="147"/>
      <c r="J66" s="147"/>
      <c r="K66" s="147"/>
      <c r="L66" s="147"/>
      <c r="M66" s="147"/>
      <c r="N66" s="147"/>
      <c r="O66" s="147"/>
      <c r="P66" s="147"/>
      <c r="Q66" s="147"/>
      <c r="R66" s="516">
        <f>SUM(E66:Q66)</f>
        <v>0</v>
      </c>
      <c r="S66" s="147">
        <f t="shared" si="26"/>
        <v>0</v>
      </c>
      <c r="T66" s="147"/>
      <c r="U66" s="143"/>
    </row>
    <row r="67" spans="1:21" s="144" customFormat="1" ht="24" customHeight="1">
      <c r="A67" s="283" t="s">
        <v>1643</v>
      </c>
      <c r="B67" s="146">
        <f>SUM(C67+D67)</f>
        <v>0</v>
      </c>
      <c r="C67" s="147"/>
      <c r="D67" s="147"/>
      <c r="E67" s="147">
        <f t="shared" si="25"/>
        <v>0</v>
      </c>
      <c r="F67" s="147"/>
      <c r="G67" s="147"/>
      <c r="H67" s="147"/>
      <c r="I67" s="147"/>
      <c r="J67" s="147"/>
      <c r="K67" s="147"/>
      <c r="L67" s="147"/>
      <c r="M67" s="147"/>
      <c r="N67" s="147"/>
      <c r="O67" s="147"/>
      <c r="P67" s="147"/>
      <c r="Q67" s="147"/>
      <c r="R67" s="516">
        <f>SUM(E67:Q67)</f>
        <v>0</v>
      </c>
      <c r="S67" s="147">
        <f t="shared" si="26"/>
        <v>0</v>
      </c>
      <c r="T67" s="147"/>
      <c r="U67" s="143"/>
    </row>
    <row r="68" spans="1:21" s="144" customFormat="1" ht="12" customHeight="1">
      <c r="A68" s="283" t="s">
        <v>1649</v>
      </c>
      <c r="B68" s="146">
        <f>SUM(C68+D68)</f>
        <v>0</v>
      </c>
      <c r="C68" s="147"/>
      <c r="D68" s="147"/>
      <c r="E68" s="147">
        <f t="shared" si="25"/>
        <v>0</v>
      </c>
      <c r="F68" s="147"/>
      <c r="G68" s="147"/>
      <c r="H68" s="147"/>
      <c r="I68" s="147"/>
      <c r="J68" s="147"/>
      <c r="K68" s="147"/>
      <c r="L68" s="147"/>
      <c r="M68" s="147"/>
      <c r="N68" s="147"/>
      <c r="O68" s="147"/>
      <c r="P68" s="147"/>
      <c r="Q68" s="147"/>
      <c r="R68" s="516">
        <f>SUM(E68:Q68)</f>
        <v>0</v>
      </c>
      <c r="S68" s="147">
        <f t="shared" si="26"/>
        <v>0</v>
      </c>
      <c r="T68" s="147"/>
      <c r="U68" s="143"/>
    </row>
    <row r="69" spans="1:21" s="144" customFormat="1">
      <c r="A69" s="1149" t="s">
        <v>2618</v>
      </c>
      <c r="B69" s="146">
        <f>SUM(C69+D69)</f>
        <v>50000</v>
      </c>
      <c r="C69" s="147">
        <v>50000</v>
      </c>
      <c r="D69" s="147"/>
      <c r="E69" s="147">
        <f t="shared" si="25"/>
        <v>50000</v>
      </c>
      <c r="F69" s="147"/>
      <c r="G69" s="147"/>
      <c r="H69" s="147"/>
      <c r="I69" s="147"/>
      <c r="J69" s="147"/>
      <c r="K69" s="147"/>
      <c r="L69" s="147"/>
      <c r="M69" s="147"/>
      <c r="N69" s="147"/>
      <c r="O69" s="147"/>
      <c r="P69" s="147"/>
      <c r="Q69" s="147"/>
      <c r="R69" s="516">
        <f>SUM(E69:Q69)</f>
        <v>50000</v>
      </c>
      <c r="S69" s="147">
        <f t="shared" si="26"/>
        <v>50000</v>
      </c>
      <c r="T69" s="147"/>
      <c r="U69" s="143"/>
    </row>
    <row r="70" spans="1:21" s="144" customFormat="1" ht="12">
      <c r="A70" s="149" t="s">
        <v>1646</v>
      </c>
      <c r="B70" s="146">
        <f>SUM(C70:D70)</f>
        <v>115000</v>
      </c>
      <c r="C70" s="146">
        <f>SUM(C65:C69)</f>
        <v>115000</v>
      </c>
      <c r="D70" s="146">
        <f>SUM(D65:D69)</f>
        <v>0</v>
      </c>
      <c r="E70" s="146">
        <f t="shared" ref="E70:T70" si="27">SUM(E65:E69)</f>
        <v>115000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115000</v>
      </c>
      <c r="S70" s="150">
        <f t="shared" si="27"/>
        <v>115000</v>
      </c>
      <c r="T70" s="150">
        <f t="shared" si="2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8">+C72-SUM(F72:G72)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333471</v>
      </c>
      <c r="C75" s="147">
        <v>333471</v>
      </c>
      <c r="D75" s="147"/>
      <c r="E75" s="147">
        <f t="shared" si="28"/>
        <v>333471</v>
      </c>
      <c r="F75" s="147"/>
      <c r="G75" s="147"/>
      <c r="H75" s="147"/>
      <c r="I75" s="147"/>
      <c r="J75" s="147"/>
      <c r="K75" s="147"/>
      <c r="L75" s="147"/>
      <c r="M75" s="147"/>
      <c r="N75" s="147"/>
      <c r="O75" s="147"/>
      <c r="P75" s="147"/>
      <c r="Q75" s="147"/>
      <c r="R75" s="516">
        <f>SUM(E75:Q75)</f>
        <v>333471</v>
      </c>
      <c r="S75" s="148"/>
      <c r="T75" s="148"/>
      <c r="U75" s="143"/>
    </row>
    <row r="76" spans="1:21" s="144" customFormat="1">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ht="12">
      <c r="A77" s="149" t="s">
        <v>607</v>
      </c>
      <c r="B77" s="146">
        <f>SUM(C77:D77)</f>
        <v>333471</v>
      </c>
      <c r="C77" s="146">
        <f>SUM(C72:C76)</f>
        <v>333471</v>
      </c>
      <c r="D77" s="146">
        <f>SUM(D72:D76)</f>
        <v>0</v>
      </c>
      <c r="E77" s="146">
        <f t="shared" ref="E77:Q77" si="29">SUM(E72:E76)</f>
        <v>333471</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333471</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1324809</v>
      </c>
      <c r="C79" s="147">
        <v>1324809</v>
      </c>
      <c r="D79" s="147"/>
      <c r="E79" s="147">
        <f t="shared" ref="E79:E80" si="30">+C79-SUM(F79:G79)</f>
        <v>1324809</v>
      </c>
      <c r="F79" s="147"/>
      <c r="G79" s="147"/>
      <c r="H79" s="147"/>
      <c r="I79" s="147"/>
      <c r="J79" s="147"/>
      <c r="K79" s="147"/>
      <c r="L79" s="147"/>
      <c r="M79" s="147"/>
      <c r="N79" s="147"/>
      <c r="O79" s="147"/>
      <c r="P79" s="147"/>
      <c r="Q79" s="147"/>
      <c r="R79" s="516">
        <f>SUM(E79:Q79)</f>
        <v>1324809</v>
      </c>
      <c r="S79" s="147">
        <f t="shared" ref="S79:S80" si="31">+R79</f>
        <v>1324809</v>
      </c>
      <c r="T79" s="147"/>
      <c r="U79" s="143"/>
    </row>
    <row r="80" spans="1:21" s="144" customFormat="1">
      <c r="A80" s="283" t="s">
        <v>58</v>
      </c>
      <c r="B80" s="146">
        <f>SUM(C80:D80)</f>
        <v>183122</v>
      </c>
      <c r="C80" s="147">
        <v>183122</v>
      </c>
      <c r="D80" s="147"/>
      <c r="E80" s="147">
        <f t="shared" si="30"/>
        <v>183122</v>
      </c>
      <c r="F80" s="147"/>
      <c r="G80" s="147"/>
      <c r="H80" s="147"/>
      <c r="I80" s="147"/>
      <c r="J80" s="147"/>
      <c r="K80" s="147"/>
      <c r="L80" s="147"/>
      <c r="M80" s="147"/>
      <c r="N80" s="147"/>
      <c r="O80" s="147"/>
      <c r="P80" s="147"/>
      <c r="Q80" s="147"/>
      <c r="R80" s="516">
        <f>SUM(E80:Q80)</f>
        <v>183122</v>
      </c>
      <c r="S80" s="147">
        <f t="shared" si="31"/>
        <v>183122</v>
      </c>
      <c r="T80" s="147"/>
      <c r="U80" s="143"/>
    </row>
    <row r="81" spans="1:21" s="144" customFormat="1" ht="12">
      <c r="A81" s="149" t="s">
        <v>1210</v>
      </c>
      <c r="B81" s="146">
        <f>SUM(C81:D81)</f>
        <v>1507931</v>
      </c>
      <c r="C81" s="509">
        <f>SUM(C79:C80)</f>
        <v>1507931</v>
      </c>
      <c r="D81" s="509">
        <f t="shared" ref="D81:T81" si="32">SUM(D79:D80)</f>
        <v>0</v>
      </c>
      <c r="E81" s="509">
        <f t="shared" si="32"/>
        <v>1507931</v>
      </c>
      <c r="F81" s="509">
        <f t="shared" si="32"/>
        <v>0</v>
      </c>
      <c r="G81" s="509">
        <f t="shared" si="32"/>
        <v>0</v>
      </c>
      <c r="H81" s="509">
        <f t="shared" si="32"/>
        <v>0</v>
      </c>
      <c r="I81" s="509">
        <f t="shared" si="32"/>
        <v>0</v>
      </c>
      <c r="J81" s="509">
        <f t="shared" si="32"/>
        <v>0</v>
      </c>
      <c r="K81" s="509">
        <f t="shared" si="32"/>
        <v>0</v>
      </c>
      <c r="L81" s="509">
        <f t="shared" si="32"/>
        <v>0</v>
      </c>
      <c r="M81" s="509">
        <f t="shared" si="32"/>
        <v>0</v>
      </c>
      <c r="N81" s="509">
        <f t="shared" si="32"/>
        <v>0</v>
      </c>
      <c r="O81" s="509">
        <f t="shared" si="32"/>
        <v>0</v>
      </c>
      <c r="P81" s="509">
        <f t="shared" si="32"/>
        <v>0</v>
      </c>
      <c r="Q81" s="509">
        <f t="shared" si="32"/>
        <v>0</v>
      </c>
      <c r="R81" s="509">
        <f t="shared" si="32"/>
        <v>1507931</v>
      </c>
      <c r="S81" s="509">
        <f t="shared" si="32"/>
        <v>1507931</v>
      </c>
      <c r="T81" s="509">
        <f t="shared" si="3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33">SUM(C83+D83)</f>
        <v>159114</v>
      </c>
      <c r="C83" s="147">
        <v>159114</v>
      </c>
      <c r="D83" s="147"/>
      <c r="E83" s="147">
        <f t="shared" ref="E83:E93" si="34">+C83-SUM(F83:G83)</f>
        <v>159114</v>
      </c>
      <c r="F83" s="147"/>
      <c r="G83" s="147"/>
      <c r="H83" s="147"/>
      <c r="I83" s="147"/>
      <c r="J83" s="147"/>
      <c r="K83" s="147"/>
      <c r="L83" s="147"/>
      <c r="M83" s="147"/>
      <c r="N83" s="147"/>
      <c r="O83" s="147"/>
      <c r="P83" s="147"/>
      <c r="Q83" s="147"/>
      <c r="R83" s="516">
        <f t="shared" ref="R83:R95" si="35">SUM(E83:Q83)</f>
        <v>159114</v>
      </c>
      <c r="S83" s="148"/>
      <c r="T83" s="148"/>
      <c r="U83" s="143"/>
    </row>
    <row r="84" spans="1:21" s="144" customFormat="1">
      <c r="A84" s="145" t="s">
        <v>768</v>
      </c>
      <c r="B84" s="146">
        <f t="shared" si="33"/>
        <v>7000</v>
      </c>
      <c r="C84" s="147">
        <v>7000</v>
      </c>
      <c r="D84" s="147"/>
      <c r="E84" s="147">
        <f t="shared" si="34"/>
        <v>7000</v>
      </c>
      <c r="F84" s="147"/>
      <c r="G84" s="147"/>
      <c r="H84" s="147"/>
      <c r="I84" s="147"/>
      <c r="J84" s="147"/>
      <c r="K84" s="147"/>
      <c r="L84" s="147"/>
      <c r="M84" s="147"/>
      <c r="N84" s="147"/>
      <c r="O84" s="147"/>
      <c r="P84" s="147"/>
      <c r="Q84" s="147"/>
      <c r="R84" s="516">
        <f t="shared" si="35"/>
        <v>7000</v>
      </c>
      <c r="S84" s="147">
        <f t="shared" ref="S84:S87" si="36">+R84</f>
        <v>7000</v>
      </c>
      <c r="T84" s="147"/>
      <c r="U84" s="143"/>
    </row>
    <row r="85" spans="1:21" s="144" customFormat="1">
      <c r="A85" s="145" t="s">
        <v>769</v>
      </c>
      <c r="B85" s="146">
        <f t="shared" si="33"/>
        <v>0</v>
      </c>
      <c r="C85" s="147"/>
      <c r="D85" s="147"/>
      <c r="E85" s="147">
        <f t="shared" si="34"/>
        <v>0</v>
      </c>
      <c r="F85" s="147"/>
      <c r="G85" s="147"/>
      <c r="H85" s="147"/>
      <c r="I85" s="147"/>
      <c r="J85" s="147"/>
      <c r="K85" s="147"/>
      <c r="L85" s="147"/>
      <c r="M85" s="147"/>
      <c r="N85" s="147"/>
      <c r="O85" s="147"/>
      <c r="P85" s="147"/>
      <c r="Q85" s="147"/>
      <c r="R85" s="516">
        <f t="shared" si="35"/>
        <v>0</v>
      </c>
      <c r="S85" s="147">
        <f t="shared" si="36"/>
        <v>0</v>
      </c>
      <c r="T85" s="147"/>
      <c r="U85" s="143"/>
    </row>
    <row r="86" spans="1:21" s="144" customFormat="1">
      <c r="A86" s="145" t="s">
        <v>770</v>
      </c>
      <c r="B86" s="146">
        <f t="shared" si="33"/>
        <v>1500000</v>
      </c>
      <c r="C86" s="147">
        <v>1500000</v>
      </c>
      <c r="D86" s="147"/>
      <c r="E86" s="147">
        <f t="shared" si="34"/>
        <v>1500000</v>
      </c>
      <c r="F86" s="147"/>
      <c r="G86" s="147"/>
      <c r="H86" s="147"/>
      <c r="I86" s="147"/>
      <c r="J86" s="147"/>
      <c r="K86" s="147"/>
      <c r="L86" s="147"/>
      <c r="M86" s="147"/>
      <c r="N86" s="147"/>
      <c r="O86" s="147"/>
      <c r="P86" s="147"/>
      <c r="Q86" s="147"/>
      <c r="R86" s="516">
        <f t="shared" si="35"/>
        <v>1500000</v>
      </c>
      <c r="S86" s="147">
        <f t="shared" si="36"/>
        <v>1500000</v>
      </c>
      <c r="T86" s="147"/>
      <c r="U86" s="143"/>
    </row>
    <row r="87" spans="1:21" s="144" customFormat="1">
      <c r="A87" s="145" t="s">
        <v>771</v>
      </c>
      <c r="B87" s="146">
        <f t="shared" si="33"/>
        <v>0</v>
      </c>
      <c r="C87" s="147"/>
      <c r="D87" s="147"/>
      <c r="E87" s="147">
        <f t="shared" si="34"/>
        <v>0</v>
      </c>
      <c r="F87" s="147"/>
      <c r="G87" s="147"/>
      <c r="H87" s="147"/>
      <c r="I87" s="147"/>
      <c r="J87" s="147"/>
      <c r="K87" s="147"/>
      <c r="L87" s="147"/>
      <c r="M87" s="147"/>
      <c r="N87" s="147"/>
      <c r="O87" s="147"/>
      <c r="P87" s="147"/>
      <c r="Q87" s="147"/>
      <c r="R87" s="516">
        <f t="shared" si="35"/>
        <v>0</v>
      </c>
      <c r="S87" s="147">
        <f t="shared" si="36"/>
        <v>0</v>
      </c>
      <c r="T87" s="147"/>
      <c r="U87" s="143"/>
    </row>
    <row r="88" spans="1:21" s="144" customFormat="1">
      <c r="A88" s="145" t="s">
        <v>772</v>
      </c>
      <c r="B88" s="146">
        <f t="shared" si="33"/>
        <v>52800</v>
      </c>
      <c r="C88" s="147">
        <v>52800</v>
      </c>
      <c r="D88" s="147"/>
      <c r="E88" s="147">
        <f t="shared" si="34"/>
        <v>52800</v>
      </c>
      <c r="F88" s="147"/>
      <c r="G88" s="147"/>
      <c r="H88" s="147"/>
      <c r="I88" s="147"/>
      <c r="J88" s="147"/>
      <c r="K88" s="147"/>
      <c r="L88" s="147"/>
      <c r="M88" s="147"/>
      <c r="N88" s="147"/>
      <c r="O88" s="147"/>
      <c r="P88" s="147"/>
      <c r="Q88" s="147"/>
      <c r="R88" s="516">
        <f t="shared" si="35"/>
        <v>52800</v>
      </c>
      <c r="S88" s="148"/>
      <c r="T88" s="148"/>
      <c r="U88" s="143"/>
    </row>
    <row r="89" spans="1:21" s="144" customFormat="1">
      <c r="A89" s="145" t="s">
        <v>773</v>
      </c>
      <c r="B89" s="146">
        <f t="shared" si="33"/>
        <v>40000</v>
      </c>
      <c r="C89" s="147">
        <v>40000</v>
      </c>
      <c r="D89" s="147"/>
      <c r="E89" s="147">
        <f t="shared" si="34"/>
        <v>40000</v>
      </c>
      <c r="F89" s="147"/>
      <c r="G89" s="147"/>
      <c r="H89" s="147"/>
      <c r="I89" s="147"/>
      <c r="J89" s="147"/>
      <c r="K89" s="147"/>
      <c r="L89" s="147"/>
      <c r="M89" s="147"/>
      <c r="N89" s="147"/>
      <c r="O89" s="147"/>
      <c r="P89" s="147"/>
      <c r="Q89" s="147"/>
      <c r="R89" s="516">
        <f t="shared" si="35"/>
        <v>40000</v>
      </c>
      <c r="S89" s="147">
        <f t="shared" ref="S89:S95" si="37">+R89</f>
        <v>40000</v>
      </c>
      <c r="T89" s="147"/>
      <c r="U89" s="143"/>
    </row>
    <row r="90" spans="1:21" s="144" customFormat="1">
      <c r="A90" s="145" t="s">
        <v>774</v>
      </c>
      <c r="B90" s="146">
        <f t="shared" si="33"/>
        <v>10000</v>
      </c>
      <c r="C90" s="147">
        <v>10000</v>
      </c>
      <c r="D90" s="147"/>
      <c r="E90" s="147">
        <f t="shared" si="34"/>
        <v>10000</v>
      </c>
      <c r="F90" s="147"/>
      <c r="G90" s="147"/>
      <c r="H90" s="147"/>
      <c r="I90" s="147"/>
      <c r="J90" s="147"/>
      <c r="K90" s="147"/>
      <c r="L90" s="147"/>
      <c r="M90" s="147"/>
      <c r="N90" s="147"/>
      <c r="O90" s="147"/>
      <c r="P90" s="147"/>
      <c r="Q90" s="147"/>
      <c r="R90" s="516">
        <f t="shared" si="35"/>
        <v>10000</v>
      </c>
      <c r="S90" s="147">
        <f t="shared" si="37"/>
        <v>10000</v>
      </c>
      <c r="T90" s="147"/>
      <c r="U90" s="143"/>
    </row>
    <row r="91" spans="1:21" s="144" customFormat="1">
      <c r="A91" s="145" t="s">
        <v>372</v>
      </c>
      <c r="B91" s="146">
        <f t="shared" si="33"/>
        <v>45000</v>
      </c>
      <c r="C91" s="147">
        <v>45000</v>
      </c>
      <c r="D91" s="147"/>
      <c r="E91" s="147">
        <f t="shared" si="34"/>
        <v>45000</v>
      </c>
      <c r="F91" s="147"/>
      <c r="G91" s="147"/>
      <c r="H91" s="147"/>
      <c r="I91" s="147"/>
      <c r="J91" s="147"/>
      <c r="K91" s="147"/>
      <c r="L91" s="147"/>
      <c r="M91" s="147"/>
      <c r="N91" s="147"/>
      <c r="O91" s="147"/>
      <c r="P91" s="147"/>
      <c r="Q91" s="147"/>
      <c r="R91" s="516">
        <f t="shared" si="35"/>
        <v>45000</v>
      </c>
      <c r="S91" s="147">
        <f t="shared" si="37"/>
        <v>45000</v>
      </c>
      <c r="T91" s="147"/>
      <c r="U91" s="143"/>
    </row>
    <row r="92" spans="1:21" s="144" customFormat="1">
      <c r="A92" s="283" t="s">
        <v>1212</v>
      </c>
      <c r="B92" s="146">
        <f t="shared" si="33"/>
        <v>7500</v>
      </c>
      <c r="C92" s="147">
        <v>7500</v>
      </c>
      <c r="D92" s="147"/>
      <c r="E92" s="147">
        <f t="shared" si="34"/>
        <v>7500</v>
      </c>
      <c r="F92" s="147"/>
      <c r="G92" s="147"/>
      <c r="H92" s="147"/>
      <c r="I92" s="147"/>
      <c r="J92" s="147"/>
      <c r="K92" s="147"/>
      <c r="L92" s="147"/>
      <c r="M92" s="147"/>
      <c r="N92" s="147"/>
      <c r="O92" s="147"/>
      <c r="P92" s="147"/>
      <c r="Q92" s="147"/>
      <c r="R92" s="516">
        <f t="shared" si="35"/>
        <v>7500</v>
      </c>
      <c r="S92" s="147">
        <f t="shared" si="37"/>
        <v>7500</v>
      </c>
      <c r="T92" s="147"/>
      <c r="U92" s="143"/>
    </row>
    <row r="93" spans="1:21" s="144" customFormat="1">
      <c r="A93" s="1149" t="s">
        <v>2619</v>
      </c>
      <c r="B93" s="146">
        <f t="shared" si="33"/>
        <v>175000</v>
      </c>
      <c r="C93" s="147">
        <v>175000</v>
      </c>
      <c r="D93" s="147"/>
      <c r="E93" s="147">
        <f t="shared" si="34"/>
        <v>175000</v>
      </c>
      <c r="F93" s="147"/>
      <c r="G93" s="147"/>
      <c r="H93" s="147"/>
      <c r="I93" s="147"/>
      <c r="J93" s="147"/>
      <c r="K93" s="147"/>
      <c r="L93" s="147"/>
      <c r="M93" s="147"/>
      <c r="N93" s="147"/>
      <c r="O93" s="147"/>
      <c r="P93" s="147"/>
      <c r="Q93" s="147"/>
      <c r="R93" s="516">
        <f t="shared" si="35"/>
        <v>175000</v>
      </c>
      <c r="S93" s="147">
        <f t="shared" si="37"/>
        <v>175000</v>
      </c>
      <c r="T93" s="147"/>
      <c r="U93" s="143"/>
    </row>
    <row r="94" spans="1:21" s="144" customFormat="1">
      <c r="A94" s="1149" t="s">
        <v>34</v>
      </c>
      <c r="B94" s="146">
        <f t="shared" si="33"/>
        <v>0</v>
      </c>
      <c r="C94" s="147"/>
      <c r="D94" s="147"/>
      <c r="E94" s="147"/>
      <c r="F94" s="147"/>
      <c r="G94" s="147"/>
      <c r="H94" s="147"/>
      <c r="I94" s="147"/>
      <c r="J94" s="147"/>
      <c r="K94" s="147"/>
      <c r="L94" s="147"/>
      <c r="M94" s="147"/>
      <c r="N94" s="147"/>
      <c r="O94" s="147"/>
      <c r="P94" s="147"/>
      <c r="Q94" s="147"/>
      <c r="R94" s="516">
        <f t="shared" si="35"/>
        <v>0</v>
      </c>
      <c r="S94" s="147">
        <f t="shared" si="37"/>
        <v>0</v>
      </c>
      <c r="T94" s="147"/>
      <c r="U94" s="143"/>
    </row>
    <row r="95" spans="1:21" s="144" customFormat="1">
      <c r="A95" s="1149" t="s">
        <v>34</v>
      </c>
      <c r="B95" s="146">
        <f t="shared" si="33"/>
        <v>0</v>
      </c>
      <c r="C95" s="147"/>
      <c r="D95" s="147"/>
      <c r="E95" s="147"/>
      <c r="F95" s="147"/>
      <c r="G95" s="147"/>
      <c r="H95" s="147"/>
      <c r="I95" s="147"/>
      <c r="J95" s="147"/>
      <c r="K95" s="147"/>
      <c r="L95" s="147"/>
      <c r="M95" s="147"/>
      <c r="N95" s="147"/>
      <c r="O95" s="147"/>
      <c r="P95" s="147"/>
      <c r="Q95" s="147"/>
      <c r="R95" s="516">
        <f t="shared" si="35"/>
        <v>0</v>
      </c>
      <c r="S95" s="147">
        <f t="shared" si="37"/>
        <v>0</v>
      </c>
      <c r="T95" s="147"/>
      <c r="U95" s="143"/>
    </row>
    <row r="96" spans="1:21" s="144" customFormat="1" ht="12">
      <c r="A96" s="149" t="s">
        <v>775</v>
      </c>
      <c r="B96" s="146">
        <f>SUM(C96:D96)</f>
        <v>1996414</v>
      </c>
      <c r="C96" s="146">
        <f t="shared" ref="C96:R96" si="38">SUM(C83:C95)</f>
        <v>1996414</v>
      </c>
      <c r="D96" s="146">
        <f t="shared" si="38"/>
        <v>0</v>
      </c>
      <c r="E96" s="146">
        <f t="shared" si="38"/>
        <v>1996414</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42">
        <f t="shared" si="38"/>
        <v>1996414</v>
      </c>
      <c r="S96" s="150">
        <f>SUM(S84:S87,S89:S95)</f>
        <v>1784500</v>
      </c>
      <c r="T96" s="146">
        <f>SUM(T84:T87,T89:T95)</f>
        <v>0</v>
      </c>
      <c r="U96" s="143"/>
    </row>
    <row r="97" spans="1:21" s="144" customFormat="1" ht="12">
      <c r="A97" s="149" t="s">
        <v>776</v>
      </c>
      <c r="B97" s="146">
        <f>SUM(C97:D97)</f>
        <v>35463369</v>
      </c>
      <c r="C97" s="146">
        <f t="shared" ref="C97:R97" si="39">SUM(C63+C70+C77+C81+C96)</f>
        <v>35463369</v>
      </c>
      <c r="D97" s="146">
        <f t="shared" si="39"/>
        <v>0</v>
      </c>
      <c r="E97" s="146">
        <f t="shared" si="39"/>
        <v>24720510</v>
      </c>
      <c r="F97" s="146">
        <f t="shared" si="39"/>
        <v>10742859</v>
      </c>
      <c r="G97" s="146">
        <f t="shared" si="39"/>
        <v>0</v>
      </c>
      <c r="H97" s="146">
        <f t="shared" si="39"/>
        <v>0</v>
      </c>
      <c r="I97" s="146">
        <f t="shared" si="39"/>
        <v>0</v>
      </c>
      <c r="J97" s="146">
        <f t="shared" si="39"/>
        <v>0</v>
      </c>
      <c r="K97" s="146">
        <f t="shared" si="39"/>
        <v>0</v>
      </c>
      <c r="L97" s="146">
        <f t="shared" si="39"/>
        <v>0</v>
      </c>
      <c r="M97" s="146">
        <f t="shared" si="39"/>
        <v>0</v>
      </c>
      <c r="N97" s="146">
        <f t="shared" si="39"/>
        <v>0</v>
      </c>
      <c r="O97" s="146">
        <f t="shared" si="39"/>
        <v>0</v>
      </c>
      <c r="P97" s="146">
        <f t="shared" si="39"/>
        <v>0</v>
      </c>
      <c r="Q97" s="146">
        <f t="shared" si="39"/>
        <v>0</v>
      </c>
      <c r="R97" s="146">
        <f t="shared" si="39"/>
        <v>35463369</v>
      </c>
      <c r="S97" s="146">
        <f>SUM(S63+S70+S81+S96)</f>
        <v>32978682</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4946802</v>
      </c>
      <c r="C99" s="979">
        <v>4946802</v>
      </c>
      <c r="D99" s="979"/>
      <c r="E99" s="979">
        <f>+C99-SUM(F99:G99)</f>
        <v>1713552</v>
      </c>
      <c r="F99" s="147"/>
      <c r="G99" s="147">
        <f>+Application!AO628</f>
        <v>3233250</v>
      </c>
      <c r="H99" s="147"/>
      <c r="I99" s="147"/>
      <c r="J99" s="147"/>
      <c r="K99" s="147"/>
      <c r="L99" s="147"/>
      <c r="M99" s="147"/>
      <c r="N99" s="147"/>
      <c r="O99" s="147"/>
      <c r="P99" s="147"/>
      <c r="Q99" s="147"/>
      <c r="R99" s="516">
        <f>SUM(E99:Q99)</f>
        <v>4946802</v>
      </c>
      <c r="S99" s="147">
        <f>+R99</f>
        <v>4946802</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4946802</v>
      </c>
      <c r="C104" s="146">
        <f>SUM(C99:C103)</f>
        <v>4946802</v>
      </c>
      <c r="D104" s="146">
        <f t="shared" ref="D104:T104" si="40">SUM(D99:D103)</f>
        <v>0</v>
      </c>
      <c r="E104" s="146">
        <f t="shared" si="40"/>
        <v>1713552</v>
      </c>
      <c r="F104" s="146">
        <f t="shared" si="40"/>
        <v>0</v>
      </c>
      <c r="G104" s="146">
        <f t="shared" si="40"/>
        <v>3233250</v>
      </c>
      <c r="H104" s="146">
        <f t="shared" si="40"/>
        <v>0</v>
      </c>
      <c r="I104" s="146">
        <f t="shared" si="40"/>
        <v>0</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4946802</v>
      </c>
      <c r="S104" s="150">
        <f t="shared" si="40"/>
        <v>4946802</v>
      </c>
      <c r="T104" s="150">
        <f t="shared" si="40"/>
        <v>0</v>
      </c>
      <c r="U104" s="143"/>
    </row>
    <row r="105" spans="1:21" s="144" customFormat="1" ht="12">
      <c r="A105" s="149" t="s">
        <v>781</v>
      </c>
      <c r="B105" s="150">
        <f>SUM(C105:D105)</f>
        <v>40410171</v>
      </c>
      <c r="C105" s="150">
        <f t="shared" ref="C105:R105" si="41">SUM(C97+C104)</f>
        <v>40410171</v>
      </c>
      <c r="D105" s="150">
        <f t="shared" si="41"/>
        <v>0</v>
      </c>
      <c r="E105" s="150">
        <f t="shared" si="41"/>
        <v>26434062</v>
      </c>
      <c r="F105" s="150">
        <f t="shared" si="41"/>
        <v>10742859</v>
      </c>
      <c r="G105" s="150">
        <f t="shared" si="41"/>
        <v>3233250</v>
      </c>
      <c r="H105" s="150">
        <f t="shared" si="41"/>
        <v>0</v>
      </c>
      <c r="I105" s="150">
        <f t="shared" si="41"/>
        <v>0</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42">
        <f t="shared" si="41"/>
        <v>40410171</v>
      </c>
      <c r="S105" s="150">
        <f>S97+S104</f>
        <v>37925484</v>
      </c>
      <c r="T105" s="150">
        <f>T97+T104</f>
        <v>0</v>
      </c>
      <c r="U105" s="143"/>
    </row>
    <row r="106" spans="1:21" ht="12">
      <c r="A106" s="514"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37925484</v>
      </c>
      <c r="T107" s="150">
        <f>T105+T106</f>
        <v>0</v>
      </c>
    </row>
    <row r="108" spans="1:21" s="189" customFormat="1" ht="12">
      <c r="A108" s="162" t="s">
        <v>880</v>
      </c>
      <c r="B108" s="157"/>
      <c r="C108" s="157"/>
      <c r="D108" s="157"/>
      <c r="E108" s="301">
        <f>Application!AO640</f>
        <v>26434062</v>
      </c>
      <c r="F108" s="301">
        <f>Application!AO627</f>
        <v>10742859</v>
      </c>
      <c r="G108" s="301">
        <f>Application!AO628</f>
        <v>3233250</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2"/>
      <c r="B112" s="157"/>
      <c r="C112" s="157"/>
      <c r="D112" s="157"/>
    </row>
    <row r="113" spans="1:21" ht="12">
      <c r="A113" s="156" t="s">
        <v>1020</v>
      </c>
      <c r="B113" s="157"/>
      <c r="C113" s="157"/>
      <c r="D113" s="157"/>
    </row>
    <row r="114" spans="1:21" ht="12">
      <c r="A114" s="156" t="s">
        <v>2096</v>
      </c>
      <c r="B114" s="157"/>
      <c r="C114" s="157"/>
      <c r="D114" s="157"/>
    </row>
    <row r="115" spans="1:21" ht="12" customHeight="1">
      <c r="A115" s="312"/>
      <c r="B115" s="157"/>
      <c r="C115" s="157"/>
      <c r="D115" s="157"/>
    </row>
    <row r="116" spans="1:21" ht="12">
      <c r="A116" s="345" t="s">
        <v>1023</v>
      </c>
      <c r="B116" s="157"/>
      <c r="C116" s="157"/>
      <c r="D116" s="157"/>
    </row>
    <row r="117" spans="1:21" ht="12">
      <c r="A117" s="345" t="s">
        <v>1224</v>
      </c>
      <c r="B117" s="157"/>
      <c r="C117" s="157"/>
      <c r="D117" s="157"/>
    </row>
    <row r="118" spans="1:21" ht="12">
      <c r="A118" s="345" t="s">
        <v>1022</v>
      </c>
      <c r="B118" s="157"/>
      <c r="C118" s="157"/>
      <c r="D118" s="157"/>
    </row>
    <row r="119" spans="1:21" ht="12">
      <c r="A119" s="345" t="s">
        <v>1024</v>
      </c>
      <c r="B119" s="157"/>
      <c r="C119" s="157"/>
      <c r="D119" s="157"/>
    </row>
    <row r="120" spans="1:21" ht="12" customHeight="1">
      <c r="A120" s="344"/>
      <c r="B120" s="157"/>
      <c r="C120" s="157"/>
      <c r="D120" s="157"/>
    </row>
    <row r="121" spans="1:21" ht="15.6">
      <c r="A121" s="338" t="s">
        <v>1006</v>
      </c>
      <c r="B121" s="157"/>
      <c r="C121" s="157"/>
      <c r="D121" s="157"/>
    </row>
    <row r="122" spans="1:21">
      <c r="A122" s="325" t="s">
        <v>990</v>
      </c>
      <c r="B122" s="324"/>
      <c r="C122" s="324"/>
      <c r="D122" s="1870" t="s">
        <v>991</v>
      </c>
      <c r="E122" s="1870"/>
      <c r="F122" s="187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2" t="s">
        <v>1225</v>
      </c>
      <c r="E123" s="1555"/>
      <c r="F123" s="1555"/>
      <c r="G123" s="1555"/>
      <c r="H123" s="1555"/>
      <c r="I123" s="1555"/>
      <c r="J123" s="1555"/>
      <c r="K123" s="1555"/>
      <c r="L123" s="1555"/>
      <c r="M123" s="1555"/>
      <c r="N123" s="1555"/>
      <c r="O123" s="1555"/>
      <c r="P123" s="1555"/>
      <c r="Q123" s="1555"/>
      <c r="R123" s="1555"/>
      <c r="S123" s="1555"/>
      <c r="T123" s="324"/>
      <c r="U123" s="326"/>
    </row>
    <row r="124" spans="1:21" ht="13.2">
      <c r="A124" s="117" t="s">
        <v>993</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3.2">
      <c r="A125" s="117" t="s">
        <v>994</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3.2">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997</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3.2">
      <c r="A129" s="117" t="s">
        <v>300</v>
      </c>
      <c r="B129" s="333"/>
      <c r="C129" s="117"/>
      <c r="D129" s="1869" t="s">
        <v>998</v>
      </c>
      <c r="E129" s="1869"/>
      <c r="F129" s="1869"/>
      <c r="G129" s="1869"/>
      <c r="H129" s="186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1000</v>
      </c>
      <c r="B131" s="334">
        <f>SUM(B123:B129)</f>
        <v>0</v>
      </c>
      <c r="C131" s="117"/>
      <c r="D131" s="1530"/>
      <c r="E131" s="1530"/>
      <c r="F131" s="1530"/>
      <c r="G131" s="1530"/>
      <c r="H131" s="1530"/>
      <c r="I131" s="117"/>
      <c r="J131" s="1530"/>
      <c r="K131" s="1530"/>
      <c r="L131" s="1530"/>
      <c r="M131" s="1530"/>
      <c r="N131" s="117"/>
      <c r="O131" s="117"/>
      <c r="P131" s="117"/>
      <c r="Q131" s="117"/>
      <c r="R131" s="117"/>
      <c r="S131" s="117"/>
      <c r="T131" s="324"/>
      <c r="U131" s="326"/>
    </row>
    <row r="132" spans="1:21" ht="12" customHeight="1">
      <c r="A132" s="336"/>
      <c r="B132" s="117"/>
      <c r="C132" s="117"/>
      <c r="D132" s="1863" t="s">
        <v>1001</v>
      </c>
      <c r="E132" s="1863"/>
      <c r="F132" s="1863"/>
      <c r="G132" s="1863"/>
      <c r="H132" s="1863"/>
      <c r="I132" s="117"/>
      <c r="J132" s="1863" t="s">
        <v>1002</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3.2">
      <c r="A139" s="1860" t="s">
        <v>1005</v>
      </c>
      <c r="B139" s="1860"/>
      <c r="C139" s="1860"/>
      <c r="D139" s="328"/>
      <c r="E139" s="117" t="s">
        <v>999</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8" workbookViewId="0">
      <selection activeCell="C99" sqref="C99"/>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3" t="s">
        <v>1228</v>
      </c>
      <c r="B1" s="1874"/>
      <c r="C1" s="1874"/>
      <c r="D1" s="1874"/>
      <c r="E1" s="1874"/>
      <c r="F1" s="1874"/>
      <c r="G1" s="1874"/>
      <c r="H1" s="1874"/>
      <c r="I1" s="1874"/>
      <c r="J1" s="1875"/>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1725000</v>
      </c>
      <c r="C4" s="362">
        <f>+B4</f>
        <v>1725000</v>
      </c>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1725000</v>
      </c>
      <c r="C8" s="361">
        <f>SUM(C4:C7)</f>
        <v>1725000</v>
      </c>
      <c r="D8" s="361">
        <f>SUM(D4:D7)</f>
        <v>0</v>
      </c>
      <c r="E8" s="363"/>
      <c r="F8" s="363"/>
      <c r="G8" s="363"/>
      <c r="H8" s="363"/>
      <c r="I8" s="363"/>
      <c r="J8" s="363"/>
      <c r="K8" s="359"/>
    </row>
    <row r="9" spans="1:11" s="360" customFormat="1" ht="11.4">
      <c r="A9" s="364" t="s">
        <v>595</v>
      </c>
      <c r="B9" s="361">
        <f>'Sources and Uses Budget'!C9</f>
        <v>0</v>
      </c>
      <c r="C9" s="362"/>
      <c r="D9" s="362"/>
      <c r="E9" s="363"/>
      <c r="F9" s="363"/>
      <c r="G9" s="363"/>
      <c r="H9" s="361">
        <f>'Sources and Uses Budget'!T9</f>
        <v>0</v>
      </c>
      <c r="I9" s="362"/>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1725000</v>
      </c>
      <c r="C12" s="361">
        <f>SUM(C8+C11)</f>
        <v>1725000</v>
      </c>
      <c r="D12" s="361">
        <f>SUM(D8+D11)</f>
        <v>0</v>
      </c>
      <c r="E12" s="363"/>
      <c r="F12" s="363"/>
      <c r="G12" s="363"/>
      <c r="H12" s="363"/>
      <c r="I12" s="363"/>
      <c r="J12" s="363"/>
      <c r="K12" s="359"/>
    </row>
    <row r="13" spans="1:11" s="360" customFormat="1" ht="11.4">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0</v>
      </c>
      <c r="C29" s="362">
        <f t="shared" ref="C29:C37" si="0">+B29</f>
        <v>0</v>
      </c>
      <c r="D29" s="362"/>
      <c r="E29" s="361">
        <f>'Sources and Uses Budget'!S29</f>
        <v>0</v>
      </c>
      <c r="F29" s="362">
        <f t="shared" ref="F29:F37" si="1">+E29</f>
        <v>0</v>
      </c>
      <c r="G29" s="362"/>
      <c r="H29" s="361">
        <f>'Sources and Uses Budget'!T29</f>
        <v>0</v>
      </c>
      <c r="I29" s="362"/>
      <c r="J29" s="362"/>
      <c r="K29" s="359"/>
    </row>
    <row r="30" spans="1:11" s="360" customFormat="1" ht="11.4">
      <c r="A30" s="145" t="s">
        <v>600</v>
      </c>
      <c r="B30" s="361">
        <f>'Sources and Uses Budget'!C30</f>
        <v>22470683</v>
      </c>
      <c r="C30" s="362">
        <f t="shared" si="0"/>
        <v>22470683</v>
      </c>
      <c r="D30" s="362"/>
      <c r="E30" s="361">
        <f>'Sources and Uses Budget'!S30</f>
        <v>22470683</v>
      </c>
      <c r="F30" s="362">
        <f t="shared" si="1"/>
        <v>22470683</v>
      </c>
      <c r="G30" s="362"/>
      <c r="H30" s="361">
        <f>'Sources and Uses Budget'!T30</f>
        <v>0</v>
      </c>
      <c r="I30" s="362"/>
      <c r="J30" s="362"/>
      <c r="K30" s="359"/>
    </row>
    <row r="31" spans="1:11" s="360" customFormat="1" ht="11.4">
      <c r="A31" s="145" t="s">
        <v>601</v>
      </c>
      <c r="B31" s="361">
        <f>'Sources and Uses Budget'!C31</f>
        <v>1348241</v>
      </c>
      <c r="C31" s="362">
        <f t="shared" si="0"/>
        <v>1348241</v>
      </c>
      <c r="D31" s="362"/>
      <c r="E31" s="361">
        <f>'Sources and Uses Budget'!S31</f>
        <v>1348241</v>
      </c>
      <c r="F31" s="362">
        <f t="shared" si="1"/>
        <v>1348241</v>
      </c>
      <c r="G31" s="362"/>
      <c r="H31" s="361">
        <f>'Sources and Uses Budget'!T31</f>
        <v>0</v>
      </c>
      <c r="I31" s="362"/>
      <c r="J31" s="362"/>
      <c r="K31" s="359"/>
    </row>
    <row r="32" spans="1:11" s="360" customFormat="1" ht="11.4">
      <c r="A32" s="145" t="s">
        <v>137</v>
      </c>
      <c r="B32" s="361">
        <f>'Sources and Uses Budget'!C32</f>
        <v>476378</v>
      </c>
      <c r="C32" s="362">
        <f t="shared" si="0"/>
        <v>476378</v>
      </c>
      <c r="D32" s="362"/>
      <c r="E32" s="361">
        <f>'Sources and Uses Budget'!S32</f>
        <v>476378</v>
      </c>
      <c r="F32" s="362">
        <f t="shared" si="1"/>
        <v>476378</v>
      </c>
      <c r="G32" s="362"/>
      <c r="H32" s="361">
        <f>'Sources and Uses Budget'!T32</f>
        <v>0</v>
      </c>
      <c r="I32" s="362"/>
      <c r="J32" s="362"/>
      <c r="K32" s="359"/>
    </row>
    <row r="33" spans="1:11" s="360" customFormat="1" ht="11.4">
      <c r="A33" s="145" t="s">
        <v>138</v>
      </c>
      <c r="B33" s="361">
        <f>'Sources and Uses Budget'!C33</f>
        <v>1429135</v>
      </c>
      <c r="C33" s="362">
        <f t="shared" si="0"/>
        <v>1429135</v>
      </c>
      <c r="D33" s="362"/>
      <c r="E33" s="361">
        <f>'Sources and Uses Budget'!S33</f>
        <v>1429135</v>
      </c>
      <c r="F33" s="362">
        <f t="shared" si="1"/>
        <v>1429135</v>
      </c>
      <c r="G33" s="362"/>
      <c r="H33" s="361">
        <f>'Sources and Uses Budget'!T33</f>
        <v>0</v>
      </c>
      <c r="I33" s="362"/>
      <c r="J33" s="362"/>
      <c r="K33" s="359"/>
    </row>
    <row r="34" spans="1:11" s="360" customFormat="1" ht="11.4">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ht="11.4">
      <c r="A35" s="145" t="s">
        <v>140</v>
      </c>
      <c r="B35" s="361">
        <f>'Sources and Uses Budget'!C35</f>
        <v>771733</v>
      </c>
      <c r="C35" s="362">
        <f t="shared" si="0"/>
        <v>771733</v>
      </c>
      <c r="D35" s="362"/>
      <c r="E35" s="361">
        <f>'Sources and Uses Budget'!S35</f>
        <v>771733</v>
      </c>
      <c r="F35" s="362">
        <f t="shared" si="1"/>
        <v>771733</v>
      </c>
      <c r="G35" s="362"/>
      <c r="H35" s="361">
        <f>'Sources and Uses Budget'!T35</f>
        <v>0</v>
      </c>
      <c r="I35" s="362"/>
      <c r="J35" s="362"/>
      <c r="K35" s="359"/>
    </row>
    <row r="36" spans="1:11" s="360" customFormat="1" ht="11.4">
      <c r="A36" s="508" t="s">
        <v>1641</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ht="11.4">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26496170</v>
      </c>
      <c r="C38" s="361">
        <f>SUM(C29:C37)</f>
        <v>26496170</v>
      </c>
      <c r="D38" s="361">
        <f>SUM(D29:D37)</f>
        <v>0</v>
      </c>
      <c r="E38" s="361">
        <f>'Sources and Uses Budget'!S38</f>
        <v>26496170</v>
      </c>
      <c r="F38" s="367">
        <f>SUM(F29:F37)</f>
        <v>26496170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998897</v>
      </c>
      <c r="C40" s="362">
        <f t="shared" ref="C40:C41" si="2">+B40</f>
        <v>998897</v>
      </c>
      <c r="D40" s="362"/>
      <c r="E40" s="361">
        <f>'Sources and Uses Budget'!S40</f>
        <v>998897</v>
      </c>
      <c r="F40" s="362">
        <f t="shared" ref="F40:F41" si="3">+E40</f>
        <v>998897</v>
      </c>
      <c r="G40" s="362"/>
      <c r="H40" s="361">
        <f>'Sources and Uses Budget'!T40</f>
        <v>0</v>
      </c>
      <c r="I40" s="362"/>
      <c r="J40" s="362"/>
      <c r="K40" s="359"/>
    </row>
    <row r="41" spans="1:11" s="360" customFormat="1" ht="11.4">
      <c r="A41" s="364" t="s">
        <v>146</v>
      </c>
      <c r="B41" s="361">
        <f>'Sources and Uses Budget'!C41</f>
        <v>0</v>
      </c>
      <c r="C41" s="362">
        <f t="shared" si="2"/>
        <v>0</v>
      </c>
      <c r="D41" s="362"/>
      <c r="E41" s="361">
        <f>'Sources and Uses Budget'!S41</f>
        <v>0</v>
      </c>
      <c r="F41" s="362">
        <f t="shared" si="3"/>
        <v>0</v>
      </c>
      <c r="G41" s="362"/>
      <c r="H41" s="361">
        <f>'Sources and Uses Budget'!T41</f>
        <v>0</v>
      </c>
      <c r="I41" s="362"/>
      <c r="J41" s="362"/>
      <c r="K41" s="359"/>
    </row>
    <row r="42" spans="1:11" s="360" customFormat="1">
      <c r="A42" s="365" t="s">
        <v>147</v>
      </c>
      <c r="B42" s="361">
        <f>'Sources and Uses Budget'!C42</f>
        <v>998897</v>
      </c>
      <c r="C42" s="361">
        <f>SUM(C39:C41)</f>
        <v>998897</v>
      </c>
      <c r="D42" s="361">
        <f>SUM(D39:D41)</f>
        <v>0</v>
      </c>
      <c r="E42" s="361">
        <f>'Sources and Uses Budget'!S42</f>
        <v>998897</v>
      </c>
      <c r="F42" s="367">
        <f>SUM(F40:F41)</f>
        <v>998897</v>
      </c>
      <c r="G42" s="367">
        <f>SUM(G40:G41)</f>
        <v>0</v>
      </c>
      <c r="H42" s="361">
        <f>'Sources and Uses Budget'!T42</f>
        <v>0</v>
      </c>
      <c r="I42" s="367">
        <f>SUM(I40:I41)</f>
        <v>0</v>
      </c>
      <c r="J42" s="367">
        <f>SUM(J40:J41)</f>
        <v>0</v>
      </c>
      <c r="K42" s="359"/>
    </row>
    <row r="43" spans="1:11" s="360" customFormat="1">
      <c r="A43" s="365" t="s">
        <v>148</v>
      </c>
      <c r="B43" s="361">
        <f>'Sources and Uses Budget'!C43</f>
        <v>100000</v>
      </c>
      <c r="C43" s="362">
        <f>+B43</f>
        <v>100000</v>
      </c>
      <c r="D43" s="362"/>
      <c r="E43" s="361">
        <f>'Sources and Uses Budget'!S43</f>
        <v>100000</v>
      </c>
      <c r="F43" s="362">
        <f>+E43</f>
        <v>100000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1500000</v>
      </c>
      <c r="C45" s="362">
        <f t="shared" ref="C45:C53" si="4">+B45</f>
        <v>1500000</v>
      </c>
      <c r="D45" s="362"/>
      <c r="E45" s="361">
        <f>'Sources and Uses Budget'!S45</f>
        <v>1500000</v>
      </c>
      <c r="F45" s="362">
        <f t="shared" ref="F45:F53" si="5">+E45</f>
        <v>1500000</v>
      </c>
      <c r="G45" s="362"/>
      <c r="H45" s="361">
        <f>'Sources and Uses Budget'!T45</f>
        <v>0</v>
      </c>
      <c r="I45" s="362"/>
      <c r="J45" s="362"/>
      <c r="K45" s="359"/>
    </row>
    <row r="46" spans="1:11" s="360" customFormat="1" ht="11.4">
      <c r="A46" s="364" t="s">
        <v>151</v>
      </c>
      <c r="B46" s="361">
        <f>'Sources and Uses Budget'!C46</f>
        <v>346684</v>
      </c>
      <c r="C46" s="362">
        <f t="shared" si="4"/>
        <v>346684</v>
      </c>
      <c r="D46" s="362"/>
      <c r="E46" s="361">
        <f>'Sources and Uses Budget'!S46</f>
        <v>346684</v>
      </c>
      <c r="F46" s="362">
        <f t="shared" si="5"/>
        <v>346684</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ht="11.4">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ht="11.4">
      <c r="A49" s="283" t="s">
        <v>57</v>
      </c>
      <c r="B49" s="361">
        <f>'Sources and Uses Budget'!C49</f>
        <v>199302</v>
      </c>
      <c r="C49" s="362">
        <f t="shared" si="4"/>
        <v>199302</v>
      </c>
      <c r="D49" s="362"/>
      <c r="E49" s="361">
        <f>'Sources and Uses Budget'!S49</f>
        <v>0</v>
      </c>
      <c r="F49" s="362">
        <f t="shared" si="5"/>
        <v>0</v>
      </c>
      <c r="G49" s="362"/>
      <c r="H49" s="361">
        <f>'Sources and Uses Budget'!T49</f>
        <v>0</v>
      </c>
      <c r="I49" s="362"/>
      <c r="J49" s="362"/>
      <c r="K49" s="359"/>
    </row>
    <row r="50" spans="1:11" s="360" customFormat="1" ht="11.4">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ht="11.4">
      <c r="A51" s="364" t="s">
        <v>154</v>
      </c>
      <c r="B51" s="361">
        <f>'Sources and Uses Budget'!C51</f>
        <v>34500</v>
      </c>
      <c r="C51" s="362">
        <f t="shared" si="4"/>
        <v>34500</v>
      </c>
      <c r="D51" s="362"/>
      <c r="E51" s="361">
        <f>'Sources and Uses Budget'!S51</f>
        <v>34500</v>
      </c>
      <c r="F51" s="362">
        <f t="shared" si="5"/>
        <v>34500</v>
      </c>
      <c r="G51" s="362"/>
      <c r="H51" s="361">
        <f>'Sources and Uses Budget'!T51</f>
        <v>0</v>
      </c>
      <c r="I51" s="362"/>
      <c r="J51" s="362"/>
      <c r="K51" s="359"/>
    </row>
    <row r="52" spans="1:11" s="360" customFormat="1" ht="11.4">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ht="11.4">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2175486</v>
      </c>
      <c r="C54" s="367">
        <f>SUM(C45:C53)</f>
        <v>2175486</v>
      </c>
      <c r="D54" s="367">
        <f>SUM(D45:D53)</f>
        <v>0</v>
      </c>
      <c r="E54" s="361">
        <f>'Sources and Uses Budget'!S54</f>
        <v>1976184</v>
      </c>
      <c r="F54" s="367">
        <f>SUM(F45:F53)</f>
        <v>1976184</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ht="11.4">
      <c r="A58" s="364" t="s">
        <v>156</v>
      </c>
      <c r="B58" s="361">
        <f>'Sources and Uses Budget'!C58</f>
        <v>5000</v>
      </c>
      <c r="C58" s="362">
        <f t="shared" si="6"/>
        <v>5000</v>
      </c>
      <c r="D58" s="362"/>
      <c r="E58" s="363"/>
      <c r="F58" s="363"/>
      <c r="G58" s="363"/>
      <c r="H58" s="363"/>
      <c r="I58" s="363"/>
      <c r="J58" s="363"/>
      <c r="K58" s="359"/>
    </row>
    <row r="59" spans="1:11" s="360" customFormat="1" ht="11.4">
      <c r="A59" s="364" t="s">
        <v>154</v>
      </c>
      <c r="B59" s="361">
        <f>'Sources and Uses Budget'!C59</f>
        <v>0</v>
      </c>
      <c r="C59" s="362">
        <f t="shared" si="6"/>
        <v>0</v>
      </c>
      <c r="D59" s="362"/>
      <c r="E59" s="363"/>
      <c r="F59" s="363"/>
      <c r="G59" s="363"/>
      <c r="H59" s="363"/>
      <c r="I59" s="363"/>
      <c r="J59" s="363"/>
      <c r="K59" s="359"/>
    </row>
    <row r="60" spans="1:11" s="360" customFormat="1" ht="11.4">
      <c r="A60" s="364" t="s">
        <v>155</v>
      </c>
      <c r="B60" s="361">
        <f>'Sources and Uses Budget'!C60</f>
        <v>0</v>
      </c>
      <c r="C60" s="362">
        <f t="shared" si="6"/>
        <v>0</v>
      </c>
      <c r="D60" s="362"/>
      <c r="E60" s="363"/>
      <c r="F60" s="363"/>
      <c r="G60" s="363"/>
      <c r="H60" s="363"/>
      <c r="I60" s="363"/>
      <c r="J60" s="363"/>
      <c r="K60" s="359"/>
    </row>
    <row r="61" spans="1:11" s="360" customFormat="1" ht="11.4">
      <c r="A61" s="364">
        <f>'Sources and Uses Budget'!$A61</f>
        <v>0</v>
      </c>
      <c r="B61" s="361">
        <f>'Sources and Uses Budget'!C61</f>
        <v>0</v>
      </c>
      <c r="C61" s="362">
        <f t="shared" si="6"/>
        <v>0</v>
      </c>
      <c r="D61" s="362"/>
      <c r="E61" s="363"/>
      <c r="F61" s="363"/>
      <c r="G61" s="363"/>
      <c r="H61" s="363"/>
      <c r="I61" s="363"/>
      <c r="J61" s="363"/>
      <c r="K61" s="359"/>
    </row>
    <row r="62" spans="1:11" s="360" customFormat="1" ht="13.65" customHeight="1">
      <c r="A62" s="365" t="s">
        <v>301</v>
      </c>
      <c r="B62" s="361">
        <f>'Sources and Uses Budget'!C62</f>
        <v>15000</v>
      </c>
      <c r="C62" s="361">
        <f>SUM(C56:C61)</f>
        <v>15000</v>
      </c>
      <c r="D62" s="361">
        <f>SUM(D56:D61)</f>
        <v>0</v>
      </c>
      <c r="E62" s="363"/>
      <c r="F62" s="363"/>
      <c r="G62" s="363"/>
      <c r="H62" s="363"/>
      <c r="I62" s="363"/>
      <c r="J62" s="363"/>
      <c r="K62" s="359"/>
    </row>
    <row r="63" spans="1:11" s="360" customFormat="1" ht="11.4">
      <c r="A63" s="370" t="s">
        <v>302</v>
      </c>
      <c r="B63" s="361">
        <f>'Sources and Uses Budget'!C63</f>
        <v>31510553</v>
      </c>
      <c r="C63" s="361">
        <f>SUM(C8+C11+C13+C14+C15+C26+C27+C38+C42+C43+C54+C62)</f>
        <v>31510553</v>
      </c>
      <c r="D63" s="361">
        <f>SUM(D8+D11+D13+D14+D15+D26+D27+D38+D42+D43+D54+D62)</f>
        <v>0</v>
      </c>
      <c r="E63" s="361">
        <f>'Sources and Uses Budget'!S63</f>
        <v>29571251</v>
      </c>
      <c r="F63" s="361">
        <f>SUM(F10+F13+F14+F15+F26+F27+F38+F42+F43+F54)</f>
        <v>29571251</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1645</v>
      </c>
      <c r="B64" s="358"/>
      <c r="C64" s="358"/>
      <c r="D64" s="358"/>
      <c r="E64" s="358"/>
      <c r="F64" s="358"/>
      <c r="G64" s="358"/>
      <c r="H64" s="358"/>
      <c r="I64" s="358"/>
      <c r="J64" s="358"/>
      <c r="K64" s="359"/>
    </row>
    <row r="65" spans="1:11" s="360" customFormat="1" ht="11.4">
      <c r="A65" s="145" t="s">
        <v>171</v>
      </c>
      <c r="B65" s="361">
        <f>'Sources and Uses Budget'!C65</f>
        <v>65000</v>
      </c>
      <c r="C65" s="362">
        <f t="shared" ref="C65:C69" si="7">+B65</f>
        <v>65000</v>
      </c>
      <c r="D65" s="362"/>
      <c r="E65" s="361">
        <f>'Sources and Uses Budget'!S65</f>
        <v>65000</v>
      </c>
      <c r="F65" s="362">
        <f t="shared" ref="F65:F69" si="8">+E65</f>
        <v>65000</v>
      </c>
      <c r="G65" s="362"/>
      <c r="H65" s="361">
        <f>'Sources and Uses Budget'!T65</f>
        <v>0</v>
      </c>
      <c r="I65" s="362"/>
      <c r="J65" s="362"/>
      <c r="K65" s="359"/>
    </row>
    <row r="66" spans="1:11" s="360" customFormat="1" ht="22.8">
      <c r="A66" s="283" t="s">
        <v>1642</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2.8">
      <c r="A67" s="283" t="s">
        <v>1643</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ht="11.4">
      <c r="A68" s="283" t="s">
        <v>1649</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ht="11.4">
      <c r="A69" s="364" t="str">
        <f>'Sources and Uses Budget'!$A69</f>
        <v>Borrowers Attorney</v>
      </c>
      <c r="B69" s="361">
        <f>'Sources and Uses Budget'!C69</f>
        <v>50000</v>
      </c>
      <c r="C69" s="362">
        <f t="shared" si="7"/>
        <v>50000</v>
      </c>
      <c r="D69" s="362"/>
      <c r="E69" s="361">
        <f>'Sources and Uses Budget'!S69</f>
        <v>50000</v>
      </c>
      <c r="F69" s="362">
        <f t="shared" si="8"/>
        <v>50000</v>
      </c>
      <c r="G69" s="362"/>
      <c r="H69" s="361">
        <f>'Sources and Uses Budget'!T69</f>
        <v>0</v>
      </c>
      <c r="I69" s="362"/>
      <c r="J69" s="362"/>
      <c r="K69" s="359"/>
    </row>
    <row r="70" spans="1:11" s="360" customFormat="1">
      <c r="A70" s="365" t="s">
        <v>602</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0</v>
      </c>
      <c r="C72" s="362"/>
      <c r="D72" s="362"/>
      <c r="E72" s="363"/>
      <c r="F72" s="363"/>
      <c r="G72" s="363"/>
      <c r="H72" s="363"/>
      <c r="I72" s="363"/>
      <c r="J72" s="363"/>
      <c r="K72" s="359"/>
    </row>
    <row r="73" spans="1:11" s="360" customFormat="1" ht="11.4">
      <c r="A73" s="364" t="s">
        <v>605</v>
      </c>
      <c r="B73" s="361">
        <f>'Sources and Uses Budget'!C73</f>
        <v>0</v>
      </c>
      <c r="C73" s="362">
        <f t="shared" ref="C73:C76" si="9">+B73</f>
        <v>0</v>
      </c>
      <c r="D73" s="362"/>
      <c r="E73" s="363"/>
      <c r="F73" s="363"/>
      <c r="G73" s="363"/>
      <c r="H73" s="363"/>
      <c r="I73" s="363"/>
      <c r="J73" s="363"/>
      <c r="K73" s="359"/>
    </row>
    <row r="74" spans="1:11" s="360" customFormat="1" ht="11.4">
      <c r="A74" s="366" t="s">
        <v>987</v>
      </c>
      <c r="B74" s="361">
        <f>'Sources and Uses Budget'!C74</f>
        <v>0</v>
      </c>
      <c r="C74" s="362">
        <f t="shared" si="9"/>
        <v>0</v>
      </c>
      <c r="D74" s="362"/>
      <c r="E74" s="363"/>
      <c r="F74" s="363"/>
      <c r="G74" s="363"/>
      <c r="H74" s="363"/>
      <c r="I74" s="363"/>
      <c r="J74" s="363"/>
      <c r="K74" s="359"/>
    </row>
    <row r="75" spans="1:11" s="360" customFormat="1" ht="11.4">
      <c r="A75" s="364" t="s">
        <v>606</v>
      </c>
      <c r="B75" s="361">
        <f>'Sources and Uses Budget'!C75</f>
        <v>333471</v>
      </c>
      <c r="C75" s="362">
        <f t="shared" si="9"/>
        <v>333471</v>
      </c>
      <c r="D75" s="362"/>
      <c r="E75" s="363"/>
      <c r="F75" s="363"/>
      <c r="G75" s="363"/>
      <c r="H75" s="363"/>
      <c r="I75" s="363"/>
      <c r="J75" s="363"/>
      <c r="K75" s="359"/>
    </row>
    <row r="76" spans="1:11" s="360" customFormat="1" ht="11.4">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333471</v>
      </c>
      <c r="C77" s="361">
        <f>SUM(C72:C76)</f>
        <v>333471</v>
      </c>
      <c r="D77" s="361">
        <f>SUM(D72:D76)</f>
        <v>0</v>
      </c>
      <c r="E77" s="363"/>
      <c r="F77" s="363"/>
      <c r="G77" s="363"/>
      <c r="H77" s="363"/>
      <c r="I77" s="363"/>
      <c r="J77" s="363"/>
      <c r="K77" s="359"/>
    </row>
    <row r="78" spans="1:11" s="360" customFormat="1" ht="11.4">
      <c r="A78" s="357" t="s">
        <v>1211</v>
      </c>
      <c r="B78" s="358"/>
      <c r="C78" s="358"/>
      <c r="D78" s="358"/>
      <c r="E78" s="358"/>
      <c r="F78" s="358"/>
      <c r="G78" s="358"/>
      <c r="H78" s="358"/>
      <c r="I78" s="358"/>
      <c r="J78" s="358"/>
      <c r="K78" s="359"/>
    </row>
    <row r="79" spans="1:11" s="360" customFormat="1" ht="11.4">
      <c r="A79" s="364" t="s">
        <v>1213</v>
      </c>
      <c r="B79" s="361">
        <f>'Sources and Uses Budget'!C79</f>
        <v>1324809</v>
      </c>
      <c r="C79" s="362">
        <f t="shared" ref="C79:C80" si="10">+B79</f>
        <v>1324809</v>
      </c>
      <c r="D79" s="362"/>
      <c r="E79" s="361">
        <f>'Sources and Uses Budget'!S79</f>
        <v>1324809</v>
      </c>
      <c r="F79" s="362">
        <f t="shared" ref="F79:F80" si="11">+E79</f>
        <v>1324809</v>
      </c>
      <c r="G79" s="362"/>
      <c r="H79" s="361">
        <f>'Sources and Uses Budget'!T79</f>
        <v>0</v>
      </c>
      <c r="I79" s="362"/>
      <c r="J79" s="362"/>
      <c r="K79" s="359"/>
    </row>
    <row r="80" spans="1:11" s="360" customFormat="1" ht="11.4">
      <c r="A80" s="364" t="s">
        <v>58</v>
      </c>
      <c r="B80" s="361">
        <f>'Sources and Uses Budget'!C80</f>
        <v>183122</v>
      </c>
      <c r="C80" s="362">
        <f t="shared" si="10"/>
        <v>183122</v>
      </c>
      <c r="D80" s="362"/>
      <c r="E80" s="361">
        <f>'Sources and Uses Budget'!S80</f>
        <v>183122</v>
      </c>
      <c r="F80" s="362">
        <f t="shared" si="11"/>
        <v>183122</v>
      </c>
      <c r="G80" s="362"/>
      <c r="H80" s="361">
        <f>'Sources and Uses Budget'!T80</f>
        <v>0</v>
      </c>
      <c r="I80" s="362"/>
      <c r="J80" s="362"/>
      <c r="K80" s="359"/>
    </row>
    <row r="81" spans="1:11" s="360" customFormat="1">
      <c r="A81" s="365" t="s">
        <v>1210</v>
      </c>
      <c r="B81" s="361">
        <f>'Sources and Uses Budget'!C81</f>
        <v>1507931</v>
      </c>
      <c r="C81" s="361">
        <f>SUM(C79:C80)</f>
        <v>1507931</v>
      </c>
      <c r="D81" s="361">
        <f>SUM(D79:D80)</f>
        <v>0</v>
      </c>
      <c r="E81" s="361">
        <f>'Sources and Uses Budget'!S81</f>
        <v>1507931</v>
      </c>
      <c r="F81" s="361">
        <f>SUM(F79:F80)</f>
        <v>1507931</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2095</v>
      </c>
      <c r="B83" s="361">
        <f>'Sources and Uses Budget'!C83</f>
        <v>159114</v>
      </c>
      <c r="C83" s="362">
        <f t="shared" ref="C83:C95" si="12">+B83</f>
        <v>159114</v>
      </c>
      <c r="D83" s="362"/>
      <c r="E83" s="363"/>
      <c r="F83" s="363"/>
      <c r="G83" s="363"/>
      <c r="H83" s="363"/>
      <c r="I83" s="363"/>
      <c r="J83" s="363"/>
      <c r="K83" s="359"/>
    </row>
    <row r="84" spans="1:11" s="360" customFormat="1" ht="11.4">
      <c r="A84" s="145" t="s">
        <v>768</v>
      </c>
      <c r="B84" s="361">
        <f>'Sources and Uses Budget'!C84</f>
        <v>7000</v>
      </c>
      <c r="C84" s="362">
        <f t="shared" si="12"/>
        <v>7000</v>
      </c>
      <c r="D84" s="362"/>
      <c r="E84" s="361">
        <f>'Sources and Uses Budget'!S84</f>
        <v>7000</v>
      </c>
      <c r="F84" s="362">
        <f t="shared" ref="F84:F87" si="13">+E84</f>
        <v>7000</v>
      </c>
      <c r="G84" s="362"/>
      <c r="H84" s="361">
        <f>'Sources and Uses Budget'!T84</f>
        <v>0</v>
      </c>
      <c r="I84" s="362"/>
      <c r="J84" s="362"/>
      <c r="K84" s="359"/>
    </row>
    <row r="85" spans="1:11" s="360" customFormat="1" ht="11.4">
      <c r="A85" s="145" t="s">
        <v>769</v>
      </c>
      <c r="B85" s="361">
        <f>'Sources and Uses Budget'!C85</f>
        <v>0</v>
      </c>
      <c r="C85" s="362">
        <f t="shared" si="12"/>
        <v>0</v>
      </c>
      <c r="D85" s="362"/>
      <c r="E85" s="361">
        <f>'Sources and Uses Budget'!S85</f>
        <v>0</v>
      </c>
      <c r="F85" s="362">
        <f t="shared" si="13"/>
        <v>0</v>
      </c>
      <c r="G85" s="362"/>
      <c r="H85" s="361">
        <f>'Sources and Uses Budget'!T85</f>
        <v>0</v>
      </c>
      <c r="I85" s="362"/>
      <c r="J85" s="362"/>
      <c r="K85" s="359"/>
    </row>
    <row r="86" spans="1:11" s="360" customFormat="1" ht="11.4">
      <c r="A86" s="145" t="s">
        <v>770</v>
      </c>
      <c r="B86" s="361">
        <f>'Sources and Uses Budget'!C86</f>
        <v>1500000</v>
      </c>
      <c r="C86" s="362">
        <f t="shared" si="12"/>
        <v>1500000</v>
      </c>
      <c r="D86" s="362"/>
      <c r="E86" s="361">
        <f>'Sources and Uses Budget'!S86</f>
        <v>1500000</v>
      </c>
      <c r="F86" s="362">
        <f t="shared" si="13"/>
        <v>1500000</v>
      </c>
      <c r="G86" s="362"/>
      <c r="H86" s="361">
        <f>'Sources and Uses Budget'!T86</f>
        <v>0</v>
      </c>
      <c r="I86" s="362"/>
      <c r="J86" s="362"/>
      <c r="K86" s="359"/>
    </row>
    <row r="87" spans="1:11" s="360" customFormat="1" ht="11.4">
      <c r="A87" s="145" t="s">
        <v>771</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ht="11.4">
      <c r="A88" s="145" t="s">
        <v>772</v>
      </c>
      <c r="B88" s="361">
        <f>'Sources and Uses Budget'!C88</f>
        <v>52800</v>
      </c>
      <c r="C88" s="362">
        <f t="shared" si="12"/>
        <v>52800</v>
      </c>
      <c r="D88" s="362"/>
      <c r="E88" s="363"/>
      <c r="F88" s="363"/>
      <c r="G88" s="363"/>
      <c r="H88" s="363"/>
      <c r="I88" s="363"/>
      <c r="J88" s="363"/>
      <c r="K88" s="359"/>
    </row>
    <row r="89" spans="1:11" s="360" customFormat="1" ht="11.4">
      <c r="A89" s="145" t="s">
        <v>773</v>
      </c>
      <c r="B89" s="361">
        <f>'Sources and Uses Budget'!C89</f>
        <v>40000</v>
      </c>
      <c r="C89" s="362">
        <f t="shared" si="12"/>
        <v>40000</v>
      </c>
      <c r="D89" s="362"/>
      <c r="E89" s="361">
        <f>'Sources and Uses Budget'!S89</f>
        <v>40000</v>
      </c>
      <c r="F89" s="362">
        <f t="shared" ref="F89:F95" si="14">+E89</f>
        <v>40000</v>
      </c>
      <c r="G89" s="362"/>
      <c r="H89" s="361">
        <f>'Sources and Uses Budget'!T89</f>
        <v>0</v>
      </c>
      <c r="I89" s="362"/>
      <c r="J89" s="362"/>
      <c r="K89" s="359"/>
    </row>
    <row r="90" spans="1:11" s="360" customFormat="1" ht="11.4">
      <c r="A90" s="145" t="s">
        <v>774</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ht="11.4">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ht="11.4">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ht="11.4">
      <c r="A93" s="364" t="str">
        <f>'Sources and Uses Budget'!$A93</f>
        <v>PG&amp;E Fees</v>
      </c>
      <c r="B93" s="361">
        <f>'Sources and Uses Budget'!C93</f>
        <v>175000</v>
      </c>
      <c r="C93" s="362">
        <f t="shared" si="12"/>
        <v>175000</v>
      </c>
      <c r="D93" s="362"/>
      <c r="E93" s="361">
        <f>'Sources and Uses Budget'!S93</f>
        <v>175000</v>
      </c>
      <c r="F93" s="362">
        <f t="shared" si="14"/>
        <v>175000</v>
      </c>
      <c r="G93" s="362"/>
      <c r="H93" s="361">
        <f>'Sources and Uses Budget'!T93</f>
        <v>0</v>
      </c>
      <c r="I93" s="362"/>
      <c r="J93" s="362"/>
      <c r="K93" s="359"/>
    </row>
    <row r="94" spans="1:11" s="360" customFormat="1" ht="11.4">
      <c r="A94" s="364" t="str">
        <f>'Sources and Uses Budget'!$A94</f>
        <v>Other: (Specify)</v>
      </c>
      <c r="B94" s="361">
        <f>'Sources and Uses Budget'!C94</f>
        <v>0</v>
      </c>
      <c r="C94" s="362">
        <f t="shared" si="12"/>
        <v>0</v>
      </c>
      <c r="D94" s="362"/>
      <c r="E94" s="361">
        <f>'Sources and Uses Budget'!S94</f>
        <v>0</v>
      </c>
      <c r="F94" s="362">
        <f t="shared" si="14"/>
        <v>0</v>
      </c>
      <c r="G94" s="362"/>
      <c r="H94" s="361">
        <f>'Sources and Uses Budget'!T94</f>
        <v>0</v>
      </c>
      <c r="I94" s="362"/>
      <c r="J94" s="362"/>
      <c r="K94" s="359"/>
    </row>
    <row r="95" spans="1:11" s="360" customFormat="1" ht="11.4">
      <c r="A95" s="364" t="str">
        <f>'Sources and Uses Budget'!$A95</f>
        <v>Other: (Specify)</v>
      </c>
      <c r="B95" s="361">
        <f>'Sources and Uses Budget'!C95</f>
        <v>0</v>
      </c>
      <c r="C95" s="362">
        <f t="shared" si="12"/>
        <v>0</v>
      </c>
      <c r="D95" s="362"/>
      <c r="E95" s="361">
        <f>'Sources and Uses Budget'!S95</f>
        <v>0</v>
      </c>
      <c r="F95" s="362">
        <f t="shared" si="14"/>
        <v>0</v>
      </c>
      <c r="G95" s="362"/>
      <c r="H95" s="361">
        <f>'Sources and Uses Budget'!T95</f>
        <v>0</v>
      </c>
      <c r="I95" s="362"/>
      <c r="J95" s="362"/>
      <c r="K95" s="359"/>
    </row>
    <row r="96" spans="1:11" s="360" customFormat="1">
      <c r="A96" s="365" t="s">
        <v>775</v>
      </c>
      <c r="B96" s="361">
        <f>'Sources and Uses Budget'!C96</f>
        <v>1996414</v>
      </c>
      <c r="C96" s="361">
        <f>SUM(C83:C95)</f>
        <v>1996414</v>
      </c>
      <c r="D96" s="361">
        <f>SUM(D83:D95)</f>
        <v>0</v>
      </c>
      <c r="E96" s="361">
        <f>'Sources and Uses Budget'!S96</f>
        <v>1784500</v>
      </c>
      <c r="F96" s="367">
        <f>SUM(F84:F87,F89:F95)</f>
        <v>1784500</v>
      </c>
      <c r="G96" s="367">
        <f>SUM(G84:G87,G89:G95)</f>
        <v>0</v>
      </c>
      <c r="H96" s="361">
        <f>'Sources and Uses Budget'!T96</f>
        <v>0</v>
      </c>
      <c r="I96" s="361">
        <f>SUM(I84:I87,I89:I95)</f>
        <v>0</v>
      </c>
      <c r="J96" s="361">
        <f>SUM(J84:J87,J89:J95)</f>
        <v>0</v>
      </c>
      <c r="K96" s="359"/>
    </row>
    <row r="97" spans="1:11" s="360" customFormat="1">
      <c r="A97" s="365" t="s">
        <v>1030</v>
      </c>
      <c r="B97" s="361">
        <f>'Sources and Uses Budget'!C97</f>
        <v>35463369</v>
      </c>
      <c r="C97" s="361">
        <f>SUM(C63+C70+C77+C81+C96)</f>
        <v>35463369</v>
      </c>
      <c r="D97" s="361">
        <f>SUM(D63+D70+D77+D81+D96)</f>
        <v>0</v>
      </c>
      <c r="E97" s="361">
        <f>'Sources and Uses Budget'!S97</f>
        <v>32978682</v>
      </c>
      <c r="F97" s="367">
        <f>SUM(+F63+F70+F81+F96)</f>
        <v>32978682</v>
      </c>
      <c r="G97" s="367">
        <f>SUM(+G63+G70+G81+G96)</f>
        <v>0</v>
      </c>
      <c r="H97" s="361">
        <f>'Sources and Uses Budget'!T97</f>
        <v>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4946802</v>
      </c>
      <c r="C99" s="362">
        <f>+B99</f>
        <v>4946802</v>
      </c>
      <c r="D99" s="362"/>
      <c r="E99" s="361">
        <f>'Sources and Uses Budget'!S99</f>
        <v>4946802</v>
      </c>
      <c r="F99" s="362">
        <f>+E99</f>
        <v>4946802</v>
      </c>
      <c r="G99" s="362"/>
      <c r="H99" s="361">
        <f>'Sources and Uses Budget'!T99</f>
        <v>0</v>
      </c>
      <c r="I99" s="362"/>
      <c r="J99" s="362"/>
      <c r="K99" s="359"/>
    </row>
    <row r="100" spans="1:11" s="360" customFormat="1" ht="11.4">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4946802</v>
      </c>
      <c r="C104" s="361">
        <f>SUM(C99:C103)</f>
        <v>4946802</v>
      </c>
      <c r="D104" s="361">
        <f>SUM(D99:D103)</f>
        <v>0</v>
      </c>
      <c r="E104" s="361">
        <f>'Sources and Uses Budget'!S104</f>
        <v>4946802</v>
      </c>
      <c r="F104" s="367">
        <f>SUM(F99:F103)</f>
        <v>4946802</v>
      </c>
      <c r="G104" s="367">
        <f>SUM(G99:G103)</f>
        <v>0</v>
      </c>
      <c r="H104" s="361">
        <f>'Sources and Uses Budget'!T104</f>
        <v>0</v>
      </c>
      <c r="I104" s="367">
        <f>SUM(I99:I103)</f>
        <v>0</v>
      </c>
      <c r="J104" s="367">
        <f>SUM(J99:J103)</f>
        <v>0</v>
      </c>
      <c r="K104" s="359"/>
    </row>
    <row r="105" spans="1:11" s="360" customFormat="1">
      <c r="A105" s="365" t="s">
        <v>1031</v>
      </c>
      <c r="B105" s="361">
        <f>'Sources and Uses Budget'!C105</f>
        <v>40410171</v>
      </c>
      <c r="C105" s="367">
        <f>SUM(C97+C104)</f>
        <v>40410171</v>
      </c>
      <c r="D105" s="367">
        <f>SUM(D97+D104)</f>
        <v>0</v>
      </c>
      <c r="E105" s="361">
        <f>'Sources and Uses Budget'!S105</f>
        <v>37925484</v>
      </c>
      <c r="F105" s="367">
        <f>F97+F104</f>
        <v>37925484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37925484</v>
      </c>
      <c r="F107" s="367">
        <f>F105+F106</f>
        <v>37925484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1"/>
      <c r="E124" s="1312"/>
      <c r="F124" s="1312"/>
      <c r="G124" s="1312"/>
      <c r="H124" s="1312"/>
      <c r="I124" s="1312"/>
      <c r="J124" s="376"/>
      <c r="K124" s="359"/>
    </row>
    <row r="125" spans="1:11" s="360" customFormat="1" ht="13.2">
      <c r="A125" s="385"/>
      <c r="B125" s="384"/>
      <c r="C125" s="385"/>
      <c r="D125" s="1312"/>
      <c r="E125" s="1312"/>
      <c r="F125" s="1312"/>
      <c r="G125" s="1312"/>
      <c r="H125" s="1312"/>
      <c r="I125" s="1312"/>
      <c r="J125" s="376"/>
      <c r="K125" s="359"/>
    </row>
    <row r="126" spans="1:11" s="360" customFormat="1" ht="13.2">
      <c r="A126" s="385"/>
      <c r="B126" s="384"/>
      <c r="C126" s="385"/>
      <c r="D126" s="1312"/>
      <c r="E126" s="1312"/>
      <c r="F126" s="1312"/>
      <c r="G126" s="1312"/>
      <c r="H126" s="1312"/>
      <c r="I126" s="1312"/>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4" t="s">
        <v>2457</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6" t="str">
        <f>IF(Application!H18="","",Application!H18)</f>
        <v>Canby Family Apartments</v>
      </c>
      <c r="M4" s="1877"/>
      <c r="N4" s="1877"/>
      <c r="O4" s="1877"/>
      <c r="P4" s="1877"/>
      <c r="Q4" s="1877"/>
      <c r="R4" s="1877"/>
      <c r="S4" s="1877"/>
      <c r="T4" s="1877"/>
      <c r="U4" s="1877"/>
      <c r="V4" s="1877"/>
      <c r="W4" s="1877"/>
      <c r="X4" s="1877"/>
      <c r="Y4" s="1877"/>
      <c r="Z4" s="1877"/>
      <c r="AA4" s="1877"/>
      <c r="AB4" s="1877"/>
      <c r="AC4" s="1878"/>
      <c r="AD4" s="1190"/>
      <c r="AE4" s="1190"/>
      <c r="AF4" s="1890" t="s">
        <v>2455</v>
      </c>
      <c r="AG4" s="1890"/>
      <c r="AH4" s="1890"/>
      <c r="AI4" s="1890"/>
      <c r="AJ4" s="1890"/>
      <c r="AK4" s="1890"/>
      <c r="AL4" s="1890"/>
      <c r="AM4" s="1890"/>
      <c r="AN4" s="1890"/>
      <c r="AO4" s="1890"/>
      <c r="AP4" s="1891"/>
      <c r="AQ4" s="1892"/>
      <c r="AR4" s="1892"/>
      <c r="AS4" s="1892"/>
      <c r="AT4" s="1892"/>
      <c r="AU4" s="189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0" t="s">
        <v>2454</v>
      </c>
      <c r="AG5" s="1890"/>
      <c r="AH5" s="1890"/>
      <c r="AI5" s="1890"/>
      <c r="AJ5" s="1890"/>
      <c r="AK5" s="1890"/>
      <c r="AL5" s="1890"/>
      <c r="AM5" s="1890"/>
      <c r="AN5" s="1890"/>
      <c r="AO5" s="1890"/>
      <c r="AP5" s="1891"/>
      <c r="AQ5" s="1892"/>
      <c r="AR5" s="1892"/>
      <c r="AS5" s="1892"/>
      <c r="AT5" s="1892"/>
      <c r="AU5" s="1892"/>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6" t="str">
        <f>IF(Application!H16="","",Application!H16)</f>
        <v>Community Revitalization and Development Corporation</v>
      </c>
      <c r="M6" s="1877"/>
      <c r="N6" s="1877"/>
      <c r="O6" s="1877"/>
      <c r="P6" s="1877"/>
      <c r="Q6" s="1877"/>
      <c r="R6" s="1877"/>
      <c r="S6" s="1877"/>
      <c r="T6" s="1877"/>
      <c r="U6" s="1877"/>
      <c r="V6" s="1877"/>
      <c r="W6" s="1877"/>
      <c r="X6" s="1877"/>
      <c r="Y6" s="1877"/>
      <c r="Z6" s="1877"/>
      <c r="AA6" s="1877"/>
      <c r="AB6" s="1877"/>
      <c r="AC6" s="1878"/>
      <c r="AD6" s="1190"/>
      <c r="AE6" s="1190"/>
      <c r="AF6" s="1879" t="s">
        <v>2452</v>
      </c>
      <c r="AG6" s="1879"/>
      <c r="AH6" s="1879"/>
      <c r="AI6" s="1879"/>
      <c r="AJ6" s="1879"/>
      <c r="AK6" s="1879"/>
      <c r="AL6" s="1879"/>
      <c r="AM6" s="1879"/>
      <c r="AN6" s="1879"/>
      <c r="AO6" s="1879"/>
      <c r="AP6" s="1880"/>
      <c r="AQ6" s="1880"/>
      <c r="AR6" s="1880"/>
      <c r="AS6" s="1880"/>
      <c r="AT6" s="1880"/>
      <c r="AU6" s="1880"/>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9" t="s">
        <v>2451</v>
      </c>
      <c r="AG7" s="1879"/>
      <c r="AH7" s="1879"/>
      <c r="AI7" s="1879"/>
      <c r="AJ7" s="1879"/>
      <c r="AK7" s="1879"/>
      <c r="AL7" s="1879"/>
      <c r="AM7" s="1879"/>
      <c r="AN7" s="1879"/>
      <c r="AO7" s="1879"/>
      <c r="AP7" s="1880"/>
      <c r="AQ7" s="1880"/>
      <c r="AR7" s="1880"/>
      <c r="AS7" s="1880"/>
      <c r="AT7" s="1880"/>
      <c r="AU7" s="1880"/>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1" t="str">
        <f>Application!T197</f>
        <v>No</v>
      </c>
      <c r="AC8" s="1882"/>
      <c r="AD8" s="1883"/>
      <c r="AE8" s="1190"/>
      <c r="AF8" s="1879" t="s">
        <v>2449</v>
      </c>
      <c r="AG8" s="1879"/>
      <c r="AH8" s="1879"/>
      <c r="AI8" s="1879"/>
      <c r="AJ8" s="1879"/>
      <c r="AK8" s="1879"/>
      <c r="AL8" s="1879"/>
      <c r="AM8" s="1879"/>
      <c r="AN8" s="1879"/>
      <c r="AO8" s="1879"/>
      <c r="AP8" s="1880" t="s">
        <v>2099</v>
      </c>
      <c r="AQ8" s="1880"/>
      <c r="AR8" s="1880"/>
      <c r="AS8" s="1880"/>
      <c r="AT8" s="1880"/>
      <c r="AU8" s="1880"/>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0" t="s">
        <v>2448</v>
      </c>
      <c r="AG9" s="1890"/>
      <c r="AH9" s="1890"/>
      <c r="AI9" s="1890"/>
      <c r="AJ9" s="1890"/>
      <c r="AK9" s="1890"/>
      <c r="AL9" s="1890"/>
      <c r="AM9" s="1890"/>
      <c r="AN9" s="1890"/>
      <c r="AO9" s="1890"/>
      <c r="AP9" s="1891"/>
      <c r="AQ9" s="1892"/>
      <c r="AR9" s="1892"/>
      <c r="AS9" s="1892"/>
      <c r="AT9" s="1892"/>
      <c r="AU9" s="1892"/>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1905">
        <f>Application!AO627</f>
        <v>10742859</v>
      </c>
      <c r="O10" s="1905"/>
      <c r="P10" s="1905"/>
      <c r="Q10" s="1905"/>
      <c r="R10" s="1905"/>
      <c r="S10" s="1905"/>
      <c r="T10" s="1905"/>
      <c r="U10" s="1190"/>
      <c r="V10" s="1190"/>
      <c r="W10" s="1190"/>
      <c r="X10" s="1193"/>
      <c r="Y10" s="1193"/>
      <c r="Z10" s="1193"/>
      <c r="AA10" s="1193"/>
      <c r="AB10" s="1193"/>
      <c r="AC10" s="1193"/>
      <c r="AD10" s="1193"/>
      <c r="AE10" s="1193"/>
      <c r="AF10" s="1890" t="s">
        <v>2445</v>
      </c>
      <c r="AG10" s="1890"/>
      <c r="AH10" s="1890"/>
      <c r="AI10" s="1890"/>
      <c r="AJ10" s="1890"/>
      <c r="AK10" s="1890"/>
      <c r="AL10" s="1890"/>
      <c r="AM10" s="1890"/>
      <c r="AN10" s="1890"/>
      <c r="AO10" s="1890"/>
      <c r="AP10" s="1891"/>
      <c r="AQ10" s="1892"/>
      <c r="AR10" s="1892"/>
      <c r="AS10" s="1892"/>
      <c r="AT10" s="1892"/>
      <c r="AU10" s="1892"/>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1905">
        <f>Application!AA934</f>
        <v>0</v>
      </c>
      <c r="O11" s="1905"/>
      <c r="P11" s="1905"/>
      <c r="Q11" s="1905"/>
      <c r="R11" s="1905"/>
      <c r="S11" s="1905"/>
      <c r="T11" s="1905"/>
      <c r="U11" s="1190"/>
      <c r="V11" s="1190"/>
      <c r="W11" s="1190"/>
      <c r="X11" s="1193"/>
      <c r="Y11" s="1193"/>
      <c r="Z11" s="1193"/>
      <c r="AA11" s="1193"/>
      <c r="AB11" s="1193"/>
      <c r="AC11" s="1193"/>
      <c r="AD11" s="1193"/>
      <c r="AE11" s="1193"/>
      <c r="AF11" s="1890" t="s">
        <v>2442</v>
      </c>
      <c r="AG11" s="1890"/>
      <c r="AH11" s="1890"/>
      <c r="AI11" s="1890"/>
      <c r="AJ11" s="1890"/>
      <c r="AK11" s="1890"/>
      <c r="AL11" s="1890"/>
      <c r="AM11" s="1890"/>
      <c r="AN11" s="1890"/>
      <c r="AO11" s="1890"/>
      <c r="AP11" s="1891"/>
      <c r="AQ11" s="1892"/>
      <c r="AR11" s="1892"/>
      <c r="AS11" s="1892"/>
      <c r="AT11" s="1892"/>
      <c r="AU11" s="1892"/>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3" t="s">
        <v>2440</v>
      </c>
      <c r="C13" s="1894"/>
      <c r="D13" s="1894"/>
      <c r="E13" s="1894"/>
      <c r="F13" s="1894"/>
      <c r="G13" s="1894"/>
      <c r="H13" s="1894"/>
      <c r="I13" s="1894"/>
      <c r="J13" s="1894"/>
      <c r="K13" s="1894"/>
      <c r="L13" s="1894"/>
      <c r="M13" s="1894"/>
      <c r="N13" s="1894"/>
      <c r="O13" s="1894"/>
      <c r="P13" s="1895"/>
      <c r="Q13" s="1896" t="s">
        <v>670</v>
      </c>
      <c r="R13" s="1897"/>
      <c r="S13" s="1897"/>
      <c r="T13" s="1898"/>
      <c r="U13" s="1193"/>
      <c r="V13" s="1190"/>
      <c r="W13" s="1190"/>
      <c r="X13" s="1190"/>
      <c r="Y13" s="1190"/>
      <c r="Z13" s="1190"/>
      <c r="AA13" s="1899" t="s">
        <v>2439</v>
      </c>
      <c r="AB13" s="1899"/>
      <c r="AC13" s="1899"/>
      <c r="AD13" s="1899"/>
      <c r="AE13" s="1899"/>
      <c r="AF13" s="1899"/>
      <c r="AG13" s="1899"/>
      <c r="AH13" s="1899"/>
      <c r="AI13" s="1899"/>
      <c r="AJ13" s="1899"/>
      <c r="AK13" s="1899"/>
      <c r="AL13" s="1899"/>
      <c r="AM13" s="1899"/>
      <c r="AN13" s="1899"/>
      <c r="AO13" s="1900">
        <f>Application!W473</f>
        <v>0</v>
      </c>
      <c r="AP13" s="1901"/>
      <c r="AQ13" s="1901"/>
      <c r="AR13" s="1901"/>
      <c r="AS13" s="1901"/>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2" t="s">
        <v>2437</v>
      </c>
      <c r="AB14" s="1902"/>
      <c r="AC14" s="1902"/>
      <c r="AD14" s="1902"/>
      <c r="AE14" s="1902"/>
      <c r="AF14" s="1902"/>
      <c r="AG14" s="1902"/>
      <c r="AH14" s="1902"/>
      <c r="AI14" s="1902"/>
      <c r="AJ14" s="1902"/>
      <c r="AK14" s="1902"/>
      <c r="AL14" s="1902"/>
      <c r="AM14" s="1902"/>
      <c r="AN14" s="1902"/>
      <c r="AO14" s="1903"/>
      <c r="AP14" s="1904"/>
      <c r="AQ14" s="1904"/>
      <c r="AR14" s="1904"/>
      <c r="AS14" s="1904"/>
      <c r="AT14" s="1193"/>
      <c r="AU14" s="1193"/>
      <c r="AV14" s="1193"/>
      <c r="AW14" s="1193"/>
      <c r="AX14" s="1193"/>
      <c r="AY14" s="1193"/>
      <c r="AZ14" s="1193"/>
      <c r="BA14" s="1193"/>
      <c r="BB14" s="1193"/>
      <c r="BC14" s="1193"/>
      <c r="BD14" s="1193"/>
      <c r="BE14" s="1194"/>
    </row>
    <row r="15" spans="1:65" ht="15" thickBot="1">
      <c r="A15" s="1190"/>
      <c r="B15" s="1906" t="s">
        <v>2436</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3"/>
      <c r="Y15" s="1190"/>
      <c r="Z15" s="1190"/>
      <c r="AA15" s="1899" t="s">
        <v>2435</v>
      </c>
      <c r="AB15" s="1899"/>
      <c r="AC15" s="1899"/>
      <c r="AD15" s="1899"/>
      <c r="AE15" s="1899"/>
      <c r="AF15" s="1899"/>
      <c r="AG15" s="1899"/>
      <c r="AH15" s="1899"/>
      <c r="AI15" s="1899"/>
      <c r="AJ15" s="1899"/>
      <c r="AK15" s="1899"/>
      <c r="AL15" s="1899"/>
      <c r="AM15" s="1899"/>
      <c r="AN15" s="1899"/>
      <c r="AO15" s="1903"/>
      <c r="AP15" s="1904"/>
      <c r="AQ15" s="1904"/>
      <c r="AR15" s="1904"/>
      <c r="AS15" s="1904"/>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1" t="s">
        <v>2434</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0"/>
      <c r="BA17" s="1190"/>
      <c r="BB17" s="1190"/>
      <c r="BC17" s="1190"/>
      <c r="BD17" s="1190"/>
      <c r="BE17" s="1194"/>
      <c r="BF17" s="1188"/>
    </row>
    <row r="18" spans="1:58" ht="15.75" customHeight="1">
      <c r="A18" s="1190"/>
      <c r="B18" s="1914" t="s">
        <v>2433</v>
      </c>
      <c r="C18" s="1915"/>
      <c r="D18" s="1915"/>
      <c r="E18" s="1915"/>
      <c r="F18" s="1915"/>
      <c r="G18" s="1915"/>
      <c r="H18" s="1915"/>
      <c r="I18" s="1916"/>
      <c r="J18" s="1917" t="s">
        <v>1587</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2432</v>
      </c>
      <c r="AU18" s="1918"/>
      <c r="AV18" s="1918"/>
      <c r="AW18" s="1918"/>
      <c r="AX18" s="1918"/>
      <c r="AY18" s="1920"/>
      <c r="AZ18" s="1190"/>
      <c r="BA18" s="1190"/>
      <c r="BB18" s="1190"/>
      <c r="BC18" s="1190"/>
      <c r="BD18" s="1190"/>
      <c r="BE18" s="1194"/>
    </row>
    <row r="19" spans="1:58" ht="14.4">
      <c r="A19" s="1190"/>
      <c r="B19" s="1921">
        <v>0.3</v>
      </c>
      <c r="C19" s="1922"/>
      <c r="D19" s="1922"/>
      <c r="E19" s="1922"/>
      <c r="F19" s="1922"/>
      <c r="G19" s="1922"/>
      <c r="H19" s="1922"/>
      <c r="I19" s="1923"/>
      <c r="J19" s="1924">
        <f t="shared" ref="J19:J24" si="0">SUM(P19:AS19)</f>
        <v>14</v>
      </c>
      <c r="K19" s="1925"/>
      <c r="L19" s="1925"/>
      <c r="M19" s="1925"/>
      <c r="N19" s="1925"/>
      <c r="O19" s="1926"/>
      <c r="P19" s="1924" cm="1">
        <f t="array" ref="P19">SUMPRODUCT((Application!$B$718:$B$752 = 'CalHFA Addendum'!P$18)*(Application!$AC$718:$AC$752 = 'CalHFA Addendum'!$B19),Application!$G$718:$G$752)</f>
        <v>0</v>
      </c>
      <c r="Q19" s="1925"/>
      <c r="R19" s="1925"/>
      <c r="S19" s="1925"/>
      <c r="T19" s="1925"/>
      <c r="U19" s="1926"/>
      <c r="V19" s="1924" cm="1">
        <f t="array" ref="V19">SUMPRODUCT((Application!$B$714:$B$738 = 'CalHFA Addendum'!V$18)*(Application!$AC$714:$AC$738 = 'CalHFA Addendum'!$B19),Application!$G$714:$G$738)</f>
        <v>4</v>
      </c>
      <c r="W19" s="1925"/>
      <c r="X19" s="1925"/>
      <c r="Y19" s="1925"/>
      <c r="Z19" s="1925"/>
      <c r="AA19" s="1926"/>
      <c r="AB19" s="1924" cm="1">
        <f t="array" ref="AB19">SUMPRODUCT((Application!$B$714:$B$738 = 'CalHFA Addendum'!AB$18)*(Application!$AC$714:$AC$738 = 'CalHFA Addendum'!$B19),Application!$G$714:$G$738)</f>
        <v>6</v>
      </c>
      <c r="AC19" s="1925"/>
      <c r="AD19" s="1925"/>
      <c r="AE19" s="1925"/>
      <c r="AF19" s="1925"/>
      <c r="AG19" s="1926"/>
      <c r="AH19" s="1924" cm="1">
        <f t="array" ref="AH19">SUMPRODUCT((Application!$B$714:$B$738 = 'CalHFA Addendum'!AH$18)*(Application!$AC$714:$AC$738 = 'CalHFA Addendum'!$B19),Application!$G$714:$G$738)</f>
        <v>3</v>
      </c>
      <c r="AI19" s="1925"/>
      <c r="AJ19" s="1925"/>
      <c r="AK19" s="1925"/>
      <c r="AL19" s="1925"/>
      <c r="AM19" s="1926"/>
      <c r="AN19" s="1924" cm="1">
        <f t="array" ref="AN19">SUMPRODUCT((Application!$B$714:$B$738 = 'CalHFA Addendum'!AN$18)*(Application!$AC$714:$AC$738 = 'CalHFA Addendum'!$B19),Application!$G$714:$G$738)</f>
        <v>1</v>
      </c>
      <c r="AO19" s="1925"/>
      <c r="AP19" s="1925"/>
      <c r="AQ19" s="1925"/>
      <c r="AR19" s="1925"/>
      <c r="AS19" s="1926"/>
      <c r="AT19" s="1927">
        <f t="shared" ref="AT19:AT29" si="1">J19/$J$29</f>
        <v>0.11666666666666667</v>
      </c>
      <c r="AU19" s="1928"/>
      <c r="AV19" s="1928"/>
      <c r="AW19" s="1928"/>
      <c r="AX19" s="1928"/>
      <c r="AY19" s="1929"/>
      <c r="AZ19" s="1195"/>
      <c r="BA19" s="1190"/>
      <c r="BB19" s="1190"/>
      <c r="BC19" s="1190"/>
      <c r="BD19" s="1190"/>
      <c r="BE19" s="1194"/>
    </row>
    <row r="20" spans="1:58" ht="15" customHeight="1">
      <c r="A20" s="1190"/>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0"/>
      <c r="BA20" s="1190"/>
      <c r="BB20" s="1190"/>
      <c r="BC20" s="1190"/>
      <c r="BD20" s="1190"/>
      <c r="BE20" s="1194"/>
    </row>
    <row r="21" spans="1:58" ht="14.4">
      <c r="A21" s="1190"/>
      <c r="B21" s="1921">
        <v>0.5</v>
      </c>
      <c r="C21" s="1922"/>
      <c r="D21" s="1922"/>
      <c r="E21" s="1922"/>
      <c r="F21" s="1922"/>
      <c r="G21" s="1922"/>
      <c r="H21" s="1922"/>
      <c r="I21" s="1923"/>
      <c r="J21" s="1924">
        <f t="shared" si="0"/>
        <v>18</v>
      </c>
      <c r="K21" s="1925"/>
      <c r="L21" s="1925"/>
      <c r="M21" s="1925"/>
      <c r="N21" s="1925"/>
      <c r="O21" s="1926"/>
      <c r="P21" s="1924" cm="1">
        <f t="array" ref="P21">SUMPRODUCT((Application!$B$714:$B$738 = 'CalHFA Addendum'!P$18)*(Application!$AC$714:$AC$738 = 'CalHFA Addendum'!$B21),Application!$G$714:$G$738)</f>
        <v>0</v>
      </c>
      <c r="Q21" s="1925"/>
      <c r="R21" s="1925"/>
      <c r="S21" s="1925"/>
      <c r="T21" s="1925"/>
      <c r="U21" s="1926"/>
      <c r="V21" s="1924" cm="1">
        <f t="array" ref="V21">SUMPRODUCT((Application!$B$714:$B$738 = 'CalHFA Addendum'!V$18)*(Application!$AC$714:$AC$738 = 'CalHFA Addendum'!$B21),Application!$G$714:$G$738)</f>
        <v>5</v>
      </c>
      <c r="W21" s="1925"/>
      <c r="X21" s="1925"/>
      <c r="Y21" s="1925"/>
      <c r="Z21" s="1925"/>
      <c r="AA21" s="1926"/>
      <c r="AB21" s="1924" cm="1">
        <f t="array" ref="AB21">SUMPRODUCT((Application!$B$714:$B$738 = 'CalHFA Addendum'!AB$18)*(Application!$AC$714:$AC$738 = 'CalHFA Addendum'!$B21),Application!$G$714:$G$738)</f>
        <v>5</v>
      </c>
      <c r="AC21" s="1925"/>
      <c r="AD21" s="1925"/>
      <c r="AE21" s="1925"/>
      <c r="AF21" s="1925"/>
      <c r="AG21" s="1926"/>
      <c r="AH21" s="1924" cm="1">
        <f t="array" ref="AH21">SUMPRODUCT((Application!$B$714:$B$738 = 'CalHFA Addendum'!AH$18)*(Application!$AC$714:$AC$738 = 'CalHFA Addendum'!$B21),Application!$G$714:$G$738)</f>
        <v>5</v>
      </c>
      <c r="AI21" s="1925"/>
      <c r="AJ21" s="1925"/>
      <c r="AK21" s="1925"/>
      <c r="AL21" s="1925"/>
      <c r="AM21" s="1926"/>
      <c r="AN21" s="1924" cm="1">
        <f t="array" ref="AN21">SUMPRODUCT((Application!$B$714:$B$738 = 'CalHFA Addendum'!AN$18)*(Application!$AC$714:$AC$738 = 'CalHFA Addendum'!$B21),Application!$G$714:$G$738)</f>
        <v>3</v>
      </c>
      <c r="AO21" s="1925"/>
      <c r="AP21" s="1925"/>
      <c r="AQ21" s="1925"/>
      <c r="AR21" s="1925"/>
      <c r="AS21" s="1926"/>
      <c r="AT21" s="1927">
        <f t="shared" si="1"/>
        <v>0.15</v>
      </c>
      <c r="AU21" s="1928"/>
      <c r="AV21" s="1928"/>
      <c r="AW21" s="1928"/>
      <c r="AX21" s="1928"/>
      <c r="AY21" s="1929"/>
      <c r="AZ21" s="1190"/>
      <c r="BA21" s="1190"/>
      <c r="BB21" s="1190"/>
      <c r="BC21" s="1190"/>
      <c r="BD21" s="1190"/>
      <c r="BE21" s="1194"/>
    </row>
    <row r="22" spans="1:58" ht="14.4">
      <c r="A22" s="1190"/>
      <c r="B22" s="1921">
        <v>0.6</v>
      </c>
      <c r="C22" s="1922"/>
      <c r="D22" s="1922"/>
      <c r="E22" s="1922"/>
      <c r="F22" s="1922"/>
      <c r="G22" s="1922"/>
      <c r="H22" s="1922"/>
      <c r="I22" s="1923"/>
      <c r="J22" s="1924">
        <f t="shared" si="0"/>
        <v>27</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9</v>
      </c>
      <c r="W22" s="1925"/>
      <c r="X22" s="1925"/>
      <c r="Y22" s="1925"/>
      <c r="Z22" s="1925"/>
      <c r="AA22" s="1926"/>
      <c r="AB22" s="1924" cm="1">
        <f t="array" ref="AB22">SUMPRODUCT((Application!$B$714:$B$738 = 'CalHFA Addendum'!AB$18)*(Application!$AC$714:$AC$738 = 'CalHFA Addendum'!$B22),Application!$G$714:$G$738)</f>
        <v>15</v>
      </c>
      <c r="AC22" s="1925"/>
      <c r="AD22" s="1925"/>
      <c r="AE22" s="1925"/>
      <c r="AF22" s="1925"/>
      <c r="AG22" s="1926"/>
      <c r="AH22" s="1924" cm="1">
        <f t="array" ref="AH22">SUMPRODUCT((Application!$B$714:$B$738 = 'CalHFA Addendum'!AH$18)*(Application!$AC$714:$AC$738 = 'CalHFA Addendum'!$B22),Application!$G$714:$G$738)</f>
        <v>3</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0.22500000000000001</v>
      </c>
      <c r="AU22" s="1928"/>
      <c r="AV22" s="1928"/>
      <c r="AW22" s="1928"/>
      <c r="AX22" s="1928"/>
      <c r="AY22" s="1929"/>
      <c r="AZ22" s="1190"/>
      <c r="BA22" s="1190"/>
      <c r="BB22" s="1190"/>
      <c r="BC22" s="1190"/>
      <c r="BD22" s="1190"/>
      <c r="BE22" s="1194"/>
    </row>
    <row r="23" spans="1:58" ht="14.4">
      <c r="A23" s="1190"/>
      <c r="B23" s="1921">
        <v>0.7</v>
      </c>
      <c r="C23" s="1922"/>
      <c r="D23" s="1922"/>
      <c r="E23" s="1922"/>
      <c r="F23" s="1922"/>
      <c r="G23" s="1922"/>
      <c r="H23" s="1922"/>
      <c r="I23" s="1923"/>
      <c r="J23" s="1924">
        <f t="shared" si="0"/>
        <v>60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14</v>
      </c>
      <c r="W23" s="1925"/>
      <c r="X23" s="1925"/>
      <c r="Y23" s="1925"/>
      <c r="Z23" s="1925"/>
      <c r="AA23" s="1926"/>
      <c r="AB23" s="1924" cm="1">
        <f t="array" ref="AB23">SUMPRODUCT((Application!$B$714:$B$738 = 'CalHFA Addendum'!AB$18)*(Application!$AC$714:$AC$738 = 'CalHFA Addendum'!$B23),Application!$G$714:$G$738)</f>
        <v>30</v>
      </c>
      <c r="AC23" s="1925"/>
      <c r="AD23" s="1925"/>
      <c r="AE23" s="1925"/>
      <c r="AF23" s="1925"/>
      <c r="AG23" s="1926"/>
      <c r="AH23" s="1924" cm="1">
        <f t="array" ref="AH23">SUMPRODUCT((Application!$B$714:$B$738 = 'CalHFA Addendum'!AH$18)*(Application!$AC$714:$AC$738 = 'CalHFA Addendum'!$B23),Application!$G$714:$G$738)</f>
        <v>16</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0.5</v>
      </c>
      <c r="AU23" s="1928"/>
      <c r="AV23" s="1928"/>
      <c r="AW23" s="1928"/>
      <c r="AX23" s="1928"/>
      <c r="AY23" s="1929"/>
      <c r="AZ23" s="1190"/>
      <c r="BA23" s="1190"/>
      <c r="BB23" s="1190"/>
      <c r="BC23" s="1190"/>
      <c r="BD23" s="1190"/>
      <c r="BE23" s="1194"/>
    </row>
    <row r="24" spans="1:58" ht="14.4">
      <c r="A24" s="1190"/>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0"/>
      <c r="BA24" s="1190"/>
      <c r="BB24" s="1190"/>
      <c r="BC24" s="1190"/>
      <c r="BD24" s="1190"/>
      <c r="BE24" s="1194"/>
    </row>
    <row r="25" spans="1:58" ht="14.4">
      <c r="A25" s="1190"/>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0"/>
      <c r="BA25" s="1190"/>
      <c r="BB25" s="1190"/>
      <c r="BC25" s="1190"/>
      <c r="BD25" s="1190"/>
      <c r="BE25" s="1194"/>
    </row>
    <row r="26" spans="1:58" ht="14.4">
      <c r="A26" s="1190"/>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0"/>
      <c r="BA26" s="1190"/>
      <c r="BB26" s="1190"/>
      <c r="BC26" s="1190"/>
      <c r="BD26" s="1190"/>
      <c r="BE26" s="1194"/>
    </row>
    <row r="27" spans="1:58" ht="14.4">
      <c r="A27" s="1190"/>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0"/>
      <c r="BA27" s="1190"/>
      <c r="BB27" s="1190"/>
      <c r="BC27" s="1190"/>
      <c r="BD27" s="1190"/>
      <c r="BE27" s="1194"/>
    </row>
    <row r="28" spans="1:58" ht="15" thickBot="1">
      <c r="A28" s="1190"/>
      <c r="B28" s="1933" t="s">
        <v>2431</v>
      </c>
      <c r="C28" s="1934"/>
      <c r="D28" s="1934"/>
      <c r="E28" s="1934"/>
      <c r="F28" s="1934"/>
      <c r="G28" s="1934"/>
      <c r="H28" s="1934"/>
      <c r="I28" s="1935"/>
      <c r="J28" s="1936">
        <f>SUM(P28:AS28)</f>
        <v>1</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0</v>
      </c>
      <c r="AC28" s="1937"/>
      <c r="AD28" s="1937"/>
      <c r="AE28" s="1937"/>
      <c r="AF28" s="1937"/>
      <c r="AG28" s="1938"/>
      <c r="AH28" s="1936">
        <f>_xlfn.IFNA(VLOOKUP(AH$18,Application!$J$773:$S$776,6,FALSE), 0)</f>
        <v>1</v>
      </c>
      <c r="AI28" s="1937"/>
      <c r="AJ28" s="1937"/>
      <c r="AK28" s="1937"/>
      <c r="AL28" s="1937"/>
      <c r="AM28" s="1938"/>
      <c r="AN28" s="1936">
        <f>_xlfn.IFNA(VLOOKUP(AN$18,Application!$J$773:$S$776,6,FALSE), 0)</f>
        <v>0</v>
      </c>
      <c r="AO28" s="1937"/>
      <c r="AP28" s="1937"/>
      <c r="AQ28" s="1937"/>
      <c r="AR28" s="1937"/>
      <c r="AS28" s="1938"/>
      <c r="AT28" s="1939">
        <f t="shared" si="1"/>
        <v>8.3333333333333332E-3</v>
      </c>
      <c r="AU28" s="1940"/>
      <c r="AV28" s="1940"/>
      <c r="AW28" s="1940"/>
      <c r="AX28" s="1940"/>
      <c r="AY28" s="1941"/>
      <c r="AZ28" s="1190"/>
      <c r="BA28" s="1190"/>
      <c r="BB28" s="1190"/>
      <c r="BC28" s="1190"/>
      <c r="BD28" s="1190"/>
      <c r="BE28" s="1194"/>
    </row>
    <row r="29" spans="1:58" ht="15" thickBot="1">
      <c r="A29" s="1190"/>
      <c r="B29" s="1970" t="s">
        <v>1587</v>
      </c>
      <c r="C29" s="1943"/>
      <c r="D29" s="1943"/>
      <c r="E29" s="1943"/>
      <c r="F29" s="1943"/>
      <c r="G29" s="1943"/>
      <c r="H29" s="1943"/>
      <c r="I29" s="1944"/>
      <c r="J29" s="1942">
        <f>SUM(J19:O28)</f>
        <v>120</v>
      </c>
      <c r="K29" s="1943"/>
      <c r="L29" s="1943"/>
      <c r="M29" s="1943"/>
      <c r="N29" s="1943"/>
      <c r="O29" s="1944"/>
      <c r="P29" s="1942">
        <f>SUM(P19:U28)</f>
        <v>0</v>
      </c>
      <c r="Q29" s="1943"/>
      <c r="R29" s="1943"/>
      <c r="S29" s="1943"/>
      <c r="T29" s="1943"/>
      <c r="U29" s="1944"/>
      <c r="V29" s="1942">
        <f>SUM(V19:AA28)</f>
        <v>32</v>
      </c>
      <c r="W29" s="1943"/>
      <c r="X29" s="1943"/>
      <c r="Y29" s="1943"/>
      <c r="Z29" s="1943"/>
      <c r="AA29" s="1944"/>
      <c r="AB29" s="1942">
        <f>SUM(AB19:AG28)</f>
        <v>56</v>
      </c>
      <c r="AC29" s="1943"/>
      <c r="AD29" s="1943"/>
      <c r="AE29" s="1943"/>
      <c r="AF29" s="1943"/>
      <c r="AG29" s="1944"/>
      <c r="AH29" s="1942">
        <f>SUM(AH19:AM28)</f>
        <v>28</v>
      </c>
      <c r="AI29" s="1943"/>
      <c r="AJ29" s="1943"/>
      <c r="AK29" s="1943"/>
      <c r="AL29" s="1943"/>
      <c r="AM29" s="1944"/>
      <c r="AN29" s="1942">
        <f>SUM(AN19:AS28)</f>
        <v>4</v>
      </c>
      <c r="AO29" s="1943"/>
      <c r="AP29" s="1943"/>
      <c r="AQ29" s="1943"/>
      <c r="AR29" s="1943"/>
      <c r="AS29" s="1944"/>
      <c r="AT29" s="1945">
        <f t="shared" si="1"/>
        <v>1</v>
      </c>
      <c r="AU29" s="1946"/>
      <c r="AV29" s="1946"/>
      <c r="AW29" s="1946"/>
      <c r="AX29" s="1946"/>
      <c r="AY29" s="1947"/>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8" t="s">
        <v>2430</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4"/>
    </row>
    <row r="32" spans="1:58" ht="15" thickBot="1">
      <c r="A32" s="1190"/>
      <c r="B32" s="1951" t="s">
        <v>2429</v>
      </c>
      <c r="C32" s="1952"/>
      <c r="D32" s="1952"/>
      <c r="E32" s="1952"/>
      <c r="F32" s="1952"/>
      <c r="G32" s="1952"/>
      <c r="H32" s="1952"/>
      <c r="I32" s="1952"/>
      <c r="J32" s="1955" t="s">
        <v>2428</v>
      </c>
      <c r="K32" s="1956"/>
      <c r="L32" s="1956"/>
      <c r="M32" s="1956"/>
      <c r="N32" s="1955" t="s">
        <v>2427</v>
      </c>
      <c r="O32" s="1956"/>
      <c r="P32" s="1956"/>
      <c r="Q32" s="1958"/>
      <c r="R32" s="1960" t="s">
        <v>2426</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4"/>
    </row>
    <row r="33" spans="1:58" ht="15" customHeight="1">
      <c r="A33" s="1190"/>
      <c r="B33" s="1953"/>
      <c r="C33" s="1954"/>
      <c r="D33" s="1954"/>
      <c r="E33" s="1954"/>
      <c r="F33" s="1954"/>
      <c r="G33" s="1954"/>
      <c r="H33" s="1954"/>
      <c r="I33" s="1954"/>
      <c r="J33" s="1957"/>
      <c r="K33" s="1957"/>
      <c r="L33" s="1957"/>
      <c r="M33" s="1957"/>
      <c r="N33" s="1957"/>
      <c r="O33" s="1957"/>
      <c r="P33" s="1957"/>
      <c r="Q33" s="1959"/>
      <c r="R33" s="1963" t="s">
        <v>2425</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4"/>
    </row>
    <row r="34" spans="1:58" ht="15.75" customHeight="1" thickBot="1">
      <c r="A34" s="1190"/>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4"/>
    </row>
    <row r="35" spans="1:58" ht="15.75" customHeight="1">
      <c r="A35" s="1190"/>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2424</v>
      </c>
      <c r="AT35" s="1972"/>
      <c r="AU35" s="1972"/>
      <c r="AV35" s="1972"/>
      <c r="AW35" s="1972"/>
      <c r="AX35" s="1980"/>
      <c r="AY35" s="1971" t="s">
        <v>2423</v>
      </c>
      <c r="AZ35" s="1972"/>
      <c r="BA35" s="1972"/>
      <c r="BB35" s="1972"/>
      <c r="BC35" s="1972"/>
      <c r="BD35" s="1973"/>
      <c r="BE35" s="1194"/>
    </row>
    <row r="36" spans="1:58" ht="15.75" customHeight="1">
      <c r="A36" s="1190"/>
      <c r="B36" s="1990" t="s">
        <v>2422</v>
      </c>
      <c r="C36" s="1991"/>
      <c r="D36" s="1991"/>
      <c r="E36" s="1991"/>
      <c r="F36" s="1991"/>
      <c r="G36" s="1991"/>
      <c r="H36" s="1991"/>
      <c r="I36" s="1991"/>
      <c r="J36" s="1992" t="s">
        <v>2421</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4"/>
    </row>
    <row r="37" spans="1:58" ht="15.75" customHeight="1">
      <c r="A37" s="1190"/>
      <c r="B37" s="1990" t="s">
        <v>2420</v>
      </c>
      <c r="C37" s="1991"/>
      <c r="D37" s="1991"/>
      <c r="E37" s="1991"/>
      <c r="F37" s="1991"/>
      <c r="G37" s="1991"/>
      <c r="H37" s="1991"/>
      <c r="I37" s="1991"/>
      <c r="J37" s="1992" t="s">
        <v>2419</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4"/>
    </row>
    <row r="38" spans="1:58" ht="15.75" customHeight="1">
      <c r="A38" s="1190"/>
      <c r="B38" s="1990" t="s">
        <v>2418</v>
      </c>
      <c r="C38" s="1991"/>
      <c r="D38" s="1991"/>
      <c r="E38" s="1991"/>
      <c r="F38" s="1991"/>
      <c r="G38" s="1991"/>
      <c r="H38" s="1991"/>
      <c r="I38" s="1991"/>
      <c r="J38" s="1992" t="s">
        <v>2417</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4"/>
    </row>
    <row r="39" spans="1:58" ht="15.75" customHeight="1">
      <c r="A39" s="1190"/>
      <c r="B39" s="1990" t="s">
        <v>2416</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4"/>
    </row>
    <row r="40" spans="1:58" ht="15.75" customHeight="1">
      <c r="A40" s="1190"/>
      <c r="B40" s="1990" t="s">
        <v>2416</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4"/>
    </row>
    <row r="41" spans="1:58" ht="15.75" customHeight="1">
      <c r="A41" s="1190"/>
      <c r="B41" s="1990" t="s">
        <v>2415</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4"/>
    </row>
    <row r="42" spans="1:58" ht="15.75" customHeight="1">
      <c r="A42" s="1190"/>
      <c r="B42" s="1990" t="s">
        <v>2415</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4"/>
    </row>
    <row r="43" spans="1:58" ht="15.75" customHeight="1">
      <c r="A43" s="1190"/>
      <c r="B43" s="1994" t="s">
        <v>2414</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4"/>
    </row>
    <row r="44" spans="1:58" ht="15.75" customHeight="1">
      <c r="A44" s="1190"/>
      <c r="B44" s="1994" t="s">
        <v>2413</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4"/>
    </row>
    <row r="45" spans="1:58" ht="15.75" customHeight="1">
      <c r="A45" s="1190"/>
      <c r="B45" s="1994" t="s">
        <v>2412</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4"/>
    </row>
    <row r="46" spans="1:58" ht="15.75" customHeight="1">
      <c r="A46" s="1190"/>
      <c r="B46" s="1994" t="s">
        <v>2336</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4"/>
    </row>
    <row r="47" spans="1:58" ht="15.75" customHeight="1" thickBot="1">
      <c r="A47" s="1190"/>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6" t="s">
        <v>2409</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9" t="s">
        <v>2402</v>
      </c>
      <c r="C51" s="2010"/>
      <c r="D51" s="2010"/>
      <c r="E51" s="2010"/>
      <c r="F51" s="2010"/>
      <c r="G51" s="2010"/>
      <c r="H51" s="2010"/>
      <c r="I51" s="2010"/>
      <c r="J51" s="2010" t="s">
        <v>2408</v>
      </c>
      <c r="K51" s="2010"/>
      <c r="L51" s="2010"/>
      <c r="M51" s="2010"/>
      <c r="N51" s="2010"/>
      <c r="O51" s="2010"/>
      <c r="P51" s="2010"/>
      <c r="Q51" s="2010"/>
      <c r="R51" s="2011" t="s">
        <v>2407</v>
      </c>
      <c r="S51" s="2011"/>
      <c r="T51" s="2011"/>
      <c r="U51" s="2011"/>
      <c r="V51" s="2011"/>
      <c r="W51" s="2011"/>
      <c r="X51" s="2011"/>
      <c r="Y51" s="2011"/>
      <c r="Z51" s="2011" t="s">
        <v>2406</v>
      </c>
      <c r="AA51" s="2011"/>
      <c r="AB51" s="2011"/>
      <c r="AC51" s="2011"/>
      <c r="AD51" s="2011"/>
      <c r="AE51" s="2011"/>
      <c r="AF51" s="2011"/>
      <c r="AG51" s="2011"/>
      <c r="AH51" s="2011" t="s">
        <v>2405</v>
      </c>
      <c r="AI51" s="2011"/>
      <c r="AJ51" s="2011"/>
      <c r="AK51" s="2011"/>
      <c r="AL51" s="2011"/>
      <c r="AM51" s="2011"/>
      <c r="AN51" s="2011"/>
      <c r="AO51" s="20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4" t="s">
        <v>2404</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4" t="s">
        <v>2403</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7" t="s">
        <v>1587</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8" t="s">
        <v>2402</v>
      </c>
      <c r="C59" s="2019"/>
      <c r="D59" s="2019"/>
      <c r="E59" s="2019"/>
      <c r="F59" s="2019"/>
      <c r="G59" s="2019"/>
      <c r="H59" s="2019"/>
      <c r="I59" s="2020"/>
      <c r="J59" s="1912" t="s">
        <v>2401</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0"/>
      <c r="AY59" s="1190"/>
      <c r="AZ59" s="1190"/>
      <c r="BA59" s="1190"/>
      <c r="BB59" s="1190"/>
      <c r="BC59" s="1190"/>
      <c r="BD59" s="1190"/>
      <c r="BE59" s="1194"/>
    </row>
    <row r="60" spans="1:77" ht="15.75" customHeight="1">
      <c r="A60" s="1190"/>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0"/>
      <c r="AY60" s="1190"/>
      <c r="AZ60" s="1190"/>
      <c r="BA60" s="1190"/>
      <c r="BB60" s="1190"/>
      <c r="BC60" s="1190"/>
      <c r="BD60" s="1190"/>
      <c r="BE60" s="1194"/>
    </row>
    <row r="61" spans="1:77" ht="15.75" customHeight="1">
      <c r="A61" s="1190"/>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0"/>
      <c r="AY61" s="1190"/>
      <c r="AZ61" s="1190"/>
      <c r="BA61" s="1190"/>
      <c r="BB61" s="1190"/>
      <c r="BC61" s="1190"/>
      <c r="BD61" s="1190"/>
      <c r="BE61" s="1194"/>
    </row>
    <row r="62" spans="1:77" ht="15.75" customHeight="1">
      <c r="A62" s="1190"/>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0"/>
      <c r="AY62" s="1190"/>
      <c r="AZ62" s="1190"/>
      <c r="BA62" s="1190"/>
      <c r="BB62" s="1190"/>
      <c r="BC62" s="1190"/>
      <c r="BD62" s="1190"/>
      <c r="BE62" s="1194"/>
    </row>
    <row r="63" spans="1:77" ht="15.75" customHeight="1">
      <c r="A63" s="1190"/>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0"/>
      <c r="AY63" s="1190"/>
      <c r="AZ63" s="1190"/>
      <c r="BA63" s="1190"/>
      <c r="BB63" s="1190"/>
      <c r="BC63" s="1190"/>
      <c r="BD63" s="1190"/>
      <c r="BE63" s="1194"/>
    </row>
    <row r="64" spans="1:77" ht="15.75" customHeight="1" thickBot="1">
      <c r="A64" s="1190"/>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1" t="s">
        <v>2399</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0"/>
      <c r="AC68" s="2055" t="s">
        <v>2398</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0"/>
      <c r="BE68" s="1194"/>
      <c r="BM68" s="1199" t="s">
        <v>2397</v>
      </c>
    </row>
    <row r="69" spans="1:94" ht="15.75" customHeight="1" thickTop="1" thickBot="1">
      <c r="A69" s="1190"/>
      <c r="B69" s="2036" t="s">
        <v>2396</v>
      </c>
      <c r="C69" s="2037"/>
      <c r="D69" s="2037"/>
      <c r="E69" s="2037"/>
      <c r="F69" s="2037"/>
      <c r="G69" s="2037"/>
      <c r="H69" s="2037"/>
      <c r="I69" s="2037"/>
      <c r="J69" s="2037"/>
      <c r="K69" s="2037"/>
      <c r="L69" s="2037"/>
      <c r="M69" s="2037"/>
      <c r="N69" s="2037"/>
      <c r="O69" s="2038" t="s">
        <v>2395</v>
      </c>
      <c r="P69" s="2039"/>
      <c r="Q69" s="2039"/>
      <c r="R69" s="2039"/>
      <c r="S69" s="2039"/>
      <c r="T69" s="2039"/>
      <c r="U69" s="2039"/>
      <c r="V69" s="2039"/>
      <c r="W69" s="2039"/>
      <c r="X69" s="2039"/>
      <c r="Y69" s="2039"/>
      <c r="Z69" s="2039"/>
      <c r="AA69" s="2040"/>
      <c r="AB69" s="1190"/>
      <c r="AC69" s="2041" t="s">
        <v>2394</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0"/>
      <c r="BE69" s="1194"/>
      <c r="BM69" s="1200" t="s">
        <v>546</v>
      </c>
    </row>
    <row r="70" spans="1:94" ht="15.75" customHeight="1">
      <c r="A70" s="1190"/>
      <c r="B70" s="1990" t="s">
        <v>2393</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0"/>
      <c r="AC70" s="2006" t="s">
        <v>2392</v>
      </c>
      <c r="AD70" s="2007"/>
      <c r="AE70" s="2007"/>
      <c r="AF70" s="2051"/>
      <c r="AG70" s="2051"/>
      <c r="AH70" s="2051"/>
      <c r="AI70" s="2051"/>
      <c r="AJ70" s="2051"/>
      <c r="AK70" s="2051"/>
      <c r="AL70" s="2051"/>
      <c r="AM70" s="2051"/>
      <c r="AN70" s="2051"/>
      <c r="AO70" s="2051"/>
      <c r="AP70" s="2051"/>
      <c r="AQ70" s="2051"/>
      <c r="AR70" s="2051"/>
      <c r="AS70" s="2051"/>
      <c r="AT70" s="2051"/>
      <c r="AU70" s="2052"/>
      <c r="AV70" s="1190"/>
      <c r="AW70" s="1190"/>
      <c r="AX70" s="1190"/>
      <c r="AY70" s="1190"/>
      <c r="AZ70" s="1190"/>
      <c r="BA70" s="1190"/>
      <c r="BB70" s="1190"/>
      <c r="BC70" s="1190"/>
      <c r="BD70" s="1190"/>
      <c r="BE70" s="1194"/>
      <c r="BM70" s="1201" t="s">
        <v>670</v>
      </c>
    </row>
    <row r="71" spans="1:94" ht="15.75" customHeight="1" thickBot="1">
      <c r="A71" s="1190"/>
      <c r="B71" s="1990" t="s">
        <v>2391</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0"/>
      <c r="AC71" s="2053" t="s">
        <v>2390</v>
      </c>
      <c r="AD71" s="2054"/>
      <c r="AE71" s="2054"/>
      <c r="AF71" s="2047"/>
      <c r="AG71" s="2047"/>
      <c r="AH71" s="2047"/>
      <c r="AI71" s="2047"/>
      <c r="AJ71" s="2047"/>
      <c r="AK71" s="2047"/>
      <c r="AL71" s="2047"/>
      <c r="AM71" s="2047"/>
      <c r="AN71" s="2047"/>
      <c r="AO71" s="2047"/>
      <c r="AP71" s="2047"/>
      <c r="AQ71" s="2047"/>
      <c r="AR71" s="2047"/>
      <c r="AS71" s="2047"/>
      <c r="AT71" s="2047"/>
      <c r="AU71" s="2048"/>
      <c r="AV71" s="1190"/>
      <c r="AW71" s="1190"/>
      <c r="AX71" s="1190"/>
      <c r="AY71" s="1190"/>
      <c r="AZ71" s="1190"/>
      <c r="BA71" s="1190"/>
      <c r="BB71" s="1190"/>
      <c r="BC71" s="1190"/>
      <c r="BD71" s="1190"/>
      <c r="BE71" s="1194"/>
      <c r="BM71" s="1187" t="s">
        <v>2389</v>
      </c>
    </row>
    <row r="72" spans="1:94" ht="15.75" customHeight="1">
      <c r="A72" s="1190"/>
      <c r="B72" s="1990" t="s">
        <v>2388</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0"/>
      <c r="AC72" s="2073" t="s">
        <v>2387</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0"/>
      <c r="BE72" s="1194"/>
    </row>
    <row r="73" spans="1:94" ht="15.75" customHeight="1">
      <c r="A73" s="1190"/>
      <c r="B73" s="1994" t="s">
        <v>2386</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0"/>
      <c r="AC73" s="2075" t="s">
        <v>2331</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0"/>
      <c r="BE73" s="1194"/>
      <c r="CK73" s="1188"/>
      <c r="CL73" s="1188"/>
      <c r="CM73" s="1188"/>
      <c r="CN73" s="1188"/>
      <c r="CO73" s="1188"/>
      <c r="CP73" s="1188"/>
    </row>
    <row r="74" spans="1:94" ht="15.75" customHeight="1">
      <c r="A74" s="1190"/>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0"/>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0"/>
      <c r="BE74" s="1194"/>
      <c r="CK74" s="1188"/>
      <c r="CL74" s="1188"/>
      <c r="CM74" s="1188"/>
      <c r="CN74" s="1188"/>
      <c r="CO74" s="1188"/>
      <c r="CP74" s="1188"/>
    </row>
    <row r="75" spans="1:94" ht="15.75" customHeight="1" thickBot="1">
      <c r="A75" s="1190"/>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0"/>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7"/>
      <c r="G79" s="2058"/>
      <c r="H79" s="2058"/>
      <c r="I79" s="2058"/>
      <c r="J79" s="2058"/>
      <c r="K79" s="2058"/>
      <c r="L79" s="2058"/>
      <c r="M79" s="2058"/>
      <c r="N79" s="2058"/>
      <c r="O79" s="2058"/>
      <c r="P79" s="2058"/>
      <c r="Q79" s="2058"/>
      <c r="R79" s="2058"/>
      <c r="S79" s="2058"/>
      <c r="T79" s="20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0" t="s">
        <v>2384</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5" t="s">
        <v>2383</v>
      </c>
      <c r="C81" s="2066"/>
      <c r="D81" s="2066"/>
      <c r="E81" s="2066"/>
      <c r="F81" s="2066"/>
      <c r="G81" s="2066"/>
      <c r="H81" s="2066"/>
      <c r="I81" s="2066"/>
      <c r="J81" s="2066"/>
      <c r="K81" s="2066"/>
      <c r="L81" s="2066"/>
      <c r="M81" s="2066"/>
      <c r="N81" s="2066"/>
      <c r="O81" s="2066"/>
      <c r="P81" s="2066"/>
      <c r="Q81" s="2066"/>
      <c r="R81" s="2067" t="s">
        <v>2189</v>
      </c>
      <c r="S81" s="2068"/>
      <c r="T81" s="206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0" t="s">
        <v>2382</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0"/>
      <c r="AJ83" s="2088" t="s">
        <v>2381</v>
      </c>
      <c r="AK83" s="2089"/>
      <c r="AL83" s="2089"/>
      <c r="AM83" s="2089"/>
      <c r="AN83" s="2089"/>
      <c r="AO83" s="2089"/>
      <c r="AP83" s="2089"/>
      <c r="AQ83" s="2089"/>
      <c r="AR83" s="2089"/>
      <c r="AS83" s="2089"/>
      <c r="AT83" s="2089"/>
      <c r="AU83" s="2089"/>
      <c r="AV83" s="2089"/>
      <c r="AW83" s="2089"/>
      <c r="AX83" s="2089"/>
      <c r="AY83" s="2092" t="s">
        <v>546</v>
      </c>
      <c r="AZ83" s="2092"/>
      <c r="BA83" s="2092"/>
      <c r="BB83" s="2093"/>
      <c r="BC83" s="1190"/>
      <c r="BD83" s="1190"/>
      <c r="BE83" s="1194"/>
      <c r="CK83" s="1188"/>
      <c r="CL83" s="1188"/>
      <c r="CM83" s="1188"/>
      <c r="CN83" s="1188"/>
      <c r="CO83" s="1188"/>
      <c r="CP83" s="1188"/>
    </row>
    <row r="84" spans="1:94" ht="15.75" customHeight="1">
      <c r="A84" s="1190"/>
      <c r="B84" s="2009"/>
      <c r="C84" s="2010"/>
      <c r="D84" s="2010"/>
      <c r="E84" s="2010"/>
      <c r="F84" s="2010"/>
      <c r="G84" s="2010"/>
      <c r="H84" s="2010"/>
      <c r="I84" s="2010" t="s">
        <v>2371</v>
      </c>
      <c r="J84" s="2010"/>
      <c r="K84" s="2010"/>
      <c r="L84" s="2010"/>
      <c r="M84" s="2010"/>
      <c r="N84" s="2010"/>
      <c r="O84" s="2010" t="s">
        <v>2347</v>
      </c>
      <c r="P84" s="2010"/>
      <c r="Q84" s="2010"/>
      <c r="R84" s="2010"/>
      <c r="S84" s="2010"/>
      <c r="T84" s="2010"/>
      <c r="U84" s="2010"/>
      <c r="V84" s="2096" t="s">
        <v>2346</v>
      </c>
      <c r="W84" s="2096"/>
      <c r="X84" s="2096"/>
      <c r="Y84" s="2096"/>
      <c r="Z84" s="2096"/>
      <c r="AA84" s="2096"/>
      <c r="AB84" s="2097" t="s">
        <v>2370</v>
      </c>
      <c r="AC84" s="2097"/>
      <c r="AD84" s="2097"/>
      <c r="AE84" s="2097"/>
      <c r="AF84" s="2097"/>
      <c r="AG84" s="2097"/>
      <c r="AH84" s="2098"/>
      <c r="AI84" s="1190"/>
      <c r="AJ84" s="2090"/>
      <c r="AK84" s="2091"/>
      <c r="AL84" s="2091"/>
      <c r="AM84" s="2091"/>
      <c r="AN84" s="2091"/>
      <c r="AO84" s="2091"/>
      <c r="AP84" s="2091"/>
      <c r="AQ84" s="2091"/>
      <c r="AR84" s="2091"/>
      <c r="AS84" s="2091"/>
      <c r="AT84" s="2091"/>
      <c r="AU84" s="2091"/>
      <c r="AV84" s="2091"/>
      <c r="AW84" s="2091"/>
      <c r="AX84" s="2091"/>
      <c r="AY84" s="2094"/>
      <c r="AZ84" s="2094"/>
      <c r="BA84" s="2094"/>
      <c r="BB84" s="2095"/>
      <c r="BC84" s="1190"/>
      <c r="BD84" s="1190"/>
      <c r="BE84" s="1194"/>
      <c r="CK84" s="1188"/>
      <c r="CL84" s="1188"/>
      <c r="CM84" s="1188"/>
      <c r="CN84" s="1188"/>
      <c r="CO84" s="1188"/>
      <c r="CP84" s="1188"/>
    </row>
    <row r="85" spans="1:94" ht="15.75" customHeight="1">
      <c r="A85" s="1190"/>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0"/>
      <c r="AJ85" s="2090"/>
      <c r="AK85" s="2091"/>
      <c r="AL85" s="2091"/>
      <c r="AM85" s="2091"/>
      <c r="AN85" s="2091"/>
      <c r="AO85" s="2091"/>
      <c r="AP85" s="2091"/>
      <c r="AQ85" s="2091"/>
      <c r="AR85" s="2091"/>
      <c r="AS85" s="2091"/>
      <c r="AT85" s="2091"/>
      <c r="AU85" s="2091"/>
      <c r="AV85" s="2091"/>
      <c r="AW85" s="2091"/>
      <c r="AX85" s="2091"/>
      <c r="AY85" s="2094"/>
      <c r="AZ85" s="2094"/>
      <c r="BA85" s="2094"/>
      <c r="BB85" s="2095"/>
      <c r="BC85" s="1190"/>
      <c r="BD85" s="1190"/>
      <c r="BE85" s="1194"/>
      <c r="CK85" s="1188"/>
      <c r="CL85" s="1188"/>
      <c r="CM85" s="1188"/>
      <c r="CN85" s="1188"/>
      <c r="CO85" s="1188"/>
      <c r="CP85" s="1188"/>
    </row>
    <row r="86" spans="1:94" ht="15.75" customHeight="1">
      <c r="A86" s="1190"/>
      <c r="B86" s="2009" t="s">
        <v>2369</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0"/>
      <c r="AJ86" s="2090"/>
      <c r="AK86" s="2091"/>
      <c r="AL86" s="2091"/>
      <c r="AM86" s="2091"/>
      <c r="AN86" s="2091"/>
      <c r="AO86" s="2091"/>
      <c r="AP86" s="2091"/>
      <c r="AQ86" s="2091"/>
      <c r="AR86" s="2091"/>
      <c r="AS86" s="2091"/>
      <c r="AT86" s="2091"/>
      <c r="AU86" s="2091"/>
      <c r="AV86" s="2091"/>
      <c r="AW86" s="2091"/>
      <c r="AX86" s="2091"/>
      <c r="AY86" s="2094"/>
      <c r="AZ86" s="2094"/>
      <c r="BA86" s="2094"/>
      <c r="BB86" s="2095"/>
      <c r="BC86" s="1190"/>
      <c r="BD86" s="1190"/>
      <c r="BE86" s="1194"/>
      <c r="CK86" s="1188"/>
      <c r="CL86" s="1188"/>
      <c r="CM86" s="1188"/>
      <c r="CN86" s="1188"/>
      <c r="CO86" s="1188"/>
      <c r="CP86" s="1188"/>
    </row>
    <row r="87" spans="1:94" ht="15.75" customHeight="1">
      <c r="A87" s="1190"/>
      <c r="B87" s="2009" t="s">
        <v>2368</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0"/>
      <c r="AJ87" s="2075" t="s">
        <v>2375</v>
      </c>
      <c r="AK87" s="2076"/>
      <c r="AL87" s="2076"/>
      <c r="AM87" s="2076"/>
      <c r="AN87" s="2076"/>
      <c r="AO87" s="2076"/>
      <c r="AP87" s="2076"/>
      <c r="AQ87" s="2076"/>
      <c r="AR87" s="2076"/>
      <c r="AS87" s="2076"/>
      <c r="AT87" s="2076"/>
      <c r="AU87" s="2076"/>
      <c r="AV87" s="2076"/>
      <c r="AW87" s="2076"/>
      <c r="AX87" s="2076"/>
      <c r="AY87" s="2076"/>
      <c r="AZ87" s="2076"/>
      <c r="BA87" s="2076"/>
      <c r="BB87" s="2077"/>
      <c r="BC87" s="1190"/>
      <c r="BD87" s="1190"/>
      <c r="BE87" s="1194"/>
      <c r="CK87" s="1188"/>
      <c r="CL87" s="1188"/>
      <c r="CM87" s="1188"/>
      <c r="CN87" s="1188"/>
      <c r="CO87" s="1188"/>
      <c r="CP87" s="1188"/>
    </row>
    <row r="88" spans="1:94" ht="15.75" customHeight="1" thickBot="1">
      <c r="A88" s="1190"/>
      <c r="B88" s="2027" t="s">
        <v>2367</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0"/>
      <c r="AJ88" s="2078"/>
      <c r="AK88" s="2079"/>
      <c r="AL88" s="2079"/>
      <c r="AM88" s="2079"/>
      <c r="AN88" s="2079"/>
      <c r="AO88" s="2079"/>
      <c r="AP88" s="2079"/>
      <c r="AQ88" s="2079"/>
      <c r="AR88" s="2079"/>
      <c r="AS88" s="2079"/>
      <c r="AT88" s="2079"/>
      <c r="AU88" s="2079"/>
      <c r="AV88" s="2079"/>
      <c r="AW88" s="2079"/>
      <c r="AX88" s="2079"/>
      <c r="AY88" s="2079"/>
      <c r="AZ88" s="2079"/>
      <c r="BA88" s="2079"/>
      <c r="BB88" s="208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7"/>
      <c r="G92" s="2058"/>
      <c r="H92" s="2058"/>
      <c r="I92" s="2058"/>
      <c r="J92" s="2058"/>
      <c r="K92" s="2058"/>
      <c r="L92" s="2058"/>
      <c r="M92" s="2058"/>
      <c r="N92" s="2058"/>
      <c r="O92" s="2058"/>
      <c r="P92" s="2058"/>
      <c r="Q92" s="2058"/>
      <c r="R92" s="2058"/>
      <c r="S92" s="2058"/>
      <c r="T92" s="20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0" t="s">
        <v>2379</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5" t="s">
        <v>2378</v>
      </c>
      <c r="C94" s="2066"/>
      <c r="D94" s="2066"/>
      <c r="E94" s="2066"/>
      <c r="F94" s="2066"/>
      <c r="G94" s="2066"/>
      <c r="H94" s="2066"/>
      <c r="I94" s="2066"/>
      <c r="J94" s="2066"/>
      <c r="K94" s="2066"/>
      <c r="L94" s="2066"/>
      <c r="M94" s="2066"/>
      <c r="N94" s="2066"/>
      <c r="O94" s="2066"/>
      <c r="P94" s="2066"/>
      <c r="Q94" s="2100"/>
      <c r="R94" s="2067" t="s">
        <v>2189</v>
      </c>
      <c r="S94" s="2068"/>
      <c r="T94" s="206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0" t="s">
        <v>2377</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0"/>
      <c r="AJ96" s="2088" t="s">
        <v>2376</v>
      </c>
      <c r="AK96" s="2089"/>
      <c r="AL96" s="2089"/>
      <c r="AM96" s="2089"/>
      <c r="AN96" s="2089"/>
      <c r="AO96" s="2089"/>
      <c r="AP96" s="2089"/>
      <c r="AQ96" s="2089"/>
      <c r="AR96" s="2089"/>
      <c r="AS96" s="2089"/>
      <c r="AT96" s="2089"/>
      <c r="AU96" s="2089"/>
      <c r="AV96" s="2089"/>
      <c r="AW96" s="2089"/>
      <c r="AX96" s="2089"/>
      <c r="AY96" s="2092" t="s">
        <v>546</v>
      </c>
      <c r="AZ96" s="2092"/>
      <c r="BA96" s="2092"/>
      <c r="BB96" s="2093"/>
      <c r="BC96" s="1190"/>
      <c r="BD96" s="1190"/>
      <c r="BE96" s="1194"/>
      <c r="BQ96" s="1256" t="str">
        <f>Application!M243&amp;IF(TRIM(Application!AA249)&lt;&gt;""," ("&amp;Application!AA249&amp;")","")</f>
        <v>Redding Canby Road LLC  (Johnson &amp; Johnson Investments, LLC)</v>
      </c>
      <c r="BR96" s="1259">
        <f>Application!AH246</f>
        <v>0.09</v>
      </c>
      <c r="CM96" s="1188"/>
      <c r="CN96" s="1188"/>
      <c r="CO96" s="1188"/>
      <c r="CP96" s="1188"/>
    </row>
    <row r="97" spans="1:94" ht="15.75" customHeight="1">
      <c r="A97" s="1190"/>
      <c r="B97" s="2009"/>
      <c r="C97" s="2010"/>
      <c r="D97" s="2010"/>
      <c r="E97" s="2010"/>
      <c r="F97" s="2010"/>
      <c r="G97" s="2010"/>
      <c r="H97" s="2010"/>
      <c r="I97" s="2010" t="s">
        <v>2371</v>
      </c>
      <c r="J97" s="2010"/>
      <c r="K97" s="2010"/>
      <c r="L97" s="2010"/>
      <c r="M97" s="2010"/>
      <c r="N97" s="2010"/>
      <c r="O97" s="2010" t="s">
        <v>2347</v>
      </c>
      <c r="P97" s="2010"/>
      <c r="Q97" s="2010"/>
      <c r="R97" s="2010"/>
      <c r="S97" s="2010"/>
      <c r="T97" s="2010"/>
      <c r="U97" s="2010"/>
      <c r="V97" s="2096" t="s">
        <v>2346</v>
      </c>
      <c r="W97" s="2096"/>
      <c r="X97" s="2096"/>
      <c r="Y97" s="2096"/>
      <c r="Z97" s="2096"/>
      <c r="AA97" s="2096"/>
      <c r="AB97" s="2097" t="s">
        <v>2370</v>
      </c>
      <c r="AC97" s="2097"/>
      <c r="AD97" s="2097"/>
      <c r="AE97" s="2097"/>
      <c r="AF97" s="2097"/>
      <c r="AG97" s="2097"/>
      <c r="AH97" s="2098"/>
      <c r="AI97" s="1190"/>
      <c r="AJ97" s="2090"/>
      <c r="AK97" s="2091"/>
      <c r="AL97" s="2091"/>
      <c r="AM97" s="2091"/>
      <c r="AN97" s="2091"/>
      <c r="AO97" s="2091"/>
      <c r="AP97" s="2091"/>
      <c r="AQ97" s="2091"/>
      <c r="AR97" s="2091"/>
      <c r="AS97" s="2091"/>
      <c r="AT97" s="2091"/>
      <c r="AU97" s="2091"/>
      <c r="AV97" s="2091"/>
      <c r="AW97" s="2091"/>
      <c r="AX97" s="2091"/>
      <c r="AY97" s="2094"/>
      <c r="AZ97" s="2094"/>
      <c r="BA97" s="2094"/>
      <c r="BB97" s="2095"/>
      <c r="BC97" s="1190"/>
      <c r="BD97" s="1190"/>
      <c r="BE97" s="1194"/>
      <c r="BQ97" s="1256" t="str">
        <f>Application!M251&amp;IF(TRIM(Application!AA257)&lt;&gt;""," ("&amp;Application!AA257&amp;")","")</f>
        <v>Community Revitalization and Development Corporation</v>
      </c>
      <c r="BR97" s="1259">
        <f>Application!AH254</f>
        <v>0.01</v>
      </c>
      <c r="CM97" s="1188"/>
      <c r="CN97" s="1188"/>
      <c r="CO97" s="1188"/>
      <c r="CP97" s="1188"/>
    </row>
    <row r="98" spans="1:94" ht="15.75" customHeight="1">
      <c r="A98" s="1190"/>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0"/>
      <c r="AJ98" s="2090"/>
      <c r="AK98" s="2091"/>
      <c r="AL98" s="2091"/>
      <c r="AM98" s="2091"/>
      <c r="AN98" s="2091"/>
      <c r="AO98" s="2091"/>
      <c r="AP98" s="2091"/>
      <c r="AQ98" s="2091"/>
      <c r="AR98" s="2091"/>
      <c r="AS98" s="2091"/>
      <c r="AT98" s="2091"/>
      <c r="AU98" s="2091"/>
      <c r="AV98" s="2091"/>
      <c r="AW98" s="2091"/>
      <c r="AX98" s="2091"/>
      <c r="AY98" s="2094"/>
      <c r="AZ98" s="2094"/>
      <c r="BA98" s="2094"/>
      <c r="BB98" s="209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9" t="s">
        <v>2369</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0"/>
      <c r="AJ99" s="2090"/>
      <c r="AK99" s="2091"/>
      <c r="AL99" s="2091"/>
      <c r="AM99" s="2091"/>
      <c r="AN99" s="2091"/>
      <c r="AO99" s="2091"/>
      <c r="AP99" s="2091"/>
      <c r="AQ99" s="2091"/>
      <c r="AR99" s="2091"/>
      <c r="AS99" s="2091"/>
      <c r="AT99" s="2091"/>
      <c r="AU99" s="2091"/>
      <c r="AV99" s="2091"/>
      <c r="AW99" s="2091"/>
      <c r="AX99" s="2091"/>
      <c r="AY99" s="2094"/>
      <c r="AZ99" s="2094"/>
      <c r="BA99" s="2094"/>
      <c r="BB99" s="2095"/>
      <c r="BC99" s="1190"/>
      <c r="BD99" s="1190"/>
      <c r="BE99" s="1194"/>
      <c r="CM99" s="1188"/>
      <c r="CN99" s="1188"/>
      <c r="CO99" s="1188"/>
      <c r="CP99" s="1188"/>
    </row>
    <row r="100" spans="1:94" ht="15.75" customHeight="1">
      <c r="A100" s="1190"/>
      <c r="B100" s="2009" t="s">
        <v>2368</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0"/>
      <c r="AJ100" s="2075" t="s">
        <v>2375</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0"/>
      <c r="BD100" s="1190"/>
      <c r="BE100" s="1194"/>
      <c r="CM100" s="1188"/>
      <c r="CN100" s="1188"/>
      <c r="CO100" s="1188"/>
      <c r="CP100" s="1188"/>
    </row>
    <row r="101" spans="1:94" ht="15.75" customHeight="1" thickBot="1">
      <c r="A101" s="1190"/>
      <c r="B101" s="2027" t="s">
        <v>2367</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0"/>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7" t="str">
        <f>IFERROR(INDEX(BR96:BR98,MATCH(F104,$BQ$96:$BQ$98,0))/SUM($BR$96:$BR$98),"")</f>
        <v/>
      </c>
      <c r="P105" s="2068"/>
      <c r="Q105" s="2068"/>
      <c r="R105" s="206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5" t="s">
        <v>2372</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9"/>
      <c r="C108" s="2010"/>
      <c r="D108" s="2010"/>
      <c r="E108" s="2010"/>
      <c r="F108" s="2010"/>
      <c r="G108" s="2010"/>
      <c r="H108" s="2010"/>
      <c r="I108" s="2010" t="s">
        <v>2371</v>
      </c>
      <c r="J108" s="2010"/>
      <c r="K108" s="2010"/>
      <c r="L108" s="2010"/>
      <c r="M108" s="2010"/>
      <c r="N108" s="2010"/>
      <c r="O108" s="2010" t="s">
        <v>2347</v>
      </c>
      <c r="P108" s="2010"/>
      <c r="Q108" s="2010"/>
      <c r="R108" s="2010"/>
      <c r="S108" s="2010"/>
      <c r="T108" s="2010"/>
      <c r="U108" s="2010"/>
      <c r="V108" s="2096" t="s">
        <v>2346</v>
      </c>
      <c r="W108" s="2096"/>
      <c r="X108" s="2096"/>
      <c r="Y108" s="2096"/>
      <c r="Z108" s="2096"/>
      <c r="AA108" s="2096"/>
      <c r="AB108" s="2097" t="s">
        <v>2370</v>
      </c>
      <c r="AC108" s="2097"/>
      <c r="AD108" s="2097"/>
      <c r="AE108" s="2097"/>
      <c r="AF108" s="2097"/>
      <c r="AG108" s="2097"/>
      <c r="AH108" s="209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9" t="s">
        <v>2369</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9" t="s">
        <v>2368</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7" t="s">
        <v>2367</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3"/>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2365</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2365</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8" t="s">
        <v>2363</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1"/>
      <c r="BE125" s="1194"/>
    </row>
    <row r="126" spans="1:57" ht="15.75" customHeight="1">
      <c r="A126" s="1190"/>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2"/>
      <c r="BE126" s="1194"/>
    </row>
    <row r="127" spans="1:57" ht="15.75" customHeight="1">
      <c r="A127" s="1190"/>
      <c r="B127" s="2151"/>
      <c r="C127" s="2152"/>
      <c r="D127" s="2152"/>
      <c r="E127" s="2152"/>
      <c r="F127" s="2152"/>
      <c r="G127" s="2152"/>
      <c r="H127" s="2152"/>
      <c r="I127" s="2010" t="s">
        <v>2362</v>
      </c>
      <c r="J127" s="2010"/>
      <c r="K127" s="2010"/>
      <c r="L127" s="2010"/>
      <c r="M127" s="2010"/>
      <c r="N127" s="2010"/>
      <c r="O127" s="2107" t="s">
        <v>2361</v>
      </c>
      <c r="P127" s="2107"/>
      <c r="Q127" s="2107"/>
      <c r="R127" s="2107"/>
      <c r="S127" s="2107"/>
      <c r="T127" s="2107"/>
      <c r="U127" s="2108"/>
      <c r="V127" s="1190"/>
      <c r="W127" s="1190"/>
      <c r="X127" s="2075" t="s">
        <v>2331</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4"/>
    </row>
    <row r="128" spans="1:57" ht="15.75" customHeight="1">
      <c r="A128" s="1190"/>
      <c r="B128" s="2109" t="s">
        <v>2345</v>
      </c>
      <c r="C128" s="2110"/>
      <c r="D128" s="2110"/>
      <c r="E128" s="2110"/>
      <c r="F128" s="2110"/>
      <c r="G128" s="2110"/>
      <c r="H128" s="2110"/>
      <c r="I128" s="2086">
        <v>0</v>
      </c>
      <c r="J128" s="2086"/>
      <c r="K128" s="2086"/>
      <c r="L128" s="2086"/>
      <c r="M128" s="2086"/>
      <c r="N128" s="2086"/>
      <c r="O128" s="2086">
        <v>0</v>
      </c>
      <c r="P128" s="2086"/>
      <c r="Q128" s="2086"/>
      <c r="R128" s="2086"/>
      <c r="S128" s="2086"/>
      <c r="T128" s="2086"/>
      <c r="U128" s="2087"/>
      <c r="V128" s="1190"/>
      <c r="W128" s="1190"/>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4"/>
    </row>
    <row r="129" spans="1:57" ht="15.75" customHeight="1" thickBot="1">
      <c r="A129" s="1190"/>
      <c r="B129" s="2111" t="s">
        <v>2344</v>
      </c>
      <c r="C129" s="2112"/>
      <c r="D129" s="2112"/>
      <c r="E129" s="2112"/>
      <c r="F129" s="2112"/>
      <c r="G129" s="2112"/>
      <c r="H129" s="2112"/>
      <c r="I129" s="2101">
        <v>0</v>
      </c>
      <c r="J129" s="2101"/>
      <c r="K129" s="2101"/>
      <c r="L129" s="2101"/>
      <c r="M129" s="2101"/>
      <c r="N129" s="2101"/>
      <c r="O129" s="2113"/>
      <c r="P129" s="2113"/>
      <c r="Q129" s="2113"/>
      <c r="R129" s="2113"/>
      <c r="S129" s="2113"/>
      <c r="T129" s="2113"/>
      <c r="U129" s="2114"/>
      <c r="V129" s="1190"/>
      <c r="W129" s="1190"/>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4"/>
    </row>
    <row r="133" spans="1:57" ht="15.75" customHeight="1">
      <c r="A133" s="1190"/>
      <c r="B133" s="1911" t="s">
        <v>2359</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0"/>
      <c r="W133" s="1190"/>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4"/>
    </row>
    <row r="134" spans="1:57" ht="15.75" customHeight="1">
      <c r="A134" s="1190"/>
      <c r="B134" s="2151"/>
      <c r="C134" s="2152"/>
      <c r="D134" s="2152"/>
      <c r="E134" s="2152"/>
      <c r="F134" s="2152"/>
      <c r="G134" s="2152"/>
      <c r="H134" s="2152"/>
      <c r="I134" s="2153" t="s">
        <v>2347</v>
      </c>
      <c r="J134" s="2153"/>
      <c r="K134" s="2153"/>
      <c r="L134" s="2153"/>
      <c r="M134" s="2153"/>
      <c r="N134" s="2153"/>
      <c r="O134" s="2153"/>
      <c r="P134" s="2153" t="s">
        <v>2346</v>
      </c>
      <c r="Q134" s="2153"/>
      <c r="R134" s="2153"/>
      <c r="S134" s="2153"/>
      <c r="T134" s="2153"/>
      <c r="U134" s="2154"/>
      <c r="V134" s="1190"/>
      <c r="W134" s="1190"/>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4"/>
    </row>
    <row r="136" spans="1:57" ht="15.75" customHeight="1">
      <c r="A136" s="1190"/>
      <c r="B136" s="2109" t="s">
        <v>2345</v>
      </c>
      <c r="C136" s="2110"/>
      <c r="D136" s="2110"/>
      <c r="E136" s="2110"/>
      <c r="F136" s="2110"/>
      <c r="G136" s="2110"/>
      <c r="H136" s="2110"/>
      <c r="I136" s="2086">
        <v>0</v>
      </c>
      <c r="J136" s="2086"/>
      <c r="K136" s="2086"/>
      <c r="L136" s="2086"/>
      <c r="M136" s="2086"/>
      <c r="N136" s="2086"/>
      <c r="O136" s="2086"/>
      <c r="P136" s="2086">
        <v>0</v>
      </c>
      <c r="Q136" s="2086"/>
      <c r="R136" s="2086"/>
      <c r="S136" s="2086"/>
      <c r="T136" s="2086"/>
      <c r="U136" s="2087"/>
      <c r="V136" s="1190"/>
      <c r="W136" s="1190"/>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4"/>
    </row>
    <row r="137" spans="1:57" ht="15.75" customHeight="1" thickBot="1">
      <c r="A137" s="1190"/>
      <c r="B137" s="2111" t="s">
        <v>2344</v>
      </c>
      <c r="C137" s="2112"/>
      <c r="D137" s="2112"/>
      <c r="E137" s="2112"/>
      <c r="F137" s="2112"/>
      <c r="G137" s="2112"/>
      <c r="H137" s="2112"/>
      <c r="I137" s="2101">
        <v>0</v>
      </c>
      <c r="J137" s="2101"/>
      <c r="K137" s="2101"/>
      <c r="L137" s="2101"/>
      <c r="M137" s="2101"/>
      <c r="N137" s="2101"/>
      <c r="O137" s="2101"/>
      <c r="P137" s="2101">
        <v>0</v>
      </c>
      <c r="Q137" s="2101"/>
      <c r="R137" s="2101"/>
      <c r="S137" s="2101"/>
      <c r="T137" s="2101"/>
      <c r="U137" s="2102"/>
      <c r="V137" s="1190"/>
      <c r="W137" s="1190"/>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2358</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0"/>
      <c r="AZ139" s="1190"/>
      <c r="BA139" s="1190"/>
      <c r="BB139" s="1190"/>
      <c r="BC139" s="1190"/>
      <c r="BD139" s="1190"/>
      <c r="BE139" s="1194"/>
    </row>
    <row r="140" spans="1:57" ht="15.75" customHeight="1" thickBot="1">
      <c r="A140" s="1190"/>
      <c r="B140" s="2136" t="s">
        <v>2357</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136" t="s">
        <v>2356</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0"/>
      <c r="AZ141" s="1190"/>
      <c r="BA141" s="1190"/>
      <c r="BB141" s="1190"/>
      <c r="BC141" s="1190"/>
      <c r="BD141" s="1190"/>
      <c r="BE141" s="1194"/>
    </row>
    <row r="142" spans="1:57" ht="15.75" customHeight="1">
      <c r="A142" s="1190"/>
      <c r="B142" s="2139" t="s">
        <v>2355</v>
      </c>
      <c r="C142" s="2140"/>
      <c r="D142" s="2140"/>
      <c r="E142" s="2140"/>
      <c r="F142" s="2140"/>
      <c r="G142" s="2140"/>
      <c r="H142" s="2140"/>
      <c r="I142" s="2140"/>
      <c r="J142" s="2140"/>
      <c r="K142" s="2140"/>
      <c r="L142" s="2140"/>
      <c r="M142" s="2140"/>
      <c r="N142" s="2140"/>
      <c r="O142" s="2140"/>
      <c r="P142" s="2140"/>
      <c r="Q142" s="2140"/>
      <c r="R142" s="2141" t="s">
        <v>2354</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250</v>
      </c>
      <c r="BD142" s="1190"/>
      <c r="BE142" s="1194"/>
    </row>
    <row r="143" spans="1:57" ht="15.75" customHeight="1">
      <c r="A143" s="1190"/>
      <c r="B143" s="2143" t="s">
        <v>2353</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6" t="s">
        <v>2350</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0"/>
      <c r="W156" s="1192"/>
      <c r="X156" s="2006" t="s">
        <v>2349</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2347</v>
      </c>
      <c r="J157" s="2153"/>
      <c r="K157" s="2153"/>
      <c r="L157" s="2153"/>
      <c r="M157" s="2153"/>
      <c r="N157" s="2153"/>
      <c r="O157" s="2153"/>
      <c r="P157" s="2153" t="s">
        <v>2348</v>
      </c>
      <c r="Q157" s="2153"/>
      <c r="R157" s="2153"/>
      <c r="S157" s="2153"/>
      <c r="T157" s="2153"/>
      <c r="U157" s="2154"/>
      <c r="V157" s="1190"/>
      <c r="W157" s="1190"/>
      <c r="X157" s="2151"/>
      <c r="Y157" s="2152"/>
      <c r="Z157" s="2152"/>
      <c r="AA157" s="2152"/>
      <c r="AB157" s="2152"/>
      <c r="AC157" s="2152"/>
      <c r="AD157" s="2152"/>
      <c r="AE157" s="2153" t="s">
        <v>2347</v>
      </c>
      <c r="AF157" s="2153"/>
      <c r="AG157" s="2153"/>
      <c r="AH157" s="2153"/>
      <c r="AI157" s="2153"/>
      <c r="AJ157" s="2153"/>
      <c r="AK157" s="2153"/>
      <c r="AL157" s="2153" t="s">
        <v>2346</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9" t="s">
        <v>2345</v>
      </c>
      <c r="C159" s="2110"/>
      <c r="D159" s="2110"/>
      <c r="E159" s="2110"/>
      <c r="F159" s="2110"/>
      <c r="G159" s="2110"/>
      <c r="H159" s="2110"/>
      <c r="I159" s="2086">
        <v>0</v>
      </c>
      <c r="J159" s="2086"/>
      <c r="K159" s="2086"/>
      <c r="L159" s="2086"/>
      <c r="M159" s="2086"/>
      <c r="N159" s="2086"/>
      <c r="O159" s="2086"/>
      <c r="P159" s="2086">
        <v>0</v>
      </c>
      <c r="Q159" s="2086"/>
      <c r="R159" s="2086"/>
      <c r="S159" s="2086"/>
      <c r="T159" s="2086"/>
      <c r="U159" s="2087"/>
      <c r="V159" s="1190"/>
      <c r="W159" s="1190"/>
      <c r="X159" s="2111" t="s">
        <v>2345</v>
      </c>
      <c r="Y159" s="2112"/>
      <c r="Z159" s="2112"/>
      <c r="AA159" s="2112"/>
      <c r="AB159" s="2112"/>
      <c r="AC159" s="2112"/>
      <c r="AD159" s="2112"/>
      <c r="AE159" s="2101">
        <v>0</v>
      </c>
      <c r="AF159" s="2101"/>
      <c r="AG159" s="2101"/>
      <c r="AH159" s="2101"/>
      <c r="AI159" s="2101"/>
      <c r="AJ159" s="2101"/>
      <c r="AK159" s="2101"/>
      <c r="AL159" s="2101">
        <v>0</v>
      </c>
      <c r="AM159" s="2101"/>
      <c r="AN159" s="2101"/>
      <c r="AO159" s="2101"/>
      <c r="AP159" s="2101"/>
      <c r="AQ159" s="210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2344</v>
      </c>
      <c r="C160" s="2112"/>
      <c r="D160" s="2112"/>
      <c r="E160" s="2112"/>
      <c r="F160" s="2112"/>
      <c r="G160" s="2112"/>
      <c r="H160" s="2112"/>
      <c r="I160" s="2101">
        <v>0</v>
      </c>
      <c r="J160" s="2101"/>
      <c r="K160" s="2101"/>
      <c r="L160" s="2101"/>
      <c r="M160" s="2101"/>
      <c r="N160" s="2101"/>
      <c r="O160" s="2101"/>
      <c r="P160" s="2101">
        <v>0</v>
      </c>
      <c r="Q160" s="2101"/>
      <c r="R160" s="2101"/>
      <c r="S160" s="2101"/>
      <c r="T160" s="2101"/>
      <c r="U160" s="210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6" t="s">
        <v>2343</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2328</v>
      </c>
      <c r="D163" s="2152"/>
      <c r="E163" s="2152"/>
      <c r="F163" s="2152"/>
      <c r="G163" s="2152"/>
      <c r="H163" s="2152"/>
      <c r="I163" s="2152"/>
      <c r="J163" s="2152"/>
      <c r="K163" s="2152"/>
      <c r="L163" s="2152"/>
      <c r="M163" s="2152"/>
      <c r="N163" s="2152"/>
      <c r="O163" s="2152"/>
      <c r="P163" s="2152"/>
      <c r="Q163" s="2152" t="s">
        <v>2342</v>
      </c>
      <c r="R163" s="2152"/>
      <c r="S163" s="2152"/>
      <c r="T163" s="2097" t="s">
        <v>2341</v>
      </c>
      <c r="U163" s="2097"/>
      <c r="V163" s="2097"/>
      <c r="W163" s="2097"/>
      <c r="X163" s="2097"/>
      <c r="Y163" s="2097"/>
      <c r="Z163" s="2097"/>
      <c r="AA163" s="2097"/>
      <c r="AB163" s="2152" t="s">
        <v>2340</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2339</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2338</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2337</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2336</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170</v>
      </c>
      <c r="D168" s="2156"/>
      <c r="E168" s="2156"/>
      <c r="F168" s="2163" t="s">
        <v>2317</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170</v>
      </c>
      <c r="D169" s="2156"/>
      <c r="E169" s="2156"/>
      <c r="F169" s="2163" t="s">
        <v>2317</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170</v>
      </c>
      <c r="D170" s="2165"/>
      <c r="E170" s="2165"/>
      <c r="F170" s="2166" t="s">
        <v>2317</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5" t="s">
        <v>2335</v>
      </c>
      <c r="D172" s="2056"/>
      <c r="E172" s="2056"/>
      <c r="F172" s="2056"/>
      <c r="G172" s="2056"/>
      <c r="H172" s="2056"/>
      <c r="I172" s="2056"/>
      <c r="J172" s="2056"/>
      <c r="K172" s="2056"/>
      <c r="L172" s="2056"/>
      <c r="M172" s="2056"/>
      <c r="N172" s="2106"/>
      <c r="O172" s="1190"/>
      <c r="P172" s="2171" t="s">
        <v>2334</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2333</v>
      </c>
      <c r="D173" s="2152"/>
      <c r="E173" s="2152"/>
      <c r="F173" s="2152"/>
      <c r="G173" s="2152"/>
      <c r="H173" s="2152"/>
      <c r="I173" s="2152" t="s">
        <v>2332</v>
      </c>
      <c r="J173" s="2152"/>
      <c r="K173" s="2152"/>
      <c r="L173" s="2152"/>
      <c r="M173" s="2152"/>
      <c r="N173" s="2160"/>
      <c r="O173" s="1190"/>
      <c r="P173" s="2075" t="s">
        <v>2331</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1"/>
      <c r="D174" s="2013"/>
      <c r="E174" s="2013"/>
      <c r="F174" s="2013"/>
      <c r="G174" s="2013"/>
      <c r="H174" s="2013"/>
      <c r="I174" s="2158"/>
      <c r="J174" s="2158"/>
      <c r="K174" s="2158"/>
      <c r="L174" s="2158"/>
      <c r="M174" s="2158"/>
      <c r="N174" s="2174"/>
      <c r="O174" s="1190"/>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1"/>
      <c r="D175" s="2013"/>
      <c r="E175" s="2013"/>
      <c r="F175" s="2013"/>
      <c r="G175" s="2013"/>
      <c r="H175" s="2013"/>
      <c r="I175" s="2158"/>
      <c r="J175" s="2158"/>
      <c r="K175" s="2158"/>
      <c r="L175" s="2158"/>
      <c r="M175" s="2158"/>
      <c r="N175" s="2174"/>
      <c r="O175" s="1190"/>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1"/>
      <c r="D176" s="2013"/>
      <c r="E176" s="2013"/>
      <c r="F176" s="2013"/>
      <c r="G176" s="2013"/>
      <c r="H176" s="2013"/>
      <c r="I176" s="2158"/>
      <c r="J176" s="2158"/>
      <c r="K176" s="2158"/>
      <c r="L176" s="2158"/>
      <c r="M176" s="2158"/>
      <c r="N176" s="2174"/>
      <c r="O176" s="1190"/>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1"/>
      <c r="D177" s="2013"/>
      <c r="E177" s="2013"/>
      <c r="F177" s="2013"/>
      <c r="G177" s="2013"/>
      <c r="H177" s="2013"/>
      <c r="I177" s="2158"/>
      <c r="J177" s="2158"/>
      <c r="K177" s="2158"/>
      <c r="L177" s="2158"/>
      <c r="M177" s="2158"/>
      <c r="N177" s="2174"/>
      <c r="O177" s="1190"/>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1"/>
      <c r="D178" s="2013"/>
      <c r="E178" s="2013"/>
      <c r="F178" s="2013"/>
      <c r="G178" s="2013"/>
      <c r="H178" s="2013"/>
      <c r="I178" s="2158"/>
      <c r="J178" s="2158"/>
      <c r="K178" s="2158"/>
      <c r="L178" s="2158"/>
      <c r="M178" s="2158"/>
      <c r="N178" s="2174"/>
      <c r="O178" s="1190"/>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1"/>
      <c r="D179" s="2013"/>
      <c r="E179" s="2013"/>
      <c r="F179" s="2013"/>
      <c r="G179" s="2013"/>
      <c r="H179" s="2013"/>
      <c r="I179" s="2158"/>
      <c r="J179" s="2158"/>
      <c r="K179" s="2158"/>
      <c r="L179" s="2158"/>
      <c r="M179" s="2158"/>
      <c r="N179" s="2174"/>
      <c r="O179" s="1190"/>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2330</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5" t="s">
        <v>2328</v>
      </c>
      <c r="D184" s="2056"/>
      <c r="E184" s="2056"/>
      <c r="F184" s="2056"/>
      <c r="G184" s="2056"/>
      <c r="H184" s="2056"/>
      <c r="I184" s="2056"/>
      <c r="J184" s="2056"/>
      <c r="K184" s="2056"/>
      <c r="L184" s="2056"/>
      <c r="M184" s="2056"/>
      <c r="N184" s="2056" t="s">
        <v>2329</v>
      </c>
      <c r="O184" s="2056"/>
      <c r="P184" s="2056"/>
      <c r="Q184" s="2056"/>
      <c r="R184" s="2056"/>
      <c r="S184" s="2056"/>
      <c r="T184" s="2056"/>
      <c r="U184" s="2007" t="s">
        <v>2328</v>
      </c>
      <c r="V184" s="2007"/>
      <c r="W184" s="2007"/>
      <c r="X184" s="2007"/>
      <c r="Y184" s="2007"/>
      <c r="Z184" s="2007"/>
      <c r="AA184" s="2007"/>
      <c r="AB184" s="2007"/>
      <c r="AC184" s="2007"/>
      <c r="AD184" s="2007"/>
      <c r="AE184" s="2008"/>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2327</v>
      </c>
      <c r="D185" s="2180"/>
      <c r="E185" s="2180"/>
      <c r="F185" s="2180"/>
      <c r="G185" s="2180"/>
      <c r="H185" s="2180"/>
      <c r="I185" s="2180"/>
      <c r="J185" s="2180"/>
      <c r="K185" s="2180"/>
      <c r="L185" s="2180"/>
      <c r="M185" s="2180"/>
      <c r="N185" s="2181">
        <f>'Sources and Uses Budget'!B105</f>
        <v>40410171</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2326</v>
      </c>
      <c r="D186" s="2180"/>
      <c r="E186" s="2180"/>
      <c r="F186" s="2180"/>
      <c r="G186" s="2180"/>
      <c r="H186" s="2180"/>
      <c r="I186" s="2180"/>
      <c r="J186" s="2180"/>
      <c r="K186" s="2180"/>
      <c r="L186" s="2180"/>
      <c r="M186" s="2180"/>
      <c r="N186" s="2181">
        <f>N185/J29</f>
        <v>336751.42499999999</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2325</v>
      </c>
      <c r="D187" s="2196"/>
      <c r="E187" s="2196"/>
      <c r="F187" s="2196"/>
      <c r="G187" s="2196"/>
      <c r="H187" s="2196"/>
      <c r="I187" s="2196"/>
      <c r="J187" s="2196"/>
      <c r="K187" s="2196"/>
      <c r="L187" s="2196"/>
      <c r="M187" s="2196"/>
      <c r="N187" s="2049">
        <v>0</v>
      </c>
      <c r="O187" s="2049"/>
      <c r="P187" s="2049"/>
      <c r="Q187" s="2049"/>
      <c r="R187" s="2049"/>
      <c r="S187" s="2049"/>
      <c r="T187" s="2049"/>
      <c r="U187" s="2025"/>
      <c r="V187" s="2025"/>
      <c r="W187" s="2025"/>
      <c r="X187" s="2025"/>
      <c r="Y187" s="2025"/>
      <c r="Z187" s="2025"/>
      <c r="AA187" s="2025"/>
      <c r="AB187" s="2025"/>
      <c r="AC187" s="2025"/>
      <c r="AD187" s="2025"/>
      <c r="AE187" s="2026"/>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2324</v>
      </c>
      <c r="D188" s="2180"/>
      <c r="E188" s="2180"/>
      <c r="F188" s="2180"/>
      <c r="G188" s="2180"/>
      <c r="H188" s="2180"/>
      <c r="I188" s="2180"/>
      <c r="J188" s="2180"/>
      <c r="K188" s="2180"/>
      <c r="L188" s="2180"/>
      <c r="M188" s="2180"/>
      <c r="N188" s="2197">
        <f>SUM('Sources and Uses Budget'!B85:B86)</f>
        <v>1500000</v>
      </c>
      <c r="O188" s="2197"/>
      <c r="P188" s="2197"/>
      <c r="Q188" s="2197"/>
      <c r="R188" s="2197"/>
      <c r="S188" s="2197"/>
      <c r="T188" s="2197"/>
      <c r="U188" s="2025"/>
      <c r="V188" s="2025"/>
      <c r="W188" s="2025"/>
      <c r="X188" s="2025"/>
      <c r="Y188" s="2025"/>
      <c r="Z188" s="2025"/>
      <c r="AA188" s="2025"/>
      <c r="AB188" s="2025"/>
      <c r="AC188" s="2025"/>
      <c r="AD188" s="2025"/>
      <c r="AE188" s="2026"/>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2323</v>
      </c>
      <c r="D189" s="2180"/>
      <c r="E189" s="2180"/>
      <c r="F189" s="2180"/>
      <c r="G189" s="2180"/>
      <c r="H189" s="2180"/>
      <c r="I189" s="2180"/>
      <c r="J189" s="2180"/>
      <c r="K189" s="2180"/>
      <c r="L189" s="2180"/>
      <c r="M189" s="2180"/>
      <c r="N189" s="2197">
        <f>'Sources and Uses Budget'!B8</f>
        <v>1725000</v>
      </c>
      <c r="O189" s="2197"/>
      <c r="P189" s="2197"/>
      <c r="Q189" s="2197"/>
      <c r="R189" s="2197"/>
      <c r="S189" s="2197"/>
      <c r="T189" s="2197"/>
      <c r="U189" s="2025"/>
      <c r="V189" s="2025"/>
      <c r="W189" s="2025"/>
      <c r="X189" s="2025"/>
      <c r="Y189" s="2025"/>
      <c r="Z189" s="2025"/>
      <c r="AA189" s="2025"/>
      <c r="AB189" s="2025"/>
      <c r="AC189" s="2025"/>
      <c r="AD189" s="2025"/>
      <c r="AE189" s="2026"/>
      <c r="AF189" s="1190"/>
      <c r="AG189" s="1190"/>
      <c r="AH189" s="2201" t="s">
        <v>2321</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2322</v>
      </c>
      <c r="D190" s="2180"/>
      <c r="E190" s="2180"/>
      <c r="F190" s="2180"/>
      <c r="G190" s="2180"/>
      <c r="H190" s="2180"/>
      <c r="I190" s="2180"/>
      <c r="J190" s="2180"/>
      <c r="K190" s="2180"/>
      <c r="L190" s="2180"/>
      <c r="M190" s="2180"/>
      <c r="N190" s="2188">
        <v>0</v>
      </c>
      <c r="O190" s="2188"/>
      <c r="P190" s="2188"/>
      <c r="Q190" s="2188"/>
      <c r="R190" s="2188"/>
      <c r="S190" s="2188"/>
      <c r="T190" s="2188"/>
      <c r="U190" s="2025"/>
      <c r="V190" s="2025"/>
      <c r="W190" s="2025"/>
      <c r="X190" s="2025"/>
      <c r="Y190" s="2025"/>
      <c r="Z190" s="2025"/>
      <c r="AA190" s="2025"/>
      <c r="AB190" s="2025"/>
      <c r="AC190" s="2025"/>
      <c r="AD190" s="2025"/>
      <c r="AE190" s="2026"/>
      <c r="AF190" s="1190"/>
      <c r="AG190" s="1190"/>
      <c r="AH190" s="2204" t="s">
        <v>2321</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0"/>
      <c r="B191" s="1190"/>
      <c r="C191" s="2179" t="s">
        <v>2320</v>
      </c>
      <c r="D191" s="2180"/>
      <c r="E191" s="2180"/>
      <c r="F191" s="2180"/>
      <c r="G191" s="2180"/>
      <c r="H191" s="2180"/>
      <c r="I191" s="2180"/>
      <c r="J191" s="2180"/>
      <c r="K191" s="2180"/>
      <c r="L191" s="2180"/>
      <c r="M191" s="2180"/>
      <c r="N191" s="2188">
        <v>0</v>
      </c>
      <c r="O191" s="2188"/>
      <c r="P191" s="2188"/>
      <c r="Q191" s="2188"/>
      <c r="R191" s="2188"/>
      <c r="S191" s="2188"/>
      <c r="T191" s="2188"/>
      <c r="U191" s="2025"/>
      <c r="V191" s="2025"/>
      <c r="W191" s="2025"/>
      <c r="X191" s="2025"/>
      <c r="Y191" s="2025"/>
      <c r="Z191" s="2025"/>
      <c r="AA191" s="2025"/>
      <c r="AB191" s="2025"/>
      <c r="AC191" s="2025"/>
      <c r="AD191" s="2025"/>
      <c r="AE191" s="2026"/>
      <c r="AF191" s="1190"/>
      <c r="AG191" s="1190"/>
      <c r="AH191" s="2189" t="s">
        <v>2319</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0"/>
      <c r="B192" s="1190"/>
      <c r="C192" s="2214" t="s">
        <v>300</v>
      </c>
      <c r="D192" s="2157"/>
      <c r="E192" s="2210" t="s">
        <v>2317</v>
      </c>
      <c r="F192" s="2210"/>
      <c r="G192" s="2210"/>
      <c r="H192" s="2210"/>
      <c r="I192" s="2210"/>
      <c r="J192" s="2210"/>
      <c r="K192" s="2210"/>
      <c r="L192" s="2210"/>
      <c r="M192" s="2210"/>
      <c r="N192" s="2188">
        <v>0</v>
      </c>
      <c r="O192" s="2188"/>
      <c r="P192" s="2188"/>
      <c r="Q192" s="2188"/>
      <c r="R192" s="2188"/>
      <c r="S192" s="2188"/>
      <c r="T192" s="2188"/>
      <c r="U192" s="2025"/>
      <c r="V192" s="2025"/>
      <c r="W192" s="2025"/>
      <c r="X192" s="2025"/>
      <c r="Y192" s="2025"/>
      <c r="Z192" s="2025"/>
      <c r="AA192" s="2025"/>
      <c r="AB192" s="2025"/>
      <c r="AC192" s="2025"/>
      <c r="AD192" s="2025"/>
      <c r="AE192" s="2026"/>
      <c r="AF192" s="1190"/>
      <c r="AG192" s="1190"/>
      <c r="AH192" s="2215" t="s">
        <v>2318</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0"/>
      <c r="B193" s="1190"/>
      <c r="C193" s="2081" t="s">
        <v>300</v>
      </c>
      <c r="D193" s="2013"/>
      <c r="E193" s="2210" t="s">
        <v>2317</v>
      </c>
      <c r="F193" s="2210"/>
      <c r="G193" s="2210"/>
      <c r="H193" s="2210"/>
      <c r="I193" s="2210"/>
      <c r="J193" s="2210"/>
      <c r="K193" s="2210"/>
      <c r="L193" s="2210"/>
      <c r="M193" s="2210"/>
      <c r="N193" s="2188">
        <v>0</v>
      </c>
      <c r="O193" s="2188"/>
      <c r="P193" s="2188"/>
      <c r="Q193" s="2188"/>
      <c r="R193" s="2188"/>
      <c r="S193" s="2188"/>
      <c r="T193" s="2188"/>
      <c r="U193" s="2025"/>
      <c r="V193" s="2025"/>
      <c r="W193" s="2025"/>
      <c r="X193" s="2025"/>
      <c r="Y193" s="2025"/>
      <c r="Z193" s="2025"/>
      <c r="AA193" s="2025"/>
      <c r="AB193" s="2025"/>
      <c r="AC193" s="2025"/>
      <c r="AD193" s="2025"/>
      <c r="AE193" s="202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300</v>
      </c>
      <c r="D194" s="2236"/>
      <c r="E194" s="2237" t="s">
        <v>2317</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2316</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2315</v>
      </c>
      <c r="D195" s="2219"/>
      <c r="E195" s="2219"/>
      <c r="F195" s="2219"/>
      <c r="G195" s="2219"/>
      <c r="H195" s="2219"/>
      <c r="I195" s="2219"/>
      <c r="J195" s="2219"/>
      <c r="K195" s="2219"/>
      <c r="L195" s="2219"/>
      <c r="M195" s="2219"/>
      <c r="N195" s="2220">
        <f>SUM(N187:T194)</f>
        <v>3225000</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2314</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2313</v>
      </c>
      <c r="D196" s="2229"/>
      <c r="E196" s="2229"/>
      <c r="F196" s="2229"/>
      <c r="G196" s="2229"/>
      <c r="H196" s="2229"/>
      <c r="I196" s="2229"/>
      <c r="J196" s="2229"/>
      <c r="K196" s="2229"/>
      <c r="L196" s="2229"/>
      <c r="M196" s="2229"/>
      <c r="N196" s="2230">
        <f>(N185-N195)/J29</f>
        <v>309876.42499999999</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2312</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2311</v>
      </c>
      <c r="D200" s="2255"/>
      <c r="E200" s="2255"/>
      <c r="F200" s="2255"/>
      <c r="G200" s="2255"/>
      <c r="H200" s="2255"/>
      <c r="I200" s="2255"/>
      <c r="J200" s="2255"/>
      <c r="K200" s="2255"/>
      <c r="L200" s="2255"/>
      <c r="M200" s="2255"/>
      <c r="N200" s="2255"/>
      <c r="O200" s="2256" t="s">
        <v>2310</v>
      </c>
      <c r="P200" s="2256"/>
      <c r="Q200" s="2256"/>
      <c r="R200" s="2256"/>
      <c r="S200" s="2256"/>
      <c r="T200" s="2256"/>
      <c r="U200" s="2256"/>
      <c r="V200" s="2256"/>
      <c r="W200" s="2256"/>
      <c r="X200" s="2256" t="s">
        <v>2309</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2308</v>
      </c>
      <c r="D201" s="2247"/>
      <c r="E201" s="2247"/>
      <c r="F201" s="2247"/>
      <c r="G201" s="2247"/>
      <c r="H201" s="2247"/>
      <c r="I201" s="2247"/>
      <c r="J201" s="2247"/>
      <c r="K201" s="2247"/>
      <c r="L201" s="2247"/>
      <c r="M201" s="2247"/>
      <c r="N201" s="2247"/>
      <c r="O201" s="2248" t="s">
        <v>2307</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855</v>
      </c>
      <c r="D202" s="2247"/>
      <c r="E202" s="2247"/>
      <c r="F202" s="2247"/>
      <c r="G202" s="2247"/>
      <c r="H202" s="2247"/>
      <c r="I202" s="2247"/>
      <c r="J202" s="2247"/>
      <c r="K202" s="2247"/>
      <c r="L202" s="2247"/>
      <c r="M202" s="2247"/>
      <c r="N202" s="2247"/>
      <c r="O202" s="2248" t="s">
        <v>2307</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2306</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2305</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2304</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2303</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2302</v>
      </c>
      <c r="D207" s="2262"/>
      <c r="E207" s="2262"/>
      <c r="F207" s="2263"/>
      <c r="G207" s="2267" t="s">
        <v>2301</v>
      </c>
      <c r="H207" s="2262"/>
      <c r="I207" s="2262"/>
      <c r="J207" s="2262"/>
      <c r="K207" s="2262"/>
      <c r="L207" s="2262"/>
      <c r="M207" s="2262"/>
      <c r="N207" s="2262"/>
      <c r="O207" s="2263"/>
      <c r="P207" s="2269" t="s">
        <v>2300</v>
      </c>
      <c r="Q207" s="2270"/>
      <c r="R207" s="2270"/>
      <c r="S207" s="2270"/>
      <c r="T207" s="2271"/>
      <c r="U207" s="2275" t="s">
        <v>2299</v>
      </c>
      <c r="V207" s="2276"/>
      <c r="W207" s="2276"/>
      <c r="X207" s="2277"/>
      <c r="Y207" s="2275" t="s">
        <v>2298</v>
      </c>
      <c r="Z207" s="2276"/>
      <c r="AA207" s="2276"/>
      <c r="AB207" s="2277"/>
      <c r="AC207" s="2275" t="s">
        <v>2297</v>
      </c>
      <c r="AD207" s="2276"/>
      <c r="AE207" s="2276"/>
      <c r="AF207" s="2277"/>
      <c r="AG207" s="2267" t="s">
        <v>2296</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2295</v>
      </c>
      <c r="D216" s="2306"/>
      <c r="E216" s="2306"/>
      <c r="F216" s="2306"/>
      <c r="G216" s="2306"/>
      <c r="H216" s="2306"/>
      <c r="I216" s="2306"/>
      <c r="J216" s="2306"/>
      <c r="K216" s="2306"/>
      <c r="L216" s="2306"/>
      <c r="M216" s="2306"/>
      <c r="N216" s="2306"/>
      <c r="O216" s="2306"/>
      <c r="P216" s="2307"/>
      <c r="Q216" s="2307"/>
      <c r="R216" s="2307"/>
      <c r="S216" s="2307"/>
      <c r="T216" s="2307"/>
      <c r="U216" s="2308">
        <f>-SUM(U209:U215)</f>
        <v>0</v>
      </c>
      <c r="V216" s="2308"/>
      <c r="W216" s="2308"/>
      <c r="X216" s="2308"/>
      <c r="Y216" s="2308">
        <f>-SUM(Y209:Y215)</f>
        <v>0</v>
      </c>
      <c r="Z216" s="2308"/>
      <c r="AA216" s="2308"/>
      <c r="AB216" s="2308"/>
      <c r="AC216" s="2309">
        <f>-SUM(AC209:AC215)</f>
        <v>0</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2293</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2292</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2291</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2290</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2288</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2287</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2286</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2285</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2284</v>
      </c>
      <c r="I241" s="2313"/>
      <c r="J241" s="2313"/>
      <c r="K241" s="1241"/>
      <c r="L241" s="1239"/>
      <c r="M241" s="1239"/>
      <c r="N241" s="1239"/>
      <c r="O241" s="1239"/>
      <c r="P241" s="1239"/>
      <c r="Q241" s="1239"/>
      <c r="R241" s="1239"/>
      <c r="S241" s="2314"/>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442</v>
      </c>
      <c r="I243" s="2313"/>
      <c r="J243" s="1241"/>
      <c r="K243" s="1241"/>
      <c r="L243" s="1239"/>
      <c r="M243" s="1239"/>
      <c r="N243" s="1239"/>
      <c r="O243" s="1239"/>
      <c r="P243" s="1239"/>
      <c r="Q243" s="1239"/>
      <c r="R243" s="1239"/>
      <c r="S243" s="2314"/>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2283</v>
      </c>
      <c r="I245" s="2317"/>
      <c r="J245" s="2317"/>
      <c r="K245" s="2317"/>
      <c r="L245" s="2317"/>
      <c r="M245" s="2317"/>
      <c r="N245" s="2317"/>
      <c r="O245" s="2317"/>
      <c r="P245" s="1239"/>
      <c r="Q245" s="1239"/>
      <c r="R245" s="1239"/>
      <c r="S245" s="2314"/>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2282</v>
      </c>
      <c r="I247" s="2318"/>
      <c r="J247" s="1239"/>
      <c r="K247" s="1239"/>
      <c r="L247" s="1239"/>
      <c r="M247" s="1239"/>
      <c r="N247" s="1239"/>
      <c r="O247" s="1239"/>
      <c r="P247" s="1239"/>
      <c r="Q247" s="1239"/>
      <c r="R247" s="1239"/>
      <c r="S247" s="2319"/>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56" sqref="AB56:AF56"/>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8" t="s">
        <v>1281</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1239</v>
      </c>
    </row>
    <row r="7" spans="1:40" ht="12.9"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37925484</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 customHeight="1">
      <c r="B12" s="2354" t="s">
        <v>498</v>
      </c>
      <c r="C12" s="1286"/>
      <c r="D12" s="1286"/>
      <c r="E12" s="1286"/>
      <c r="F12" s="1286"/>
      <c r="G12" s="1286"/>
      <c r="H12" s="1286"/>
      <c r="I12" s="1286"/>
      <c r="J12" s="1286"/>
      <c r="K12" s="1286"/>
      <c r="L12" s="1286"/>
      <c r="M12" s="1286"/>
      <c r="N12" s="1286"/>
      <c r="O12" s="1286"/>
      <c r="P12" s="1286"/>
      <c r="Q12" s="1286"/>
      <c r="R12" s="1286"/>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 customHeight="1">
      <c r="B13" s="435"/>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 customHeight="1">
      <c r="B14" s="435"/>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 customHeight="1">
      <c r="B15" s="435"/>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 customHeight="1">
      <c r="B16" s="435"/>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 customHeight="1">
      <c r="B17" s="435"/>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 customHeight="1">
      <c r="A18"/>
      <c r="B18" s="1150"/>
      <c r="C18" s="1811" t="s">
        <v>961</v>
      </c>
      <c r="D18" s="1811"/>
      <c r="E18" s="1811"/>
      <c r="F18" s="1811"/>
      <c r="G18" s="1811"/>
      <c r="H18" s="1811"/>
      <c r="I18" s="1811"/>
      <c r="J18" s="1811"/>
      <c r="K18" s="1811"/>
      <c r="L18" s="1811"/>
      <c r="M18" s="1811"/>
      <c r="N18" s="1811"/>
      <c r="O18" s="1811"/>
      <c r="P18" s="1811"/>
      <c r="Q18" s="1811"/>
      <c r="R18" s="1811"/>
      <c r="S18" s="1812"/>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 customHeight="1">
      <c r="B19" s="1150"/>
      <c r="C19" s="1811" t="s">
        <v>961</v>
      </c>
      <c r="D19" s="1811"/>
      <c r="E19" s="1811"/>
      <c r="F19" s="1811"/>
      <c r="G19" s="1811"/>
      <c r="H19" s="1811"/>
      <c r="I19" s="1811"/>
      <c r="J19" s="1811"/>
      <c r="K19" s="1811"/>
      <c r="L19" s="1811"/>
      <c r="M19" s="1811"/>
      <c r="N19" s="1811"/>
      <c r="O19" s="1811"/>
      <c r="P19" s="1811"/>
      <c r="Q19" s="1811"/>
      <c r="R19" s="1811"/>
      <c r="S19" s="1812"/>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 customHeight="1">
      <c r="B21" s="2339" t="s">
        <v>1264</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37925484</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2.9" customHeight="1">
      <c r="B24" s="2339" t="s">
        <v>962</v>
      </c>
      <c r="C24" s="2340"/>
      <c r="D24" s="2340"/>
      <c r="E24" s="2340"/>
      <c r="F24" s="2340"/>
      <c r="G24" s="2340"/>
      <c r="H24" s="2340"/>
      <c r="I24" s="2340"/>
      <c r="J24" s="2340"/>
      <c r="K24" s="2340"/>
      <c r="L24" s="2340"/>
      <c r="M24" s="2340"/>
      <c r="N24" s="2340"/>
      <c r="O24" s="2340"/>
      <c r="P24" s="2340"/>
      <c r="Q24" s="2340"/>
      <c r="R24" s="2340"/>
      <c r="S24" s="2341"/>
      <c r="T24" s="2334">
        <f>Application!AJ1053</f>
        <v>75470516.159999996</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 customHeight="1">
      <c r="B25" s="2343" t="s">
        <v>1265</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49303129.200000003</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2.9"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2.9"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49303129.200000003</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2.9"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49303129.200000003</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 customHeight="1">
      <c r="B30" s="2342" t="s">
        <v>1267</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 customHeight="1">
      <c r="B31" s="2342" t="s">
        <v>1266</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80" t="s">
        <v>369</v>
      </c>
      <c r="AE35" s="2380"/>
      <c r="AF35" s="2380"/>
      <c r="AG35" s="2380"/>
      <c r="AH35" s="2380"/>
    </row>
    <row r="36" spans="1:76" ht="12.9" customHeight="1">
      <c r="B36" s="407"/>
      <c r="X36" s="412"/>
      <c r="Y36" s="2360"/>
      <c r="Z36" s="2360"/>
      <c r="AA36" s="2360"/>
      <c r="AB36" s="2360"/>
      <c r="AC36" s="2360"/>
      <c r="AD36" s="2380"/>
      <c r="AE36" s="2380"/>
      <c r="AF36" s="2380"/>
      <c r="AG36" s="2380"/>
      <c r="AH36" s="2380"/>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49303129.200000003</v>
      </c>
      <c r="Z38" s="2333"/>
      <c r="AA38" s="2333"/>
      <c r="AB38" s="2333"/>
      <c r="AC38" s="2333"/>
      <c r="AD38" s="2333">
        <f>IF(T24&gt;=(T23+Y23+AD23+AI23),AD28+AI28,0)</f>
        <v>0</v>
      </c>
      <c r="AE38" s="2333"/>
      <c r="AF38" s="2333"/>
      <c r="AG38" s="2333"/>
      <c r="AH38" s="2333"/>
    </row>
    <row r="39" spans="1:76" ht="12.9"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1972125</v>
      </c>
      <c r="Z40" s="2333"/>
      <c r="AA40" s="2333"/>
      <c r="AB40" s="2333"/>
      <c r="AC40" s="2333"/>
      <c r="AD40" s="2332">
        <f>ROUND(AD38*AD39,0)</f>
        <v>0</v>
      </c>
      <c r="AE40" s="2333"/>
      <c r="AF40" s="2333"/>
      <c r="AG40" s="2333"/>
      <c r="AH40" s="2333"/>
    </row>
    <row r="41" spans="1:76" ht="12.9"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1972125</v>
      </c>
      <c r="Z41" s="2335"/>
      <c r="AA41" s="2335"/>
      <c r="AB41" s="2335"/>
      <c r="AC41" s="2335"/>
      <c r="AD41" s="2335"/>
      <c r="AE41" s="2335"/>
      <c r="AF41" s="2335"/>
      <c r="AG41" s="2335"/>
      <c r="AH41" s="2332"/>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7" t="s">
        <v>1277</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 customHeight="1" thickTop="1"/>
    <row r="46" spans="1:76" ht="12.9" customHeight="1">
      <c r="A46" s="404" t="s">
        <v>587</v>
      </c>
      <c r="C46" s="404" t="s">
        <v>282</v>
      </c>
    </row>
    <row r="47" spans="1:76" ht="12.9" customHeight="1">
      <c r="D47" s="404" t="s">
        <v>283</v>
      </c>
      <c r="AB47" s="2349">
        <f>'Sources and Uses Budget'!B105-MAX(IF('Sources and Uses Budget'!B15="",0,'Sources and Uses Budget'!B15),IF(Application!AG394="",0,Application!AG394))</f>
        <v>40410171</v>
      </c>
      <c r="AC47" s="2350"/>
      <c r="AD47" s="2350"/>
      <c r="AE47" s="2350"/>
      <c r="AF47" s="2351"/>
    </row>
    <row r="48" spans="1:76" ht="12.9" customHeight="1">
      <c r="D48" s="404" t="s">
        <v>21</v>
      </c>
      <c r="AB48" s="2349">
        <f>Application!AO639-MAX(IF('Sources and Uses Budget'!B15="",0,'Sources and Uses Budget'!B15),IF(Application!AG394="",0,Application!AG394))</f>
        <v>13976109</v>
      </c>
      <c r="AC48" s="2350"/>
      <c r="AD48" s="2350"/>
      <c r="AE48" s="2350"/>
      <c r="AF48" s="2351"/>
    </row>
    <row r="49" spans="1:76" ht="12.9" customHeight="1">
      <c r="D49" s="404" t="s">
        <v>91</v>
      </c>
      <c r="AB49" s="2349">
        <f>AB47-AB48</f>
        <v>26434062</v>
      </c>
      <c r="AC49" s="2350"/>
      <c r="AD49" s="2350"/>
      <c r="AE49" s="2350"/>
      <c r="AF49" s="2351"/>
    </row>
    <row r="50" spans="1:76" ht="12.9" customHeight="1">
      <c r="D50" s="404" t="s">
        <v>682</v>
      </c>
      <c r="AA50" s="415"/>
      <c r="AB50" s="2376">
        <v>0.85</v>
      </c>
      <c r="AC50" s="2377"/>
      <c r="AD50" s="2377"/>
      <c r="AE50" s="2377"/>
      <c r="AF50" s="2378"/>
    </row>
    <row r="51" spans="1:76" s="417" customFormat="1" ht="12.9" customHeight="1">
      <c r="A51" s="402"/>
      <c r="B51" s="402"/>
      <c r="C51" s="402"/>
      <c r="D51" s="402"/>
      <c r="E51" s="2379" t="s">
        <v>2612</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9">
        <f>ROUND(IF(ISERROR((AB49/AB50)),0,(AB49/AB50)),0)</f>
        <v>31098896</v>
      </c>
      <c r="AC54" s="2350"/>
      <c r="AD54" s="2350"/>
      <c r="AE54" s="2350"/>
      <c r="AF54" s="2351"/>
    </row>
    <row r="55" spans="1:76" ht="12.9" customHeight="1">
      <c r="D55" s="404" t="s">
        <v>333</v>
      </c>
      <c r="AB55" s="2349">
        <f>(AB54/10)</f>
        <v>3109889.6</v>
      </c>
      <c r="AC55" s="2350"/>
      <c r="AD55" s="2350"/>
      <c r="AE55" s="2350"/>
      <c r="AF55" s="2351"/>
    </row>
    <row r="56" spans="1:76" ht="12.9" customHeight="1">
      <c r="D56" s="404" t="s">
        <v>757</v>
      </c>
      <c r="AB56" s="2349">
        <f>ROUND((IF((Y41&lt;AB55),Y41,AB55)),0)</f>
        <v>1972125</v>
      </c>
      <c r="AC56" s="2350"/>
      <c r="AD56" s="2350"/>
      <c r="AE56" s="2350"/>
      <c r="AF56" s="2351"/>
    </row>
    <row r="57" spans="1:76" ht="12.9" customHeight="1">
      <c r="D57" s="404" t="s">
        <v>756</v>
      </c>
      <c r="AB57" s="2349">
        <f>ROUND((10*AB56*AB50),0)</f>
        <v>16763063</v>
      </c>
      <c r="AC57" s="2350"/>
      <c r="AD57" s="2350"/>
      <c r="AE57" s="2350"/>
      <c r="AF57" s="2351"/>
    </row>
    <row r="58" spans="1:76" ht="12.9" customHeight="1">
      <c r="D58" s="404"/>
      <c r="AB58" s="423"/>
      <c r="AC58" s="423"/>
      <c r="AD58" s="423"/>
      <c r="AE58" s="423"/>
      <c r="AF58" s="423"/>
    </row>
    <row r="59" spans="1:76" ht="12.9" customHeight="1">
      <c r="D59" s="404" t="s">
        <v>755</v>
      </c>
      <c r="AB59" s="2372">
        <f>AB49-AB57</f>
        <v>9670999</v>
      </c>
      <c r="AC59" s="2372"/>
      <c r="AD59" s="2372"/>
      <c r="AE59" s="2372"/>
      <c r="AF59" s="2372"/>
    </row>
    <row r="60" spans="1:76" ht="12.9" customHeight="1">
      <c r="D60" s="404"/>
      <c r="AB60" s="423"/>
      <c r="AC60" s="423"/>
      <c r="AD60" s="423"/>
      <c r="AE60" s="423"/>
      <c r="AF60" s="423"/>
    </row>
    <row r="61" spans="1:76" s="204" customFormat="1" ht="12.9"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 customHeight="1" thickTop="1"/>
    <row r="63" spans="1:76" ht="12.9" customHeight="1">
      <c r="A63" s="404" t="s">
        <v>590</v>
      </c>
      <c r="C63" s="205" t="s">
        <v>1249</v>
      </c>
      <c r="Y63" s="2373" t="s">
        <v>985</v>
      </c>
      <c r="Z63" s="2373"/>
      <c r="AA63" s="2373"/>
      <c r="AB63" s="2373"/>
      <c r="AC63" s="2373"/>
      <c r="AD63" s="2373" t="s">
        <v>369</v>
      </c>
      <c r="AE63" s="2373"/>
      <c r="AF63" s="2373"/>
      <c r="AG63" s="2373"/>
      <c r="AH63" s="2373"/>
    </row>
    <row r="64" spans="1:76" ht="12.9"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37925484</v>
      </c>
      <c r="Z64" s="2374"/>
      <c r="AA64" s="2374"/>
      <c r="AB64" s="2374"/>
      <c r="AC64" s="2375"/>
      <c r="AD64" s="2334">
        <f>IF(AND(OR(Application!D211="At-Risk",Application!D211="At-Risk and Special Needs"),Application!M358="yes"),AD28+AI28,0)</f>
        <v>0</v>
      </c>
      <c r="AE64" s="2374"/>
      <c r="AF64" s="2374"/>
      <c r="AG64" s="2374"/>
      <c r="AH64" s="2375"/>
    </row>
    <row r="65" spans="1:36" ht="12.9"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0.3</v>
      </c>
      <c r="Z67" s="2387"/>
      <c r="AA67" s="2387"/>
      <c r="AB67" s="2387"/>
      <c r="AC67" s="2387"/>
      <c r="AD67" s="2387">
        <f>IF(Application!Z205="15% set-aside with qualifying low value rehab", 0.95,IF(OR(Application!D211="At-Risk",'Points System'!B13="Yes"),0.13,0))</f>
        <v>0</v>
      </c>
      <c r="AE67" s="2387"/>
      <c r="AF67" s="2387"/>
      <c r="AG67" s="2387"/>
      <c r="AH67" s="2387"/>
    </row>
    <row r="68" spans="1:36" ht="12.9" customHeight="1">
      <c r="C68" s="404"/>
      <c r="D68" s="205" t="s">
        <v>2225</v>
      </c>
      <c r="Y68" s="2333">
        <f>ROUND(Y64*Y67,0)</f>
        <v>11377645</v>
      </c>
      <c r="Z68" s="2388"/>
      <c r="AA68" s="2388"/>
      <c r="AB68" s="2388"/>
      <c r="AC68" s="2388"/>
      <c r="AD68" s="2333">
        <f>ROUND(AD64*AD67,0)</f>
        <v>0</v>
      </c>
      <c r="AE68" s="2388"/>
      <c r="AF68" s="2388"/>
      <c r="AG68" s="2388"/>
      <c r="AH68" s="2388"/>
    </row>
    <row r="69" spans="1:36" ht="12.9" customHeight="1">
      <c r="C69" s="404"/>
      <c r="D69" s="205" t="s">
        <v>2226</v>
      </c>
      <c r="Y69" s="2333">
        <f>IF(OR(Application!Z205="State Farmworker Credit",Application!Z205="$500M (Farmworker Housing)"),Y68+AD68,MIN(Y68+AD68,200000*(Application!G753+Application!O777)))</f>
        <v>11377645</v>
      </c>
      <c r="Z69" s="2333"/>
      <c r="AA69" s="2333"/>
      <c r="AB69" s="2333"/>
      <c r="AC69" s="2333"/>
      <c r="AD69" s="2333"/>
      <c r="AE69" s="2333"/>
      <c r="AF69" s="2333"/>
      <c r="AG69" s="2333"/>
      <c r="AH69" s="2333"/>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1251</v>
      </c>
      <c r="AB72" s="2376">
        <v>0.85000100000000001</v>
      </c>
      <c r="AC72" s="2377"/>
      <c r="AD72" s="2377"/>
      <c r="AE72" s="2377"/>
      <c r="AF72" s="2378"/>
    </row>
    <row r="73" spans="1:36" ht="12.9" customHeight="1">
      <c r="A73" s="404"/>
      <c r="C73" s="404"/>
      <c r="D73" s="404"/>
      <c r="E73" s="2389" t="s">
        <v>1252</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2.9"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2.9"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1253</v>
      </c>
      <c r="AB77" s="2382">
        <f>ROUND(IF(ISERROR((AB59/AB72)),0,(AB59/AB72)),0)</f>
        <v>11377632</v>
      </c>
      <c r="AC77" s="2382"/>
      <c r="AD77" s="2382"/>
      <c r="AE77" s="2382"/>
      <c r="AF77" s="2382"/>
    </row>
    <row r="78" spans="1:36" ht="12.9" customHeight="1">
      <c r="C78" s="404"/>
      <c r="D78" s="205" t="s">
        <v>1254</v>
      </c>
      <c r="AB78" s="2383">
        <f>ROUNDUP(MIN(Y69,AB77),0)</f>
        <v>11377632</v>
      </c>
      <c r="AC78" s="2384"/>
      <c r="AD78" s="2384"/>
      <c r="AE78" s="2384"/>
      <c r="AF78" s="2385"/>
    </row>
    <row r="79" spans="1:36" ht="12.9" customHeight="1">
      <c r="C79" s="404"/>
      <c r="D79" s="205" t="s">
        <v>1255</v>
      </c>
      <c r="AB79" s="2386">
        <f>AB78*AB72</f>
        <v>9670998.5776320007</v>
      </c>
      <c r="AC79" s="2386"/>
      <c r="AD79" s="2386"/>
      <c r="AE79" s="2386"/>
      <c r="AF79" s="2386"/>
    </row>
    <row r="80" spans="1:36" ht="12.9" customHeight="1">
      <c r="C80" s="404"/>
      <c r="D80" s="404"/>
      <c r="AB80" s="425"/>
      <c r="AC80" s="425"/>
      <c r="AD80" s="425"/>
      <c r="AE80" s="425"/>
      <c r="AF80" s="425"/>
    </row>
    <row r="81" spans="1:78" ht="12.9" customHeight="1">
      <c r="D81" s="404" t="s">
        <v>755</v>
      </c>
      <c r="AB81" s="2372">
        <f>AB49-(AB57+AB79)</f>
        <v>0.42236799746751785</v>
      </c>
      <c r="AC81" s="2372"/>
      <c r="AD81" s="2372"/>
      <c r="AE81" s="2372"/>
      <c r="AF81" s="2372"/>
    </row>
    <row r="82" spans="1:78" ht="12.9" customHeight="1">
      <c r="F82" s="522"/>
      <c r="J82" s="522" t="str">
        <f>IF(AB81&gt;0,"FUNDING GAP MUST NOT EXCEED ZERO","")</f>
        <v>FUNDING GAP MUST NOT EXCEED ZERO</v>
      </c>
    </row>
    <row r="83" spans="1:78" ht="12.9" customHeight="1">
      <c r="D83" s="523"/>
    </row>
    <row r="84" spans="1:78" ht="12.9"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 customHeight="1" thickTop="1"/>
    <row r="86" spans="1:78" ht="12.9" customHeight="1">
      <c r="A86" s="404"/>
      <c r="C86" s="205"/>
    </row>
    <row r="87" spans="1:78" ht="12.9" customHeight="1">
      <c r="D87" s="205"/>
      <c r="AB87" s="2338"/>
      <c r="AC87" s="2338"/>
      <c r="AD87" s="2338"/>
      <c r="AE87" s="2338"/>
      <c r="AF87" s="2338"/>
    </row>
    <row r="88" spans="1:78" ht="12.9"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9" workbookViewId="0">
      <selection activeCell="S790" sqref="S790"/>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0" t="s">
        <v>1301</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1306</v>
      </c>
      <c r="AF7" s="2461"/>
      <c r="AG7" s="2461"/>
      <c r="AH7" s="2461"/>
      <c r="AI7" s="2461"/>
      <c r="AJ7" s="2461"/>
      <c r="AK7" s="2461"/>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592</v>
      </c>
      <c r="C13" s="261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592</v>
      </c>
      <c r="C16" s="2614"/>
      <c r="D16" s="547"/>
      <c r="E16" s="2606" t="s">
        <v>1308</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592</v>
      </c>
      <c r="C22" s="2614"/>
      <c r="D22" s="547"/>
      <c r="E22" s="2624" t="s">
        <v>1311</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592</v>
      </c>
      <c r="C25" s="2614"/>
      <c r="D25" s="547"/>
      <c r="E25" s="2541" t="s">
        <v>2034</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592</v>
      </c>
      <c r="C28" s="2614"/>
      <c r="D28" s="547"/>
      <c r="E28" s="2643" t="s">
        <v>2249</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4" t="s">
        <v>592</v>
      </c>
      <c r="C33" s="2614"/>
      <c r="D33" s="547"/>
      <c r="E33" s="2624" t="s">
        <v>2251</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592</v>
      </c>
      <c r="C36" s="2614"/>
      <c r="D36" s="547"/>
      <c r="E36" s="2541" t="s">
        <v>2252</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4" t="s">
        <v>592</v>
      </c>
      <c r="C40" s="2614"/>
      <c r="D40" s="547"/>
      <c r="E40" s="2541" t="s">
        <v>2250</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592</v>
      </c>
      <c r="C45" s="2614"/>
      <c r="D45" s="1142"/>
      <c r="E45" s="2541" t="s">
        <v>2009</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592</v>
      </c>
      <c r="C52" s="2614"/>
      <c r="D52" s="540"/>
      <c r="E52" s="2541" t="s">
        <v>2014</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592</v>
      </c>
      <c r="C56" s="2614"/>
      <c r="D56" s="540"/>
      <c r="E56" s="2640" t="s">
        <v>2015</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592</v>
      </c>
      <c r="C58" s="2614"/>
      <c r="D58" s="540"/>
      <c r="E58" s="2541" t="s">
        <v>2016</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7">
        <f>AO39</f>
        <v>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1315</v>
      </c>
      <c r="AF65" s="2461"/>
      <c r="AG65" s="2461"/>
      <c r="AH65" s="2461"/>
      <c r="AI65" s="2461"/>
      <c r="AJ65" s="2461"/>
      <c r="AK65" s="2461"/>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546</v>
      </c>
      <c r="C68" s="2614"/>
      <c r="D68" s="547" t="s">
        <v>1316</v>
      </c>
      <c r="E68" s="2606" t="s">
        <v>2017</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10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10</v>
      </c>
      <c r="AP71" s="574" t="s">
        <v>1317</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592</v>
      </c>
      <c r="C74" s="261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592</v>
      </c>
      <c r="F75" s="261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592</v>
      </c>
      <c r="F76" s="263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592</v>
      </c>
      <c r="F77" s="263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592</v>
      </c>
      <c r="F79" s="261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592</v>
      </c>
      <c r="C81" s="2614"/>
      <c r="D81" s="547" t="s">
        <v>1321</v>
      </c>
      <c r="E81" s="2541" t="s">
        <v>1741</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7">
        <f>IF(AK62&gt;0,0,AO71)</f>
        <v>10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1306</v>
      </c>
      <c r="AF87" s="2461"/>
      <c r="AG87" s="2461"/>
      <c r="AH87" s="2461"/>
      <c r="AI87" s="2461"/>
      <c r="AJ87" s="2461"/>
      <c r="AK87" s="2461"/>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592</v>
      </c>
      <c r="C90" s="2614"/>
      <c r="D90" s="547" t="s">
        <v>1316</v>
      </c>
      <c r="E90" s="2606" t="s">
        <v>1326</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0.59999999999999987</v>
      </c>
      <c r="F93" s="2603"/>
      <c r="G93" s="2603"/>
      <c r="H93" s="260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0</v>
      </c>
      <c r="F94" s="2408"/>
      <c r="G94" s="2408"/>
      <c r="H94" s="2408"/>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0</v>
      </c>
      <c r="F95" s="2619"/>
      <c r="G95" s="2619"/>
      <c r="H95" s="2619"/>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546</v>
      </c>
      <c r="C98" s="2614"/>
      <c r="D98" s="547" t="s">
        <v>1318</v>
      </c>
      <c r="E98" s="2606" t="s">
        <v>1726</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0.59999999999999987</v>
      </c>
      <c r="F103" s="2603"/>
      <c r="G103" s="2603"/>
      <c r="H103" s="260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0.11764705882352941</v>
      </c>
      <c r="F104" s="2603"/>
      <c r="G104" s="2603"/>
      <c r="H104" s="260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0.15126050420168066</v>
      </c>
      <c r="F105" s="2603"/>
      <c r="G105" s="2603"/>
      <c r="H105" s="260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7">
        <f ca="1">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1315</v>
      </c>
      <c r="AF112" s="2461"/>
      <c r="AG112" s="2461"/>
      <c r="AH112" s="2461"/>
      <c r="AI112" s="2461"/>
      <c r="AJ112" s="2461"/>
      <c r="AK112" s="2461"/>
      <c r="AL112" s="540"/>
      <c r="AM112" s="540"/>
      <c r="AN112" s="535"/>
      <c r="AO112" s="536" t="str">
        <f>Application!B718</f>
        <v>1 Bedroom</v>
      </c>
      <c r="AQ112" s="536">
        <f>Application!O718</f>
        <v>535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899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1038</v>
      </c>
    </row>
    <row r="115" spans="1:52" s="536" customFormat="1" ht="12.75" customHeight="1">
      <c r="A115" s="540"/>
      <c r="B115" s="2614" t="s">
        <v>546</v>
      </c>
      <c r="C115" s="2614"/>
      <c r="D115" s="547" t="s">
        <v>1316</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1 Bedroom</v>
      </c>
      <c r="AQ115" s="536">
        <f>Application!O721</f>
        <v>1038</v>
      </c>
      <c r="AU115" s="536" t="s">
        <v>1841</v>
      </c>
      <c r="AV115" s="595" t="s">
        <v>1842</v>
      </c>
      <c r="AW115" s="536" t="s">
        <v>1843</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t="str">
        <f>Application!B722</f>
        <v>2 Bedrooms</v>
      </c>
      <c r="AQ116" s="536">
        <f>Application!O722</f>
        <v>645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t="str">
        <f>Application!B723</f>
        <v>2 Bedrooms</v>
      </c>
      <c r="AQ117" s="536">
        <f>Application!O723</f>
        <v>898</v>
      </c>
      <c r="AU117" s="856" t="str">
        <f>J124</f>
        <v>1-bedroom</v>
      </c>
      <c r="AV117" s="536">
        <f t="array" ref="AV117">SUM(IF(Application!B718:F752="1 Bedroom",Application!G718:J752))</f>
        <v>32</v>
      </c>
      <c r="AW117" s="1011">
        <f>AV117/AV122</f>
        <v>0.26890756302521007</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t="str">
        <f>Application!B724</f>
        <v>2 Bedrooms</v>
      </c>
      <c r="AQ118" s="536">
        <f>Application!O724</f>
        <v>898</v>
      </c>
      <c r="AU118" s="856" t="str">
        <f>O124</f>
        <v>2-bedroom</v>
      </c>
      <c r="AV118" s="536">
        <f t="array" ref="AV118">SUM(IF(Application!B718:F752="2 Bedrooms",Application!G718:J752))</f>
        <v>56</v>
      </c>
      <c r="AW118" s="1011">
        <f>AV118/AV122</f>
        <v>0.47058823529411764</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t="str">
        <f>Application!B725</f>
        <v>2 Bedrooms</v>
      </c>
      <c r="AQ119" s="536">
        <f>Application!O725</f>
        <v>898</v>
      </c>
      <c r="AU119" s="856" t="str">
        <f>T124</f>
        <v>3-bedroom</v>
      </c>
      <c r="AV119" s="536">
        <f t="array" ref="AV119">SUM(IF(Application!B718:F752="3 Bedrooms",Application!G718:J752))</f>
        <v>27</v>
      </c>
      <c r="AW119" s="1011">
        <f>AV119/AV122</f>
        <v>0.22689075630252101</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t="str">
        <f>Application!B726</f>
        <v>3 Bedrooms</v>
      </c>
      <c r="AQ120" s="536">
        <f>Application!O726</f>
        <v>747</v>
      </c>
      <c r="AU120" s="856" t="str">
        <f>Y124</f>
        <v>4-bedroom</v>
      </c>
      <c r="AV120" s="536">
        <f t="array" ref="AV120">SUM(IF(Application!B718:F752="4 Bedrooms",Application!G718:J752))</f>
        <v>4</v>
      </c>
      <c r="AW120" s="1011">
        <f>AV120/AV122</f>
        <v>3.3613445378151259E-2</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t="str">
        <f>Application!B727</f>
        <v>3 Bedrooms</v>
      </c>
      <c r="AQ121" s="536">
        <f>Application!O727</f>
        <v>1253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t="str">
        <f>Application!B728</f>
        <v>3 Bedrooms</v>
      </c>
      <c r="AQ122" s="536">
        <f>Application!O728</f>
        <v>1506</v>
      </c>
      <c r="AV122" s="536">
        <f>SUM(AV116:AV121)</f>
        <v>119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1679</v>
      </c>
    </row>
    <row r="124" spans="1:52" s="536" customFormat="1" ht="12.75" customHeight="1">
      <c r="A124" s="540"/>
      <c r="B124" s="539"/>
      <c r="C124" s="540"/>
      <c r="D124" s="540"/>
      <c r="E124" s="2602" t="s">
        <v>1589</v>
      </c>
      <c r="F124" s="2603"/>
      <c r="G124" s="2603"/>
      <c r="H124" s="2603"/>
      <c r="I124" s="577"/>
      <c r="J124" s="2603" t="s">
        <v>1632</v>
      </c>
      <c r="K124" s="2603"/>
      <c r="L124" s="2603"/>
      <c r="M124" s="2603"/>
      <c r="N124" s="577"/>
      <c r="O124" s="2603" t="s">
        <v>1633</v>
      </c>
      <c r="P124" s="2603"/>
      <c r="Q124" s="2603"/>
      <c r="R124" s="2603"/>
      <c r="S124" s="577"/>
      <c r="T124" s="2603" t="s">
        <v>1335</v>
      </c>
      <c r="U124" s="2603"/>
      <c r="V124" s="2603"/>
      <c r="W124" s="2603"/>
      <c r="X124" s="577"/>
      <c r="Y124" s="2603" t="s">
        <v>1634</v>
      </c>
      <c r="Z124" s="2603"/>
      <c r="AA124" s="2603"/>
      <c r="AB124" s="2603"/>
      <c r="AC124" s="577"/>
      <c r="AD124" s="2603" t="s">
        <v>1635</v>
      </c>
      <c r="AE124" s="2603"/>
      <c r="AF124" s="2603"/>
      <c r="AG124" s="2603"/>
      <c r="AH124" s="577"/>
      <c r="AI124" s="577"/>
      <c r="AJ124" s="579"/>
      <c r="AK124" s="540"/>
      <c r="AL124" s="540"/>
      <c r="AM124" s="540"/>
      <c r="AN124" s="535"/>
      <c r="AO124" s="536" t="str">
        <f>Application!B730</f>
        <v>4 Bedrooms</v>
      </c>
      <c r="AQ124" s="536">
        <f>Application!O730</f>
        <v>834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4 Bedrooms</v>
      </c>
      <c r="AQ125" s="536">
        <f>Application!O731</f>
        <v>1399</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c r="F127" s="2605"/>
      <c r="G127" s="2605"/>
      <c r="H127" s="2605"/>
      <c r="I127" s="864"/>
      <c r="J127" s="2605">
        <v>1231</v>
      </c>
      <c r="K127" s="2605"/>
      <c r="L127" s="2605"/>
      <c r="M127" s="2605"/>
      <c r="N127" s="864"/>
      <c r="O127" s="2605">
        <v>1566</v>
      </c>
      <c r="P127" s="2605"/>
      <c r="Q127" s="2605"/>
      <c r="R127" s="2605"/>
      <c r="S127" s="864"/>
      <c r="T127" s="2605">
        <v>1948</v>
      </c>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0</v>
      </c>
      <c r="F130" s="2613"/>
      <c r="G130" s="2613"/>
      <c r="H130" s="2613"/>
      <c r="I130" s="864"/>
      <c r="J130" s="2613">
        <f>Application!EC670</f>
        <v>953.40625</v>
      </c>
      <c r="K130" s="2613"/>
      <c r="L130" s="2613"/>
      <c r="M130" s="2613"/>
      <c r="N130" s="864"/>
      <c r="O130" s="2613">
        <f>Application!EH670</f>
        <v>870.89285714285711</v>
      </c>
      <c r="P130" s="2613"/>
      <c r="Q130" s="2613"/>
      <c r="R130" s="2613"/>
      <c r="S130" s="868"/>
      <c r="T130" s="2613">
        <f>Application!EM670</f>
        <v>1477.3333333333333</v>
      </c>
      <c r="U130" s="2613"/>
      <c r="V130" s="2613"/>
      <c r="W130" s="2613"/>
      <c r="X130" s="868"/>
      <c r="Y130" s="2613">
        <f>Application!ER670</f>
        <v>1257.75</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t="e">
        <f>(E127-E130)/E127</f>
        <v>#DIV/0!</v>
      </c>
      <c r="F133" s="2408"/>
      <c r="G133" s="2408"/>
      <c r="H133" s="2409"/>
      <c r="I133" s="577"/>
      <c r="J133" s="2407">
        <f>(J127-J130)/J127</f>
        <v>0.22550264012997562</v>
      </c>
      <c r="K133" s="2408"/>
      <c r="L133" s="2408"/>
      <c r="M133" s="2409"/>
      <c r="N133" s="577"/>
      <c r="O133" s="2407">
        <f>(O127-O130)/O127</f>
        <v>0.44387429301222409</v>
      </c>
      <c r="P133" s="2408"/>
      <c r="Q133" s="2408"/>
      <c r="R133" s="2409"/>
      <c r="S133" s="577"/>
      <c r="T133" s="2407">
        <f>(T127-T130)/T127</f>
        <v>0.24161533196440799</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t="e">
        <f>IF(((E133-0.1)*AW116)&gt;0,((E133-0.1)*AW116),0)</f>
        <v>#DIV/0!</v>
      </c>
      <c r="F136" s="2616"/>
      <c r="G136" s="2616"/>
      <c r="H136" s="2617"/>
      <c r="I136" s="577"/>
      <c r="J136" s="2615">
        <f>IF(((J133-0.1)*AW117)&gt;0,((J133-0.1)*AW117),0)</f>
        <v>3.3748609110581675E-2</v>
      </c>
      <c r="K136" s="2616"/>
      <c r="L136" s="2616"/>
      <c r="M136" s="2617"/>
      <c r="N136" s="577"/>
      <c r="O136" s="2615">
        <f>IF(((O133-0.1)*AW118)&gt;0,((O133-0.1)*AW118),0)</f>
        <v>0.16182319671163484</v>
      </c>
      <c r="P136" s="2616"/>
      <c r="Q136" s="2616"/>
      <c r="R136" s="2617"/>
      <c r="S136" s="577"/>
      <c r="T136" s="2615">
        <f>IF(((T133-0.1)*AW119)&gt;0,((T133-0.1)*AW119),0)</f>
        <v>3.2131209773437107E-2</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0.22</v>
      </c>
      <c r="F138" s="2408"/>
      <c r="G138" s="2408"/>
      <c r="H138" s="240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1" t="s">
        <v>1315</v>
      </c>
      <c r="AF146" s="2461"/>
      <c r="AG146" s="2461"/>
      <c r="AH146" s="2461"/>
      <c r="AI146" s="2461"/>
      <c r="AJ146" s="2461"/>
      <c r="AK146" s="2461"/>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1339</v>
      </c>
      <c r="AG148" s="2521"/>
      <c r="AH148" s="2521"/>
      <c r="AI148" s="2521"/>
      <c r="AJ148" s="2521"/>
      <c r="AK148" s="2521"/>
      <c r="AL148" s="252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2640</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2" t="s">
        <v>1342</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1342</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3" t="s">
        <v>592</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2" t="s">
        <v>1344</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2476</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2477</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2475</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592</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1353</v>
      </c>
      <c r="AG168" s="2521"/>
      <c r="AH168" s="2521"/>
      <c r="AI168" s="2521"/>
      <c r="AJ168" s="2521"/>
      <c r="AK168" s="2521"/>
      <c r="AL168" s="252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1351</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592</v>
      </c>
      <c r="AG172" s="239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2" t="s">
        <v>1344</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3" t="str">
        <f>Application!AA335</f>
        <v>Danco Property Management</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1315</v>
      </c>
      <c r="AF186" s="2461"/>
      <c r="AG186" s="2461"/>
      <c r="AH186" s="2461"/>
      <c r="AI186" s="2461"/>
      <c r="AJ186" s="2461"/>
      <c r="AK186" s="246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0" t="s">
        <v>1042</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1364</v>
      </c>
      <c r="AG188" s="2521"/>
      <c r="AH188" s="2521"/>
      <c r="AI188" s="2521"/>
      <c r="AJ188" s="2521"/>
      <c r="AK188" s="2521"/>
      <c r="AL188" s="2521"/>
      <c r="AN188" s="597"/>
      <c r="AP188" s="550" t="s">
        <v>1044</v>
      </c>
      <c r="AQ188" s="550">
        <v>10</v>
      </c>
    </row>
    <row r="189" spans="1:73" s="550" customFormat="1" ht="12.75" customHeight="1">
      <c r="A189" s="536"/>
      <c r="B189" s="2392" t="s">
        <v>1727</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8">
        <f>IF(AK84&gt;0,VLOOKUP($B$188,AP185:AQ191,2,FALSE),0)</f>
        <v>10</v>
      </c>
      <c r="AL191" s="2429"/>
      <c r="AM191" s="243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1373</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2698</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v>4000000</v>
      </c>
      <c r="AE199" s="2574"/>
      <c r="AF199" s="2574"/>
      <c r="AG199" s="2574"/>
      <c r="AH199" s="2574"/>
      <c r="AI199" s="2574"/>
      <c r="AJ199" s="2574"/>
      <c r="AK199" s="610"/>
    </row>
    <row r="200" spans="1:40">
      <c r="A200" s="605"/>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1628</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0</v>
      </c>
      <c r="AE209" s="2572"/>
      <c r="AF209" s="2572"/>
      <c r="AG209" s="2572"/>
      <c r="AH209" s="2572"/>
      <c r="AI209" s="2572"/>
      <c r="AJ209" s="2572"/>
      <c r="AK209" s="610"/>
    </row>
    <row r="210" spans="1:37">
      <c r="A210" s="605"/>
      <c r="B210" s="2446" t="s">
        <v>1591</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8">
        <f>SUM(AD199:AJ209)-AD210</f>
        <v>4000000</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1608</v>
      </c>
      <c r="J222" s="2597"/>
      <c r="K222" s="2597"/>
      <c r="L222" s="536"/>
      <c r="M222" s="536"/>
      <c r="N222" s="536"/>
      <c r="O222" s="536"/>
      <c r="P222" s="536"/>
      <c r="Q222" s="536"/>
      <c r="R222" s="536"/>
      <c r="S222" s="536"/>
      <c r="T222" s="2412" t="s">
        <v>1602</v>
      </c>
      <c r="U222" s="2412"/>
      <c r="V222" s="2412"/>
      <c r="W222" s="2412"/>
      <c r="X222" s="2412"/>
      <c r="Y222" s="2412"/>
      <c r="Z222" s="849"/>
      <c r="AA222" s="489"/>
      <c r="AB222" s="2594" t="s">
        <v>1603</v>
      </c>
      <c r="AC222" s="2594"/>
      <c r="AD222" s="2594"/>
      <c r="AE222" s="2594"/>
      <c r="AF222" s="2594"/>
      <c r="AG222" s="2594"/>
      <c r="AH222" s="827"/>
      <c r="AI222" s="827"/>
      <c r="AJ222" s="827"/>
      <c r="AK222" s="610"/>
    </row>
    <row r="223" spans="1:37">
      <c r="A223" s="605"/>
      <c r="B223" s="2595" t="s">
        <v>1588</v>
      </c>
      <c r="C223" s="2595"/>
      <c r="D223" s="2595"/>
      <c r="E223" s="2595"/>
      <c r="F223" s="2595"/>
      <c r="G223" s="2595"/>
      <c r="I223" s="2596" t="s">
        <v>1609</v>
      </c>
      <c r="J223" s="2596"/>
      <c r="K223" s="2596"/>
      <c r="L223" s="1008"/>
      <c r="N223" s="2447" t="s">
        <v>1604</v>
      </c>
      <c r="O223" s="2447"/>
      <c r="P223" s="2447"/>
      <c r="Q223" s="2447"/>
      <c r="R223" s="2447"/>
      <c r="T223" s="2447" t="s">
        <v>1605</v>
      </c>
      <c r="U223" s="2447"/>
      <c r="V223" s="2447"/>
      <c r="W223" s="2447"/>
      <c r="X223" s="2447"/>
      <c r="Y223" s="2447"/>
      <c r="Z223" s="850"/>
      <c r="AA223" s="489"/>
      <c r="AB223" s="2462" t="s">
        <v>1606</v>
      </c>
      <c r="AC223" s="2462"/>
      <c r="AD223" s="2462"/>
      <c r="AE223" s="2462"/>
      <c r="AF223" s="2462"/>
      <c r="AG223" s="2462"/>
      <c r="AH223" s="827"/>
      <c r="AI223" s="827"/>
      <c r="AJ223" s="827"/>
      <c r="AK223" s="610"/>
    </row>
    <row r="224" spans="1:37">
      <c r="A224" s="605"/>
      <c r="B224" s="2463" t="s">
        <v>1185</v>
      </c>
      <c r="C224" s="2463"/>
      <c r="D224" s="2463"/>
      <c r="E224" s="2463"/>
      <c r="F224" s="2463"/>
      <c r="G224" s="2463"/>
      <c r="H224" s="852"/>
      <c r="I224" s="2416"/>
      <c r="J224" s="2416"/>
      <c r="K224" s="2416"/>
      <c r="L224" s="1008"/>
      <c r="N224" s="2414"/>
      <c r="O224" s="2414"/>
      <c r="P224" s="2414"/>
      <c r="Q224" s="2414"/>
      <c r="R224" s="2414"/>
      <c r="T224" s="2413"/>
      <c r="U224" s="2413"/>
      <c r="V224" s="2413"/>
      <c r="W224" s="2413"/>
      <c r="X224" s="2413"/>
      <c r="Y224" s="2413"/>
      <c r="Z224" s="851"/>
      <c r="AA224" s="851"/>
      <c r="AB224" s="2411">
        <f t="shared" ref="AB224:AB233" si="0">MAX(($T224-$N224)*$I224*12,0)</f>
        <v>0</v>
      </c>
      <c r="AC224" s="2411"/>
      <c r="AD224" s="2411"/>
      <c r="AE224" s="2411"/>
      <c r="AF224" s="2411"/>
      <c r="AG224" s="2411"/>
      <c r="AH224" s="827"/>
      <c r="AI224" s="827"/>
      <c r="AJ224" s="827"/>
      <c r="AK224" s="610"/>
    </row>
    <row r="225" spans="1:37">
      <c r="A225" s="605"/>
      <c r="B225" s="2463" t="s">
        <v>1185</v>
      </c>
      <c r="C225" s="2463"/>
      <c r="D225" s="2463"/>
      <c r="E225" s="2463"/>
      <c r="F225" s="2463"/>
      <c r="G225" s="2463"/>
      <c r="I225" s="2416"/>
      <c r="J225" s="2416"/>
      <c r="K225" s="2416"/>
      <c r="L225" s="1008"/>
      <c r="N225" s="2414"/>
      <c r="O225" s="2414"/>
      <c r="P225" s="2414"/>
      <c r="Q225" s="2414"/>
      <c r="R225" s="2414"/>
      <c r="T225" s="2413"/>
      <c r="U225" s="2413"/>
      <c r="V225" s="2413"/>
      <c r="W225" s="2413"/>
      <c r="X225" s="2413"/>
      <c r="Y225" s="2413"/>
      <c r="Z225" s="851"/>
      <c r="AA225" s="851"/>
      <c r="AB225" s="2411">
        <f t="shared" si="0"/>
        <v>0</v>
      </c>
      <c r="AC225" s="2411"/>
      <c r="AD225" s="2411"/>
      <c r="AE225" s="2411"/>
      <c r="AF225" s="2411"/>
      <c r="AG225" s="2411"/>
      <c r="AH225" s="827"/>
      <c r="AI225" s="827"/>
      <c r="AJ225" s="827"/>
      <c r="AK225" s="610"/>
    </row>
    <row r="226" spans="1:37">
      <c r="A226" s="605"/>
      <c r="B226" s="2463" t="s">
        <v>1185</v>
      </c>
      <c r="C226" s="2463"/>
      <c r="D226" s="2463"/>
      <c r="E226" s="2463"/>
      <c r="F226" s="2463"/>
      <c r="G226" s="2463"/>
      <c r="I226" s="2416"/>
      <c r="J226" s="2416"/>
      <c r="K226" s="2416"/>
      <c r="L226" s="1008"/>
      <c r="N226" s="2414"/>
      <c r="O226" s="2414"/>
      <c r="P226" s="2414"/>
      <c r="Q226" s="2414"/>
      <c r="R226" s="2414"/>
      <c r="T226" s="2413"/>
      <c r="U226" s="2413"/>
      <c r="V226" s="2413"/>
      <c r="W226" s="2413"/>
      <c r="X226" s="2413"/>
      <c r="Y226" s="2413"/>
      <c r="Z226" s="851"/>
      <c r="AA226" s="851"/>
      <c r="AB226" s="2411">
        <f t="shared" si="0"/>
        <v>0</v>
      </c>
      <c r="AC226" s="2411"/>
      <c r="AD226" s="2411"/>
      <c r="AE226" s="2411"/>
      <c r="AF226" s="2411"/>
      <c r="AG226" s="2411"/>
      <c r="AH226" s="827"/>
      <c r="AI226" s="827"/>
      <c r="AJ226" s="827"/>
      <c r="AK226" s="610"/>
    </row>
    <row r="227" spans="1:37">
      <c r="A227" s="605"/>
      <c r="B227" s="2463" t="s">
        <v>1185</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1185</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1185</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1185</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1185</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1185</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1185</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1">
        <f>SUM(AB224:AB233)</f>
        <v>0</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0</v>
      </c>
      <c r="AC250" s="2411"/>
      <c r="AD250" s="2411"/>
      <c r="AE250" s="2411"/>
      <c r="AF250" s="2411"/>
      <c r="AG250" s="241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0</v>
      </c>
      <c r="AC252" s="2583"/>
      <c r="AD252" s="2583"/>
      <c r="AE252" s="2583"/>
      <c r="AF252" s="2583"/>
      <c r="AG252" s="258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0</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0</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4000000</v>
      </c>
      <c r="AH268" s="2425"/>
      <c r="AI268" s="2425"/>
      <c r="AJ268" s="2425"/>
      <c r="AK268" s="242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40410171</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0.19</v>
      </c>
      <c r="AH270" s="2571"/>
      <c r="AI270" s="2571"/>
      <c r="AJ270" s="2571"/>
      <c r="AK270" s="2571"/>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0">
        <f>IFERROR(IF(AG270=0,0,IF((AG270*100)&gt;8,8,(AG270*100))),0)</f>
        <v>8</v>
      </c>
      <c r="AL273" s="2560"/>
      <c r="AM273" s="2561"/>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2" t="s">
        <v>546</v>
      </c>
      <c r="D278" s="2442"/>
      <c r="E278" s="547"/>
      <c r="F278" s="2394" t="s">
        <v>2025</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1364</v>
      </c>
      <c r="AH278" s="2569"/>
      <c r="AI278" s="2569"/>
      <c r="AJ278" s="2569"/>
      <c r="AK278" s="550"/>
      <c r="AL278" s="550"/>
      <c r="AM278" s="550"/>
      <c r="AO278" s="550"/>
    </row>
    <row r="279" spans="1:52" ht="13.65"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65"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0">
        <f>IF($C$278="yes",10,0)</f>
        <v>10</v>
      </c>
      <c r="AL285" s="2560"/>
      <c r="AM285" s="2561"/>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6" t="s">
        <v>1383</v>
      </c>
      <c r="B292" s="1626"/>
      <c r="C292" s="2393" t="s">
        <v>546</v>
      </c>
      <c r="D292" s="2442"/>
      <c r="E292" s="547"/>
      <c r="F292" s="2562" t="s">
        <v>1384</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2018</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0" t="s">
        <v>2026</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1385</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1386</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6" t="s">
        <v>1387</v>
      </c>
      <c r="B302" s="1626"/>
      <c r="C302" s="2442" t="s">
        <v>592</v>
      </c>
      <c r="D302" s="244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4" t="s">
        <v>2020</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6" t="s">
        <v>1390</v>
      </c>
      <c r="B310" s="1626"/>
      <c r="C310" s="2442" t="s">
        <v>592</v>
      </c>
      <c r="D310" s="244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0" t="s">
        <v>2027</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6" t="s">
        <v>1393</v>
      </c>
      <c r="B333" s="1626"/>
      <c r="C333" s="2442" t="s">
        <v>592</v>
      </c>
      <c r="D333" s="2442"/>
      <c r="E333" s="547"/>
      <c r="F333" s="2541" t="s">
        <v>2028</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8">
        <f>IF(NOT(OR(Application!M355="Yes",Application!M356="Yes")),0,AP295)</f>
        <v>10</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1" t="s">
        <v>1315</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1455</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5"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2093</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2208</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1456</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2"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0</v>
      </c>
      <c r="AS357" s="539" t="s">
        <v>1457</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10</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7</v>
      </c>
      <c r="AS359" s="539" t="s">
        <v>1458</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582</v>
      </c>
      <c r="AP361" s="696">
        <f>IF(C407="Yes",5,0)</f>
        <v>0</v>
      </c>
      <c r="AS361" s="539" t="s">
        <v>1879</v>
      </c>
    </row>
    <row r="362" spans="1:46" s="550" customFormat="1" ht="12.75" customHeight="1">
      <c r="A362" s="603"/>
      <c r="B362" s="611"/>
      <c r="C362" s="2531" t="s">
        <v>2232</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3</v>
      </c>
      <c r="AS362" s="2403">
        <f>IF(AQ366=0,AQ375,AQ366)</f>
        <v>10</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5"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10</v>
      </c>
      <c r="AQ366" s="2440">
        <f>IF(AP366&gt;0,AP366,0)</f>
        <v>10</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7" t="s">
        <v>1459</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457</v>
      </c>
      <c r="AP369" s="696">
        <f>IF(C442="Yes",5,0)</f>
        <v>0</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462</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647</v>
      </c>
      <c r="AP371" s="701">
        <f>IF(C453="Yes",5,0)</f>
        <v>0</v>
      </c>
    </row>
    <row r="372" spans="1:81" s="550" customFormat="1" ht="12.4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8">
        <f>Application!DU802-U374</f>
        <v>241</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0</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0">
        <f>IF(AP375&gt;0,AP375,0)</f>
        <v>0</v>
      </c>
      <c r="AR375" s="24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1" t="s">
        <v>1461</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592</v>
      </c>
      <c r="D381" s="244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1463</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1" t="s">
        <v>1464</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592</v>
      </c>
      <c r="D389" s="244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1463</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1" t="s">
        <v>1466</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546</v>
      </c>
      <c r="D397" s="244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1468</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592</v>
      </c>
      <c r="D399" s="244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1463</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1" t="s">
        <v>1472</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592</v>
      </c>
      <c r="D407" s="244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1463</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546</v>
      </c>
      <c r="D409" s="244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1475</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592</v>
      </c>
      <c r="D412" s="2442"/>
      <c r="E412" s="715" t="s">
        <v>1476</v>
      </c>
      <c r="F412" s="2431" t="s">
        <v>1477</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1463</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1" t="s">
        <v>1479</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592</v>
      </c>
      <c r="D421" s="244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1463</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592</v>
      </c>
      <c r="D423" s="244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1475</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1" t="s">
        <v>1483</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5"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592</v>
      </c>
      <c r="D430" s="244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1463</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1485</v>
      </c>
      <c r="F433" s="2431" t="s">
        <v>1486</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592</v>
      </c>
      <c r="D442" s="244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1463</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1" t="s">
        <v>1489</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592</v>
      </c>
      <c r="D449" s="244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1463</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592</v>
      </c>
      <c r="D453" s="2558"/>
      <c r="E453" s="715" t="s">
        <v>1498</v>
      </c>
      <c r="F453" s="2431" t="s">
        <v>1499</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1463</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7"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592</v>
      </c>
      <c r="D457" s="2442"/>
      <c r="E457" s="715" t="s">
        <v>1504</v>
      </c>
      <c r="F457" s="2431" t="s">
        <v>1505</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1463</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1" t="s">
        <v>1508</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592</v>
      </c>
      <c r="D466" s="244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1463</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8">
        <f>IF(Application!D214="N/A",AS358,AS360)</f>
        <v>10</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3" t="s">
        <v>1512</v>
      </c>
      <c r="AF472" s="2443"/>
      <c r="AG472" s="2443"/>
      <c r="AH472" s="2443"/>
      <c r="AI472" s="2443"/>
      <c r="AJ472" s="2443"/>
      <c r="AK472" s="244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0" t="s">
        <v>592</v>
      </c>
      <c r="D478" s="2451"/>
      <c r="E478" s="761" t="s">
        <v>508</v>
      </c>
      <c r="F478" s="2528" t="s">
        <v>1518</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7" t="s">
        <v>546</v>
      </c>
      <c r="D482" s="245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6" t="s">
        <v>592</v>
      </c>
      <c r="W485" s="2436"/>
      <c r="X485" s="243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6" t="s">
        <v>592</v>
      </c>
      <c r="W487" s="2436"/>
      <c r="X487" s="243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6" t="s">
        <v>592</v>
      </c>
      <c r="W492" s="2436"/>
      <c r="X492" s="243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5"/>
      <c r="E495" s="245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6" t="s">
        <v>592</v>
      </c>
      <c r="W496" s="2436"/>
      <c r="X496" s="243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6" t="s">
        <v>592</v>
      </c>
      <c r="W498" s="2436"/>
      <c r="X498" s="243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592</v>
      </c>
      <c r="D501" s="2451"/>
      <c r="E501" s="761" t="s">
        <v>508</v>
      </c>
      <c r="F501" s="2528" t="s">
        <v>1518</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592</v>
      </c>
      <c r="D505" s="2451"/>
      <c r="E505" s="761" t="s">
        <v>758</v>
      </c>
      <c r="F505" s="2452" t="s">
        <v>1540</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592</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592</v>
      </c>
      <c r="D510" s="245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592</v>
      </c>
      <c r="D515" s="252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592</v>
      </c>
      <c r="D519" s="2523"/>
      <c r="F519" s="795" t="s">
        <v>1548</v>
      </c>
      <c r="G519" s="2432" t="s">
        <v>1549</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592</v>
      </c>
      <c r="D523" s="252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1561</v>
      </c>
      <c r="AF538" s="2461"/>
      <c r="AG538" s="2461"/>
      <c r="AH538" s="2461"/>
      <c r="AI538" s="2461"/>
      <c r="AJ538" s="2461"/>
      <c r="AK538" s="2461"/>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546</v>
      </c>
      <c r="D541" s="2442"/>
      <c r="E541" s="551"/>
      <c r="F541" s="2464" t="s">
        <v>1562</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592</v>
      </c>
      <c r="D544" s="244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1564</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1565</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55087968</v>
      </c>
      <c r="AQ550" s="2419"/>
      <c r="AR550" s="2419"/>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37925484</v>
      </c>
      <c r="AG551" s="2425"/>
      <c r="AH551" s="2425"/>
      <c r="AI551" s="2425"/>
      <c r="AJ551" s="242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75470516.159999996</v>
      </c>
      <c r="AG552" s="2426"/>
      <c r="AH552" s="2426"/>
      <c r="AI552" s="2426"/>
      <c r="AJ552" s="2426"/>
      <c r="AK552" s="595"/>
      <c r="AL552" s="595"/>
      <c r="AM552" s="595"/>
      <c r="AN552" s="597"/>
      <c r="AP552" s="2419">
        <f>Application!AJ1045</f>
        <v>8263195.1999999993</v>
      </c>
      <c r="AQ552" s="2419"/>
      <c r="AR552" s="24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0.49</v>
      </c>
      <c r="AG553" s="2427"/>
      <c r="AH553" s="2427"/>
      <c r="AI553" s="2427"/>
      <c r="AJ553" s="2427"/>
      <c r="AK553" s="595"/>
      <c r="AL553" s="595"/>
      <c r="AM553" s="595"/>
      <c r="AN553" s="597"/>
      <c r="AP553" s="2415">
        <f>Application!AJ1049</f>
        <v>12119352.960000001</v>
      </c>
      <c r="AQ553" s="2415"/>
      <c r="AR553" s="241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0.37</v>
      </c>
      <c r="AQ554" s="2434"/>
      <c r="AR554" s="2434"/>
      <c r="AS554" s="550" t="s">
        <v>2172</v>
      </c>
    </row>
    <row r="555" spans="1:49" s="550" customFormat="1" ht="12.75" customHeight="1">
      <c r="A555" s="624"/>
      <c r="B555" s="2501" t="s">
        <v>2032</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55087967.999999993</v>
      </c>
      <c r="AQ556" s="2435"/>
      <c r="AR556" s="2435"/>
      <c r="AS556" s="550" t="s">
        <v>2174</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75470516.159999996</v>
      </c>
      <c r="AQ557" s="2419"/>
      <c r="AR557" s="24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0">
        <f>IFERROR(IF(AND(C541="N/A",C544="N/A"),0,IF(AF553=0,0,IF((AF553*100)&gt;12,12,(AF553*100)))),0)</f>
        <v>12</v>
      </c>
      <c r="AL559" s="2510"/>
      <c r="AM559" s="2511"/>
      <c r="AN559" s="597"/>
      <c r="AP559" s="2404">
        <f>AP556+(AP550*AP554)</f>
        <v>75470516.159999996</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1315</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2023</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1339</v>
      </c>
      <c r="AG578" s="2521"/>
      <c r="AH578" s="2521"/>
      <c r="AI578" s="2521"/>
      <c r="AJ578" s="2521"/>
      <c r="AK578" s="2521"/>
      <c r="AL578" s="252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1397</v>
      </c>
      <c r="AG585" s="2521"/>
      <c r="AH585" s="2521"/>
      <c r="AI585" s="2521"/>
      <c r="AJ585" s="2521"/>
      <c r="AK585" s="2521"/>
      <c r="AL585" s="252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1379</v>
      </c>
      <c r="AG591" s="2521"/>
      <c r="AH591" s="2521"/>
      <c r="AI591" s="2521"/>
      <c r="AJ591" s="2521"/>
      <c r="AK591" s="2521"/>
      <c r="AL591" s="252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1400</v>
      </c>
      <c r="AG597" s="2521"/>
      <c r="AH597" s="2521"/>
      <c r="AI597" s="2521"/>
      <c r="AJ597" s="2521"/>
      <c r="AK597" s="2521"/>
      <c r="AL597" s="252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7" t="s">
        <v>1185</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1353</v>
      </c>
      <c r="AG603" s="2521"/>
      <c r="AH603" s="2521"/>
      <c r="AI603" s="2521"/>
      <c r="AJ603" s="2521"/>
      <c r="AK603" s="2521"/>
      <c r="AL603" s="252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5" t="s">
        <v>510</v>
      </c>
      <c r="I606" s="2445"/>
      <c r="J606" s="936"/>
      <c r="K606" s="936"/>
      <c r="L606" s="936"/>
      <c r="N606" s="22"/>
      <c r="O606" s="22"/>
      <c r="P606" s="22"/>
      <c r="Q606" s="1151" t="s">
        <v>2177</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3" t="s">
        <v>592</v>
      </c>
      <c r="C616" s="2393"/>
      <c r="D616" s="642"/>
      <c r="E616" s="2421" t="s">
        <v>1404</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8">
        <f>VLOOKUP($H$606,$AO$586:$AP$591,2,FALSE)+IF(R606=AO594,0,VLOOKUP($I$614,$AO$613:$AP$615,2,FALSE))</f>
        <v>6</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5" t="s">
        <v>1695</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1353</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3" t="s">
        <v>592</v>
      </c>
      <c r="Y634" s="239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1409</v>
      </c>
      <c r="AG636" s="2521"/>
      <c r="AH636" s="2521"/>
      <c r="AI636" s="2521"/>
      <c r="AJ636" s="2521"/>
      <c r="AK636" s="2521"/>
      <c r="AL636" s="252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5" t="s">
        <v>510</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8">
        <f>VLOOKUP($H$638,$AO$605:$AP$607,2,FALSE)</f>
        <v>2</v>
      </c>
      <c r="AK640" s="243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1" t="s">
        <v>2098</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1353</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1409</v>
      </c>
      <c r="AG647" s="2521"/>
      <c r="AH647" s="2521"/>
      <c r="AI647" s="2521"/>
      <c r="AJ647" s="2521"/>
      <c r="AK647" s="2521"/>
      <c r="AL647" s="252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5" t="s">
        <v>592</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8">
        <f>VLOOKUP(H650,AT605:AU607,2,FALSE)</f>
        <v>0</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1" t="s">
        <v>1419</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1379</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1" t="s">
        <v>1420</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1400</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1" t="s">
        <v>1421</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1353</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592</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1" t="s">
        <v>1422</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1400</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1" t="s">
        <v>1423</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1353</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1" t="s">
        <v>1424</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1409</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1" t="s">
        <v>1425</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1426</v>
      </c>
      <c r="AG681" s="2521"/>
      <c r="AH681" s="2521"/>
      <c r="AI681" s="2521"/>
      <c r="AJ681" s="2521"/>
      <c r="AK681" s="2521"/>
      <c r="AL681" s="2521"/>
      <c r="AM681" s="596"/>
      <c r="AN681" s="597"/>
      <c r="AO681" s="611" t="s">
        <v>688</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5" t="s">
        <v>688</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8">
        <f>VLOOKUP($H$685,$AO$633:$AP$640,2,FALSE)</f>
        <v>5</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119</v>
      </c>
    </row>
    <row r="691" spans="1:51" s="550" customFormat="1" ht="12.75" customHeight="1">
      <c r="A691" s="679"/>
      <c r="B691" s="536"/>
      <c r="C691" s="948"/>
      <c r="D691" s="663" t="s">
        <v>688</v>
      </c>
      <c r="E691" s="2391" t="s">
        <v>2190</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1353</v>
      </c>
      <c r="AG691" s="2521"/>
      <c r="AH691" s="2521"/>
      <c r="AI691" s="2521"/>
      <c r="AJ691" s="2521"/>
      <c r="AK691" s="2521"/>
      <c r="AL691" s="2521"/>
      <c r="AN691" s="597"/>
      <c r="AW691" s="22" t="s">
        <v>2185</v>
      </c>
      <c r="AX691" s="550">
        <f>Application!DE753</f>
        <v>27</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2186</v>
      </c>
      <c r="AX692" s="550">
        <f>Application!DJ753</f>
        <v>4</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1" t="s">
        <v>2134</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1353</v>
      </c>
      <c r="AG694" s="2521"/>
      <c r="AH694" s="2521"/>
      <c r="AI694" s="2521"/>
      <c r="AJ694" s="2521"/>
      <c r="AK694" s="2521"/>
      <c r="AL694" s="2521"/>
      <c r="AN694" s="597"/>
      <c r="AW694" s="22" t="s">
        <v>2188</v>
      </c>
      <c r="AX694" s="550">
        <f>AX691+AX692+AX693</f>
        <v>31</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1</v>
      </c>
      <c r="AP695" s="2435"/>
      <c r="AW695" s="22" t="s">
        <v>2189</v>
      </c>
      <c r="AX695" s="550">
        <f>IFERROR(AX694/AX690,0)</f>
        <v>0.26050420168067229</v>
      </c>
      <c r="AY695" s="550">
        <f>IFERROR(AX694/(AX690-AX689),0)</f>
        <v>0.26050420168067229</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1" t="s">
        <v>2135</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1409</v>
      </c>
      <c r="AG699" s="2521"/>
      <c r="AH699" s="2521"/>
      <c r="AI699" s="2521"/>
      <c r="AJ699" s="2521"/>
      <c r="AK699" s="2521"/>
      <c r="AL699" s="2521"/>
      <c r="AN699" s="597"/>
      <c r="AO699" s="611" t="s">
        <v>510</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1" t="s">
        <v>1694</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5" t="s">
        <v>278</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8">
        <f>VLOOKUP($H$709,$AO$703:$AP$706,2,FALSE)</f>
        <v>2</v>
      </c>
      <c r="AK711" s="243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1353</v>
      </c>
      <c r="AG715" s="2521"/>
      <c r="AH715" s="2521"/>
      <c r="AI715" s="2521"/>
      <c r="AJ715" s="2521"/>
      <c r="AK715" s="2521"/>
      <c r="AL715" s="252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5"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5"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1409</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1401</v>
      </c>
      <c r="E723" s="936"/>
      <c r="F723" s="936"/>
      <c r="G723" s="936"/>
      <c r="H723" s="2445" t="s">
        <v>592</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8">
        <f>VLOOKUP($H$723,$AP$720:$AQ$722,2,FALSE)</f>
        <v>0</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1" t="s">
        <v>1697</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1353</v>
      </c>
      <c r="AG729" s="2521"/>
      <c r="AH729" s="2521"/>
      <c r="AI729" s="2521"/>
      <c r="AJ729" s="2521"/>
      <c r="AK729" s="2521"/>
      <c r="AL729" s="2521"/>
      <c r="AM729" s="550"/>
      <c r="AN729" s="684"/>
      <c r="AT729" s="14"/>
      <c r="AU729" s="14"/>
      <c r="AV729" s="14"/>
      <c r="AW729" s="14"/>
      <c r="AX729" s="14"/>
      <c r="AY729" s="14"/>
      <c r="AZ729" s="14"/>
    </row>
    <row r="730" spans="1:81" s="570" customFormat="1">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1" t="s">
        <v>1440</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1409</v>
      </c>
      <c r="AG732" s="2521"/>
      <c r="AH732" s="2521"/>
      <c r="AI732" s="2521"/>
      <c r="AJ732" s="2521"/>
      <c r="AK732" s="2521"/>
      <c r="AL732" s="2521"/>
      <c r="AM732" s="550"/>
      <c r="AN732" s="684"/>
      <c r="AT732" s="14"/>
      <c r="AU732" s="14"/>
      <c r="AV732" s="14"/>
      <c r="AW732" s="14"/>
      <c r="AX732" s="14"/>
      <c r="AY732" s="14"/>
      <c r="AZ732" s="14"/>
    </row>
    <row r="733" spans="1:81" s="570" customFormat="1">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5" t="s">
        <v>592</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1" t="s">
        <v>1443</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1353</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1" t="s">
        <v>1444</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1409</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5" t="s">
        <v>688</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8">
        <f>VLOOKUP($H$751,$AO$680:$AP$682,2,FALSE)</f>
        <v>3</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1" t="s">
        <v>1446</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1409</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1" t="s">
        <v>1447</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1426</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5" t="s">
        <v>688</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8">
        <f>VLOOKUP($H$763,$AO$697:$AP$699,2,FALSE)</f>
        <v>2</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21" t="s">
        <v>1693</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1409</v>
      </c>
      <c r="AG769" s="2521"/>
      <c r="AH769" s="2521"/>
      <c r="AI769" s="2521"/>
      <c r="AJ769" s="2521"/>
      <c r="AK769" s="2521"/>
      <c r="AL769" s="2521"/>
      <c r="AM769" s="613"/>
      <c r="AN769" s="684"/>
      <c r="AO769" s="550" t="s">
        <v>592</v>
      </c>
      <c r="AP769" s="673">
        <v>0</v>
      </c>
    </row>
    <row r="770" spans="1:81" s="570" customFormat="1" ht="13.65"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1353</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5" t="s">
        <v>592</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21" t="s">
        <v>2033</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1353</v>
      </c>
      <c r="AG785" s="2521"/>
      <c r="AH785" s="2521"/>
      <c r="AI785" s="2521"/>
      <c r="AJ785" s="2521"/>
      <c r="AK785" s="2521"/>
      <c r="AL785" s="2521"/>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5" t="s">
        <v>546</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8">
        <f>VLOOKUP($H$790,$AO$784:$AP$785,2,FALSE)</f>
        <v>3</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1569</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1570</v>
      </c>
      <c r="U802" s="2516"/>
      <c r="V802" s="2516"/>
      <c r="W802" s="2516"/>
      <c r="X802" s="2516"/>
      <c r="Y802" s="2517"/>
      <c r="Z802" s="2515" t="s">
        <v>1571</v>
      </c>
      <c r="AA802" s="2516"/>
      <c r="AB802" s="2516"/>
      <c r="AC802" s="2516"/>
      <c r="AD802" s="2516"/>
      <c r="AE802" s="2517"/>
      <c r="AF802" s="2515" t="s">
        <v>1572</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758</v>
      </c>
      <c r="B804" s="2472" t="s">
        <v>1305</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8"/>
      <c r="AM804" s="596"/>
      <c r="AO804" s="816"/>
      <c r="AP804" s="816"/>
      <c r="AQ804" s="816"/>
    </row>
    <row r="805" spans="1:81">
      <c r="A805" s="819" t="s">
        <v>1542</v>
      </c>
      <c r="B805" s="2472" t="s">
        <v>1314</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8"/>
      <c r="AM805" s="596"/>
      <c r="AO805" s="816"/>
      <c r="AP805" s="816"/>
      <c r="AQ805" s="816"/>
    </row>
    <row r="806" spans="1:81">
      <c r="A806" s="819" t="s">
        <v>1551</v>
      </c>
      <c r="B806" s="2472" t="s">
        <v>1324</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8"/>
      <c r="AM806" s="596"/>
      <c r="AO806" s="816"/>
      <c r="AP806" s="816"/>
      <c r="AQ806" s="816"/>
    </row>
    <row r="807" spans="1:81">
      <c r="A807" s="819" t="s">
        <v>1573</v>
      </c>
      <c r="B807" s="2472" t="s">
        <v>1334</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1574</v>
      </c>
      <c r="B808" s="2472" t="s">
        <v>1575</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1576</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1577</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1362</v>
      </c>
      <c r="B811" s="2472" t="s">
        <v>1578</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8"/>
      <c r="AM811" s="596"/>
    </row>
    <row r="812" spans="1:81">
      <c r="A812" s="819" t="s">
        <v>1371</v>
      </c>
      <c r="B812" s="2472" t="s">
        <v>1372</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590</v>
      </c>
      <c r="B813" s="2472" t="s">
        <v>1579</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2" t="s">
        <v>1580</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2" t="s">
        <v>1382</v>
      </c>
      <c r="C815" s="2472"/>
      <c r="D815" s="2472"/>
      <c r="E815" s="2472"/>
      <c r="F815" s="2472"/>
      <c r="G815" s="2472"/>
      <c r="H815" s="2472"/>
      <c r="I815" s="2472"/>
      <c r="J815" s="2472"/>
      <c r="K815" s="2472"/>
      <c r="L815" s="2472"/>
      <c r="M815" s="2472"/>
      <c r="N815" s="2472"/>
      <c r="O815" s="2472"/>
      <c r="P815" s="2472"/>
      <c r="Q815" s="2472"/>
      <c r="R815" s="2472"/>
      <c r="S815" s="2473"/>
      <c r="T815" s="2474">
        <f>AK338</f>
        <v>10</v>
      </c>
      <c r="U815" s="2474"/>
      <c r="V815" s="2474"/>
      <c r="W815" s="2474"/>
      <c r="X815" s="2474"/>
      <c r="Y815" s="2474"/>
      <c r="Z815" s="2483">
        <v>10</v>
      </c>
      <c r="AA815" s="2484"/>
      <c r="AB815" s="2484"/>
      <c r="AC815" s="2484"/>
      <c r="AD815" s="2484"/>
      <c r="AE815" s="2485"/>
      <c r="AF815" s="2483">
        <f>IF(T815&gt;Z815,Z815,T815)</f>
        <v>10</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0">
        <f>AK338</f>
        <v>10</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2" t="s">
        <v>1560</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2" t="s">
        <v>1582</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1583</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1584</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8" t="s">
        <v>1585</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120</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2024-12-09T20:28:29Z</cp:lastPrinted>
  <dcterms:created xsi:type="dcterms:W3CDTF">2007-12-27T18:26:28Z</dcterms:created>
  <dcterms:modified xsi:type="dcterms:W3CDTF">2025-09-09T17:29:58Z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2025-08-21T22:30:26Z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a888eaca-f73b-463a-9654-9fc1f233b4d3</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